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drawings/drawing3.xml" ContentType="application/vnd.openxmlformats-officedocument.drawing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drawings/drawing4.xml" ContentType="application/vnd.openxmlformats-officedocument.drawing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comments3.xml" ContentType="application/vnd.openxmlformats-officedocument.spreadsheetml.comments+xml"/>
  <Override PartName="/xl/drawings/drawing6.xml" ContentType="application/vnd.openxmlformats-officedocument.drawing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drawings/drawing7.xml" ContentType="application/vnd.openxmlformats-officedocument.drawing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drawings/drawing8.xml" ContentType="application/vnd.openxmlformats-officedocument.drawing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drawings/drawing9.xml" ContentType="application/vnd.openxmlformats-officedocument.drawing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drawings/drawing10.xml" ContentType="application/vnd.openxmlformats-officedocument.drawing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drawings/drawing13.xml" ContentType="application/vnd.openxmlformats-officedocument.drawing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drawings/drawing14.xml" ContentType="application/vnd.openxmlformats-officedocument.drawing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drawings/drawing15.xml" ContentType="application/vnd.openxmlformats-officedocument.drawing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drawings/drawing16.xml" ContentType="application/vnd.openxmlformats-officedocument.drawing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drawings/drawing17.xml" ContentType="application/vnd.openxmlformats-officedocument.drawing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drawings/drawing18.xml" ContentType="application/vnd.openxmlformats-officedocument.drawing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drawings/drawing19.xml" ContentType="application/vnd.openxmlformats-officedocument.drawing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drawings/drawing20.xml" ContentType="application/vnd.openxmlformats-officedocument.drawing+xml"/>
  <Override PartName="/xl/tables/table190.xml" ContentType="application/vnd.openxmlformats-officedocument.spreadsheetml.table+xml"/>
  <Override PartName="/xl/tables/table191.xml" ContentType="application/vnd.openxmlformats-officedocument.spreadsheetml.table+xml"/>
  <Override PartName="/xl/tables/table192.xml" ContentType="application/vnd.openxmlformats-officedocument.spreadsheetml.table+xml"/>
  <Override PartName="/xl/drawings/drawing21.xml" ContentType="application/vnd.openxmlformats-officedocument.drawing+xml"/>
  <Override PartName="/xl/tables/table193.xml" ContentType="application/vnd.openxmlformats-officedocument.spreadsheetml.table+xml"/>
  <Override PartName="/xl/tables/table194.xml" ContentType="application/vnd.openxmlformats-officedocument.spreadsheetml.table+xml"/>
  <Override PartName="/xl/tables/table195.xml" ContentType="application/vnd.openxmlformats-officedocument.spreadsheetml.table+xml"/>
  <Override PartName="/xl/tables/table196.xml" ContentType="application/vnd.openxmlformats-officedocument.spreadsheetml.table+xml"/>
  <Override PartName="/xl/tables/table197.xml" ContentType="application/vnd.openxmlformats-officedocument.spreadsheetml.table+xml"/>
  <Override PartName="/xl/tables/table198.xml" ContentType="application/vnd.openxmlformats-officedocument.spreadsheetml.table+xml"/>
  <Override PartName="/xl/tables/table199.xml" ContentType="application/vnd.openxmlformats-officedocument.spreadsheetml.table+xml"/>
  <Override PartName="/xl/tables/table200.xml" ContentType="application/vnd.openxmlformats-officedocument.spreadsheetml.table+xml"/>
  <Override PartName="/xl/tables/table201.xml" ContentType="application/vnd.openxmlformats-officedocument.spreadsheetml.table+xml"/>
  <Override PartName="/xl/tables/table202.xml" ContentType="application/vnd.openxmlformats-officedocument.spreadsheetml.table+xml"/>
  <Override PartName="/xl/tables/table203.xml" ContentType="application/vnd.openxmlformats-officedocument.spreadsheetml.table+xml"/>
  <Override PartName="/xl/tables/table204.xml" ContentType="application/vnd.openxmlformats-officedocument.spreadsheetml.table+xml"/>
  <Override PartName="/xl/drawings/drawing22.xml" ContentType="application/vnd.openxmlformats-officedocument.drawing+xml"/>
  <Override PartName="/xl/tables/table205.xml" ContentType="application/vnd.openxmlformats-officedocument.spreadsheetml.table+xml"/>
  <Override PartName="/xl/tables/table206.xml" ContentType="application/vnd.openxmlformats-officedocument.spreadsheetml.table+xml"/>
  <Override PartName="/xl/tables/table207.xml" ContentType="application/vnd.openxmlformats-officedocument.spreadsheetml.table+xml"/>
  <Override PartName="/xl/tables/table208.xml" ContentType="application/vnd.openxmlformats-officedocument.spreadsheetml.table+xml"/>
  <Override PartName="/xl/tables/table209.xml" ContentType="application/vnd.openxmlformats-officedocument.spreadsheetml.table+xml"/>
  <Override PartName="/xl/drawings/drawing23.xml" ContentType="application/vnd.openxmlformats-officedocument.drawing+xml"/>
  <Override PartName="/xl/tables/table210.xml" ContentType="application/vnd.openxmlformats-officedocument.spreadsheetml.table+xml"/>
  <Override PartName="/xl/tables/table211.xml" ContentType="application/vnd.openxmlformats-officedocument.spreadsheetml.table+xml"/>
  <Override PartName="/xl/tables/table212.xml" ContentType="application/vnd.openxmlformats-officedocument.spreadsheetml.table+xml"/>
  <Override PartName="/xl/tables/table213.xml" ContentType="application/vnd.openxmlformats-officedocument.spreadsheetml.table+xml"/>
  <Override PartName="/xl/tables/table214.xml" ContentType="application/vnd.openxmlformats-officedocument.spreadsheetml.table+xml"/>
  <Override PartName="/xl/tables/table215.xml" ContentType="application/vnd.openxmlformats-officedocument.spreadsheetml.table+xml"/>
  <Override PartName="/xl/tables/table216.xml" ContentType="application/vnd.openxmlformats-officedocument.spreadsheetml.table+xml"/>
  <Override PartName="/xl/drawings/drawing24.xml" ContentType="application/vnd.openxmlformats-officedocument.drawing+xml"/>
  <Override PartName="/xl/tables/table217.xml" ContentType="application/vnd.openxmlformats-officedocument.spreadsheetml.table+xml"/>
  <Override PartName="/xl/tables/table218.xml" ContentType="application/vnd.openxmlformats-officedocument.spreadsheetml.table+xml"/>
  <Override PartName="/xl/tables/table219.xml" ContentType="application/vnd.openxmlformats-officedocument.spreadsheetml.table+xml"/>
  <Override PartName="/xl/tables/table220.xml" ContentType="application/vnd.openxmlformats-officedocument.spreadsheetml.table+xml"/>
  <Override PartName="/xl/tables/table221.xml" ContentType="application/vnd.openxmlformats-officedocument.spreadsheetml.table+xml"/>
  <Override PartName="/xl/tables/table222.xml" ContentType="application/vnd.openxmlformats-officedocument.spreadsheetml.table+xml"/>
  <Override PartName="/xl/drawings/drawing25.xml" ContentType="application/vnd.openxmlformats-officedocument.drawing+xml"/>
  <Override PartName="/xl/tables/table223.xml" ContentType="application/vnd.openxmlformats-officedocument.spreadsheetml.table+xml"/>
  <Override PartName="/xl/tables/table224.xml" ContentType="application/vnd.openxmlformats-officedocument.spreadsheetml.table+xml"/>
  <Override PartName="/xl/tables/table225.xml" ContentType="application/vnd.openxmlformats-officedocument.spreadsheetml.table+xml"/>
  <Override PartName="/xl/tables/table226.xml" ContentType="application/vnd.openxmlformats-officedocument.spreadsheetml.table+xml"/>
  <Override PartName="/xl/tables/table227.xml" ContentType="application/vnd.openxmlformats-officedocument.spreadsheetml.table+xml"/>
  <Override PartName="/xl/tables/table228.xml" ContentType="application/vnd.openxmlformats-officedocument.spreadsheetml.table+xml"/>
  <Override PartName="/xl/tables/table229.xml" ContentType="application/vnd.openxmlformats-officedocument.spreadsheetml.table+xml"/>
  <Override PartName="/xl/tables/table230.xml" ContentType="application/vnd.openxmlformats-officedocument.spreadsheetml.table+xml"/>
  <Override PartName="/xl/tables/table231.xml" ContentType="application/vnd.openxmlformats-officedocument.spreadsheetml.table+xml"/>
  <Override PartName="/xl/tables/table232.xml" ContentType="application/vnd.openxmlformats-officedocument.spreadsheetml.table+xml"/>
  <Override PartName="/xl/tables/table233.xml" ContentType="application/vnd.openxmlformats-officedocument.spreadsheetml.table+xml"/>
  <Override PartName="/xl/tables/table234.xml" ContentType="application/vnd.openxmlformats-officedocument.spreadsheetml.table+xml"/>
  <Override PartName="/xl/drawings/drawing26.xml" ContentType="application/vnd.openxmlformats-officedocument.drawing+xml"/>
  <Override PartName="/xl/tables/table235.xml" ContentType="application/vnd.openxmlformats-officedocument.spreadsheetml.table+xml"/>
  <Override PartName="/xl/tables/table236.xml" ContentType="application/vnd.openxmlformats-officedocument.spreadsheetml.table+xml"/>
  <Override PartName="/xl/tables/table237.xml" ContentType="application/vnd.openxmlformats-officedocument.spreadsheetml.table+xml"/>
  <Override PartName="/xl/tables/table238.xml" ContentType="application/vnd.openxmlformats-officedocument.spreadsheetml.table+xml"/>
  <Override PartName="/xl/tables/table239.xml" ContentType="application/vnd.openxmlformats-officedocument.spreadsheetml.table+xml"/>
  <Override PartName="/xl/tables/table240.xml" ContentType="application/vnd.openxmlformats-officedocument.spreadsheetml.table+xml"/>
  <Override PartName="/xl/tables/table241.xml" ContentType="application/vnd.openxmlformats-officedocument.spreadsheetml.table+xml"/>
  <Override PartName="/xl/tables/table242.xml" ContentType="application/vnd.openxmlformats-officedocument.spreadsheetml.table+xml"/>
  <Override PartName="/xl/tables/table243.xml" ContentType="application/vnd.openxmlformats-officedocument.spreadsheetml.table+xml"/>
  <Override PartName="/xl/tables/table244.xml" ContentType="application/vnd.openxmlformats-officedocument.spreadsheetml.table+xml"/>
  <Override PartName="/xl/tables/table245.xml" ContentType="application/vnd.openxmlformats-officedocument.spreadsheetml.table+xml"/>
  <Override PartName="/xl/tables/table246.xml" ContentType="application/vnd.openxmlformats-officedocument.spreadsheetml.table+xml"/>
  <Override PartName="/xl/tables/table247.xml" ContentType="application/vnd.openxmlformats-officedocument.spreadsheetml.table+xml"/>
  <Override PartName="/xl/tables/table248.xml" ContentType="application/vnd.openxmlformats-officedocument.spreadsheetml.table+xml"/>
  <Override PartName="/xl/tables/table249.xml" ContentType="application/vnd.openxmlformats-officedocument.spreadsheetml.table+xml"/>
  <Override PartName="/xl/tables/table250.xml" ContentType="application/vnd.openxmlformats-officedocument.spreadsheetml.table+xml"/>
  <Override PartName="/xl/tables/table251.xml" ContentType="application/vnd.openxmlformats-officedocument.spreadsheetml.table+xml"/>
  <Override PartName="/xl/tables/table252.xml" ContentType="application/vnd.openxmlformats-officedocument.spreadsheetml.table+xml"/>
  <Override PartName="/xl/tables/table253.xml" ContentType="application/vnd.openxmlformats-officedocument.spreadsheetml.table+xml"/>
  <Override PartName="/xl/tables/table254.xml" ContentType="application/vnd.openxmlformats-officedocument.spreadsheetml.table+xml"/>
  <Override PartName="/xl/tables/table255.xml" ContentType="application/vnd.openxmlformats-officedocument.spreadsheetml.table+xml"/>
  <Override PartName="/xl/tables/table256.xml" ContentType="application/vnd.openxmlformats-officedocument.spreadsheetml.table+xml"/>
  <Override PartName="/xl/tables/table257.xml" ContentType="application/vnd.openxmlformats-officedocument.spreadsheetml.table+xml"/>
  <Override PartName="/xl/tables/table258.xml" ContentType="application/vnd.openxmlformats-officedocument.spreadsheetml.table+xml"/>
  <Override PartName="/xl/tables/table259.xml" ContentType="application/vnd.openxmlformats-officedocument.spreadsheetml.table+xml"/>
  <Override PartName="/xl/tables/table260.xml" ContentType="application/vnd.openxmlformats-officedocument.spreadsheetml.table+xml"/>
  <Override PartName="/xl/tables/table261.xml" ContentType="application/vnd.openxmlformats-officedocument.spreadsheetml.table+xml"/>
  <Override PartName="/xl/tables/table262.xml" ContentType="application/vnd.openxmlformats-officedocument.spreadsheetml.table+xml"/>
  <Override PartName="/xl/tables/table263.xml" ContentType="application/vnd.openxmlformats-officedocument.spreadsheetml.table+xml"/>
  <Override PartName="/xl/tables/table264.xml" ContentType="application/vnd.openxmlformats-officedocument.spreadsheetml.table+xml"/>
  <Override PartName="/xl/tables/table265.xml" ContentType="application/vnd.openxmlformats-officedocument.spreadsheetml.table+xml"/>
  <Override PartName="/xl/tables/table266.xml" ContentType="application/vnd.openxmlformats-officedocument.spreadsheetml.table+xml"/>
  <Override PartName="/xl/tables/table267.xml" ContentType="application/vnd.openxmlformats-officedocument.spreadsheetml.table+xml"/>
  <Override PartName="/xl/tables/table268.xml" ContentType="application/vnd.openxmlformats-officedocument.spreadsheetml.table+xml"/>
  <Override PartName="/xl/tables/table269.xml" ContentType="application/vnd.openxmlformats-officedocument.spreadsheetml.table+xml"/>
  <Override PartName="/xl/tables/table270.xml" ContentType="application/vnd.openxmlformats-officedocument.spreadsheetml.table+xml"/>
  <Override PartName="/xl/tables/table271.xml" ContentType="application/vnd.openxmlformats-officedocument.spreadsheetml.table+xml"/>
  <Override PartName="/xl/tables/table272.xml" ContentType="application/vnd.openxmlformats-officedocument.spreadsheetml.table+xml"/>
  <Override PartName="/xl/tables/table273.xml" ContentType="application/vnd.openxmlformats-officedocument.spreadsheetml.table+xml"/>
  <Override PartName="/xl/tables/table274.xml" ContentType="application/vnd.openxmlformats-officedocument.spreadsheetml.table+xml"/>
  <Override PartName="/xl/drawings/drawing27.xml" ContentType="application/vnd.openxmlformats-officedocument.drawing+xml"/>
  <Override PartName="/xl/tables/table275.xml" ContentType="application/vnd.openxmlformats-officedocument.spreadsheetml.table+xml"/>
  <Override PartName="/xl/drawings/drawing28.xml" ContentType="application/vnd.openxmlformats-officedocument.drawing+xml"/>
  <Override PartName="/xl/tables/table276.xml" ContentType="application/vnd.openxmlformats-officedocument.spreadsheetml.table+xml"/>
  <Override PartName="/xl/tables/table277.xml" ContentType="application/vnd.openxmlformats-officedocument.spreadsheetml.table+xml"/>
  <Override PartName="/xl/tables/table278.xml" ContentType="application/vnd.openxmlformats-officedocument.spreadsheetml.table+xml"/>
  <Override PartName="/xl/drawings/drawing29.xml" ContentType="application/vnd.openxmlformats-officedocument.drawing+xml"/>
  <Override PartName="/xl/tables/table279.xml" ContentType="application/vnd.openxmlformats-officedocument.spreadsheetml.table+xml"/>
  <Override PartName="/xl/tables/table280.xml" ContentType="application/vnd.openxmlformats-officedocument.spreadsheetml.table+xml"/>
  <Override PartName="/xl/tables/table281.xml" ContentType="application/vnd.openxmlformats-officedocument.spreadsheetml.table+xml"/>
  <Override PartName="/xl/tables/table282.xml" ContentType="application/vnd.openxmlformats-officedocument.spreadsheetml.table+xml"/>
  <Override PartName="/xl/tables/table283.xml" ContentType="application/vnd.openxmlformats-officedocument.spreadsheetml.table+xml"/>
  <Override PartName="/xl/tables/table284.xml" ContentType="application/vnd.openxmlformats-officedocument.spreadsheetml.table+xml"/>
  <Override PartName="/xl/drawings/drawing30.xml" ContentType="application/vnd.openxmlformats-officedocument.drawing+xml"/>
  <Override PartName="/xl/tables/table285.xml" ContentType="application/vnd.openxmlformats-officedocument.spreadsheetml.table+xml"/>
  <Override PartName="/xl/tables/table286.xml" ContentType="application/vnd.openxmlformats-officedocument.spreadsheetml.table+xml"/>
  <Override PartName="/xl/tables/table287.xml" ContentType="application/vnd.openxmlformats-officedocument.spreadsheetml.table+xml"/>
  <Override PartName="/xl/tables/table288.xml" ContentType="application/vnd.openxmlformats-officedocument.spreadsheetml.table+xml"/>
  <Override PartName="/xl/tables/table289.xml" ContentType="application/vnd.openxmlformats-officedocument.spreadsheetml.table+xml"/>
  <Override PartName="/xl/tables/table290.xml" ContentType="application/vnd.openxmlformats-officedocument.spreadsheetml.table+xml"/>
  <Override PartName="/xl/tables/table291.xml" ContentType="application/vnd.openxmlformats-officedocument.spreadsheetml.table+xml"/>
  <Override PartName="/xl/tables/table292.xml" ContentType="application/vnd.openxmlformats-officedocument.spreadsheetml.table+xml"/>
  <Override PartName="/xl/tables/table293.xml" ContentType="application/vnd.openxmlformats-officedocument.spreadsheetml.table+xml"/>
  <Override PartName="/xl/tables/table294.xml" ContentType="application/vnd.openxmlformats-officedocument.spreadsheetml.table+xml"/>
  <Override PartName="/xl/tables/table295.xml" ContentType="application/vnd.openxmlformats-officedocument.spreadsheetml.table+xml"/>
  <Override PartName="/xl/tables/table296.xml" ContentType="application/vnd.openxmlformats-officedocument.spreadsheetml.table+xml"/>
  <Override PartName="/xl/tables/table297.xml" ContentType="application/vnd.openxmlformats-officedocument.spreadsheetml.table+xml"/>
  <Override PartName="/xl/tables/table298.xml" ContentType="application/vnd.openxmlformats-officedocument.spreadsheetml.table+xml"/>
  <Override PartName="/xl/tables/table299.xml" ContentType="application/vnd.openxmlformats-officedocument.spreadsheetml.table+xml"/>
  <Override PartName="/xl/tables/table300.xml" ContentType="application/vnd.openxmlformats-officedocument.spreadsheetml.table+xml"/>
  <Override PartName="/xl/tables/table301.xml" ContentType="application/vnd.openxmlformats-officedocument.spreadsheetml.table+xml"/>
  <Override PartName="/xl/tables/table302.xml" ContentType="application/vnd.openxmlformats-officedocument.spreadsheetml.table+xml"/>
  <Override PartName="/xl/tables/table303.xml" ContentType="application/vnd.openxmlformats-officedocument.spreadsheetml.table+xml"/>
  <Override PartName="/xl/tables/table304.xml" ContentType="application/vnd.openxmlformats-officedocument.spreadsheetml.table+xml"/>
  <Override PartName="/xl/tables/table305.xml" ContentType="application/vnd.openxmlformats-officedocument.spreadsheetml.table+xml"/>
  <Override PartName="/xl/tables/table306.xml" ContentType="application/vnd.openxmlformats-officedocument.spreadsheetml.table+xml"/>
  <Override PartName="/xl/tables/table307.xml" ContentType="application/vnd.openxmlformats-officedocument.spreadsheetml.table+xml"/>
  <Override PartName="/xl/tables/table308.xml" ContentType="application/vnd.openxmlformats-officedocument.spreadsheetml.table+xml"/>
  <Override PartName="/xl/tables/table309.xml" ContentType="application/vnd.openxmlformats-officedocument.spreadsheetml.table+xml"/>
  <Override PartName="/xl/drawings/drawing31.xml" ContentType="application/vnd.openxmlformats-officedocument.drawing+xml"/>
  <Override PartName="/xl/tables/table310.xml" ContentType="application/vnd.openxmlformats-officedocument.spreadsheetml.table+xml"/>
  <Override PartName="/xl/tables/table311.xml" ContentType="application/vnd.openxmlformats-officedocument.spreadsheetml.table+xml"/>
  <Override PartName="/xl/tables/table312.xml" ContentType="application/vnd.openxmlformats-officedocument.spreadsheetml.table+xml"/>
  <Override PartName="/xl/tables/table313.xml" ContentType="application/vnd.openxmlformats-officedocument.spreadsheetml.table+xml"/>
  <Override PartName="/xl/tables/table314.xml" ContentType="application/vnd.openxmlformats-officedocument.spreadsheetml.table+xml"/>
  <Override PartName="/xl/tables/table315.xml" ContentType="application/vnd.openxmlformats-officedocument.spreadsheetml.table+xml"/>
  <Override PartName="/xl/tables/table316.xml" ContentType="application/vnd.openxmlformats-officedocument.spreadsheetml.table+xml"/>
  <Override PartName="/xl/tables/table317.xml" ContentType="application/vnd.openxmlformats-officedocument.spreadsheetml.table+xml"/>
  <Override PartName="/xl/tables/table318.xml" ContentType="application/vnd.openxmlformats-officedocument.spreadsheetml.table+xml"/>
  <Override PartName="/xl/drawings/drawing32.xml" ContentType="application/vnd.openxmlformats-officedocument.drawing+xml"/>
  <Override PartName="/xl/tables/table319.xml" ContentType="application/vnd.openxmlformats-officedocument.spreadsheetml.table+xml"/>
  <Override PartName="/xl/tables/table320.xml" ContentType="application/vnd.openxmlformats-officedocument.spreadsheetml.table+xml"/>
  <Override PartName="/xl/tables/table321.xml" ContentType="application/vnd.openxmlformats-officedocument.spreadsheetml.table+xml"/>
  <Override PartName="/xl/tables/table322.xml" ContentType="application/vnd.openxmlformats-officedocument.spreadsheetml.table+xml"/>
  <Override PartName="/xl/tables/table323.xml" ContentType="application/vnd.openxmlformats-officedocument.spreadsheetml.table+xml"/>
  <Override PartName="/xl/tables/table324.xml" ContentType="application/vnd.openxmlformats-officedocument.spreadsheetml.table+xml"/>
  <Override PartName="/xl/tables/table325.xml" ContentType="application/vnd.openxmlformats-officedocument.spreadsheetml.table+xml"/>
  <Override PartName="/xl/drawings/drawing33.xml" ContentType="application/vnd.openxmlformats-officedocument.drawing+xml"/>
  <Override PartName="/xl/tables/table326.xml" ContentType="application/vnd.openxmlformats-officedocument.spreadsheetml.table+xml"/>
  <Override PartName="/xl/tables/table327.xml" ContentType="application/vnd.openxmlformats-officedocument.spreadsheetml.table+xml"/>
  <Override PartName="/xl/tables/table328.xml" ContentType="application/vnd.openxmlformats-officedocument.spreadsheetml.table+xml"/>
  <Override PartName="/xl/tables/table329.xml" ContentType="application/vnd.openxmlformats-officedocument.spreadsheetml.table+xml"/>
  <Override PartName="/xl/tables/table330.xml" ContentType="application/vnd.openxmlformats-officedocument.spreadsheetml.table+xml"/>
  <Override PartName="/xl/tables/table331.xml" ContentType="application/vnd.openxmlformats-officedocument.spreadsheetml.table+xml"/>
  <Override PartName="/xl/drawings/drawing34.xml" ContentType="application/vnd.openxmlformats-officedocument.drawing+xml"/>
  <Override PartName="/xl/tables/table332.xml" ContentType="application/vnd.openxmlformats-officedocument.spreadsheetml.table+xml"/>
  <Override PartName="/xl/tables/table333.xml" ContentType="application/vnd.openxmlformats-officedocument.spreadsheetml.table+xml"/>
  <Override PartName="/xl/tables/table334.xml" ContentType="application/vnd.openxmlformats-officedocument.spreadsheetml.table+xml"/>
  <Override PartName="/xl/tables/table335.xml" ContentType="application/vnd.openxmlformats-officedocument.spreadsheetml.table+xml"/>
  <Override PartName="/xl/tables/table336.xml" ContentType="application/vnd.openxmlformats-officedocument.spreadsheetml.table+xml"/>
  <Override PartName="/xl/drawings/drawing35.xml" ContentType="application/vnd.openxmlformats-officedocument.drawing+xml"/>
  <Override PartName="/xl/tables/table337.xml" ContentType="application/vnd.openxmlformats-officedocument.spreadsheetml.table+xml"/>
  <Override PartName="/xl/tables/table338.xml" ContentType="application/vnd.openxmlformats-officedocument.spreadsheetml.table+xml"/>
  <Override PartName="/xl/tables/table339.xml" ContentType="application/vnd.openxmlformats-officedocument.spreadsheetml.table+xml"/>
  <Override PartName="/xl/tables/table340.xml" ContentType="application/vnd.openxmlformats-officedocument.spreadsheetml.table+xml"/>
  <Override PartName="/xl/tables/table341.xml" ContentType="application/vnd.openxmlformats-officedocument.spreadsheetml.table+xml"/>
  <Override PartName="/xl/tables/table342.xml" ContentType="application/vnd.openxmlformats-officedocument.spreadsheetml.table+xml"/>
  <Override PartName="/xl/tables/table343.xml" ContentType="application/vnd.openxmlformats-officedocument.spreadsheetml.table+xml"/>
  <Override PartName="/xl/tables/table344.xml" ContentType="application/vnd.openxmlformats-officedocument.spreadsheetml.table+xml"/>
  <Override PartName="/xl/tables/table345.xml" ContentType="application/vnd.openxmlformats-officedocument.spreadsheetml.table+xml"/>
  <Override PartName="/xl/tables/table346.xml" ContentType="application/vnd.openxmlformats-officedocument.spreadsheetml.table+xml"/>
  <Override PartName="/xl/drawings/drawing36.xml" ContentType="application/vnd.openxmlformats-officedocument.drawing+xml"/>
  <Override PartName="/xl/tables/table347.xml" ContentType="application/vnd.openxmlformats-officedocument.spreadsheetml.table+xml"/>
  <Override PartName="/xl/tables/table348.xml" ContentType="application/vnd.openxmlformats-officedocument.spreadsheetml.table+xml"/>
  <Override PartName="/xl/drawings/drawing37.xml" ContentType="application/vnd.openxmlformats-officedocument.drawing+xml"/>
  <Override PartName="/xl/tables/table349.xml" ContentType="application/vnd.openxmlformats-officedocument.spreadsheetml.table+xml"/>
  <Override PartName="/xl/tables/table350.xml" ContentType="application/vnd.openxmlformats-officedocument.spreadsheetml.table+xml"/>
  <Override PartName="/xl/tables/table351.xml" ContentType="application/vnd.openxmlformats-officedocument.spreadsheetml.table+xml"/>
  <Override PartName="/xl/tables/table352.xml" ContentType="application/vnd.openxmlformats-officedocument.spreadsheetml.table+xml"/>
  <Override PartName="/xl/tables/table353.xml" ContentType="application/vnd.openxmlformats-officedocument.spreadsheetml.table+xml"/>
  <Override PartName="/xl/tables/table354.xml" ContentType="application/vnd.openxmlformats-officedocument.spreadsheetml.table+xml"/>
  <Override PartName="/xl/tables/table355.xml" ContentType="application/vnd.openxmlformats-officedocument.spreadsheetml.table+xml"/>
  <Override PartName="/xl/drawings/drawing38.xml" ContentType="application/vnd.openxmlformats-officedocument.drawing+xml"/>
  <Override PartName="/xl/tables/table356.xml" ContentType="application/vnd.openxmlformats-officedocument.spreadsheetml.table+xml"/>
  <Override PartName="/xl/tables/table357.xml" ContentType="application/vnd.openxmlformats-officedocument.spreadsheetml.table+xml"/>
  <Override PartName="/xl/tables/table358.xml" ContentType="application/vnd.openxmlformats-officedocument.spreadsheetml.table+xml"/>
  <Override PartName="/xl/tables/table359.xml" ContentType="application/vnd.openxmlformats-officedocument.spreadsheetml.table+xml"/>
  <Override PartName="/xl/tables/table360.xml" ContentType="application/vnd.openxmlformats-officedocument.spreadsheetml.table+xml"/>
  <Override PartName="/xl/tables/table36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Mi unidad\Matriz de Costos\Rocoto\"/>
    </mc:Choice>
  </mc:AlternateContent>
  <xr:revisionPtr revIDLastSave="0" documentId="13_ncr:1_{77123664-AB6E-4D08-AE67-4B7506C8F61A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MATRIZ CARTA" sheetId="6" r:id="rId1"/>
    <sheet name="MEDELLIN GOURMET" sheetId="63" r:id="rId2"/>
    <sheet name="CAUSAS" sheetId="18" r:id="rId3"/>
    <sheet name="CEVICHES" sheetId="19" r:id="rId4"/>
    <sheet name="INSUMOS" sheetId="8" r:id="rId5"/>
    <sheet name="CARNES" sheetId="17" r:id="rId6"/>
    <sheet name="ENTRADAS" sheetId="13" r:id="rId7"/>
    <sheet name="ARROCES" sheetId="4" r:id="rId8"/>
    <sheet name="COCTELES " sheetId="25" r:id="rId9"/>
    <sheet name="POSTRES" sheetId="21" r:id="rId10"/>
    <sheet name="SUB RECETAS COCINA" sheetId="33" r:id="rId11"/>
    <sheet name="COCTELES A BASE DE PISCO" sheetId="14" r:id="rId12"/>
    <sheet name="PRINCIPAL" sheetId="1" r:id="rId13"/>
    <sheet name="PESCADOS Y MARISCOS" sheetId="12" r:id="rId14"/>
    <sheet name="SOPAS" sheetId="22" r:id="rId15"/>
    <sheet name="PARA COMPARTIR" sheetId="24" r:id="rId16"/>
    <sheet name="GIN &amp; TONIC" sheetId="29" r:id="rId17"/>
    <sheet name="TEQUILA Y MEZCAL" sheetId="48" r:id="rId18"/>
    <sheet name="BEBIDAS ESPECIALES SIN ALCOHOL" sheetId="31" r:id="rId19"/>
    <sheet name="TRAGOS" sheetId="60" r:id="rId20"/>
    <sheet name="APERITIVOS Y DIGESTIVOS" sheetId="52" r:id="rId21"/>
    <sheet name="VODKA" sheetId="50" r:id="rId22"/>
    <sheet name="MENU INFANTIL" sheetId="36" state="hidden" r:id="rId23"/>
    <sheet name="WHISKY Y WHISKEY" sheetId="49" r:id="rId24"/>
    <sheet name="LIMONADAS Y JUGOS" sheetId="43" r:id="rId25"/>
    <sheet name="RON" sheetId="47" r:id="rId26"/>
    <sheet name="SANGRIA" sheetId="26" r:id="rId27"/>
    <sheet name="RECOMENDADOS DEL CHEF" sheetId="57" r:id="rId28"/>
    <sheet name="ALMUERZOS" sheetId="62" state="hidden" r:id="rId29"/>
    <sheet name="ADICIONES" sheetId="27" state="hidden" r:id="rId30"/>
    <sheet name="ROTACION" sheetId="39" r:id="rId31"/>
    <sheet name="AGUARDIENTE" sheetId="46" r:id="rId32"/>
    <sheet name="PISCO" sheetId="45" r:id="rId33"/>
    <sheet name="ESPUMOSOS" sheetId="54" r:id="rId34"/>
    <sheet name="CERVEZA" sheetId="32" r:id="rId35"/>
    <sheet name="VINOS TINTOS" sheetId="53" r:id="rId36"/>
    <sheet name="VINOS BLANCOS" sheetId="42" r:id="rId37"/>
    <sheet name="VINOS POR COPA" sheetId="44" r:id="rId38"/>
    <sheet name="ESPECIALIDADES DEL CHEF" sheetId="16" r:id="rId39"/>
    <sheet name="AGUAS Y BEBIDAS EMBOTELLASDAS" sheetId="40" r:id="rId40"/>
    <sheet name="VINO ROSADO" sheetId="61" r:id="rId41"/>
    <sheet name="SUB RECETAS BAR" sheetId="59" r:id="rId42"/>
    <sheet name="GINEBRA" sheetId="51" r:id="rId43"/>
  </sheets>
  <definedNames>
    <definedName name="_xlnm._FilterDatabase" localSheetId="4" hidden="1">INSUMOS!$A$1:$C$199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6" i="63" l="1"/>
  <c r="L24" i="63"/>
  <c r="L21" i="63"/>
  <c r="L20" i="63"/>
  <c r="L19" i="63"/>
  <c r="L16" i="63"/>
  <c r="L10" i="63"/>
  <c r="L4" i="63"/>
  <c r="I23" i="63"/>
  <c r="I24" i="63" s="1"/>
  <c r="F20" i="63"/>
  <c r="F21" i="63"/>
  <c r="F19" i="63"/>
  <c r="B16" i="63"/>
  <c r="B15" i="63"/>
  <c r="B14" i="63"/>
  <c r="B11" i="63"/>
  <c r="B9" i="63"/>
  <c r="B6" i="63"/>
  <c r="B5" i="63"/>
  <c r="B4" i="63"/>
  <c r="B88" i="6"/>
  <c r="G92" i="18"/>
  <c r="H92" i="18" s="1"/>
  <c r="G93" i="18"/>
  <c r="H93" i="18" s="1"/>
  <c r="G91" i="18"/>
  <c r="H91" i="18" s="1"/>
  <c r="G90" i="18"/>
  <c r="H90" i="18" s="1"/>
  <c r="G89" i="18"/>
  <c r="H89" i="18" s="1"/>
  <c r="K88" i="18"/>
  <c r="K89" i="18" s="1"/>
  <c r="G88" i="18"/>
  <c r="H88" i="18" s="1"/>
  <c r="G87" i="18"/>
  <c r="H87" i="18" s="1"/>
  <c r="G86" i="18"/>
  <c r="H86" i="18" s="1"/>
  <c r="G85" i="18"/>
  <c r="H85" i="18" s="1"/>
  <c r="B92" i="6"/>
  <c r="J92" i="6" s="1"/>
  <c r="F92" i="6"/>
  <c r="G92" i="6"/>
  <c r="O92" i="6"/>
  <c r="P92" i="6" s="1"/>
  <c r="G77" i="18"/>
  <c r="H77" i="18" s="1"/>
  <c r="G76" i="18"/>
  <c r="H76" i="18" s="1"/>
  <c r="G75" i="18"/>
  <c r="H75" i="18" s="1"/>
  <c r="K74" i="18"/>
  <c r="K75" i="18" s="1"/>
  <c r="G74" i="18"/>
  <c r="H74" i="18" s="1"/>
  <c r="G73" i="18"/>
  <c r="H73" i="18" s="1"/>
  <c r="G72" i="18"/>
  <c r="H72" i="18" s="1"/>
  <c r="G71" i="18"/>
  <c r="H71" i="18" s="1"/>
  <c r="G54" i="17"/>
  <c r="H54" i="17" s="1"/>
  <c r="G40" i="17"/>
  <c r="H40" i="17" s="1"/>
  <c r="G41" i="17"/>
  <c r="H41" i="17" s="1"/>
  <c r="G42" i="17"/>
  <c r="H42" i="17" s="1"/>
  <c r="G43" i="17"/>
  <c r="H43" i="17" s="1"/>
  <c r="G44" i="17"/>
  <c r="H44" i="17" s="1"/>
  <c r="G45" i="17"/>
  <c r="H45" i="17" s="1"/>
  <c r="G46" i="17"/>
  <c r="H46" i="17" s="1"/>
  <c r="G9" i="17"/>
  <c r="H9" i="17" s="1"/>
  <c r="G16" i="17"/>
  <c r="H16" i="17" s="1"/>
  <c r="G21" i="57"/>
  <c r="H21" i="57" s="1"/>
  <c r="G22" i="57"/>
  <c r="H22" i="57" s="1"/>
  <c r="G23" i="57"/>
  <c r="H23" i="57" s="1"/>
  <c r="G24" i="57"/>
  <c r="H24" i="57" s="1"/>
  <c r="G25" i="57"/>
  <c r="H25" i="57" s="1"/>
  <c r="G26" i="57"/>
  <c r="H26" i="57" s="1"/>
  <c r="G27" i="57"/>
  <c r="H27" i="57" s="1"/>
  <c r="G140" i="17"/>
  <c r="H140" i="17" s="1"/>
  <c r="G141" i="17"/>
  <c r="H141" i="17" s="1"/>
  <c r="G142" i="17"/>
  <c r="H142" i="17" s="1"/>
  <c r="G143" i="17"/>
  <c r="H143" i="17" s="1"/>
  <c r="G144" i="17"/>
  <c r="H144" i="17" s="1"/>
  <c r="G145" i="17"/>
  <c r="H145" i="17" s="1"/>
  <c r="G146" i="17"/>
  <c r="H146" i="17" s="1"/>
  <c r="G57" i="22"/>
  <c r="H57" i="22" s="1"/>
  <c r="G58" i="22"/>
  <c r="H58" i="22" s="1"/>
  <c r="G59" i="22"/>
  <c r="H59" i="22" s="1"/>
  <c r="G60" i="22"/>
  <c r="H60" i="22" s="1"/>
  <c r="G34" i="22"/>
  <c r="H34" i="22" s="1"/>
  <c r="G35" i="22"/>
  <c r="H35" i="22" s="1"/>
  <c r="G36" i="22"/>
  <c r="H36" i="22" s="1"/>
  <c r="G37" i="22"/>
  <c r="H37" i="22" s="1"/>
  <c r="G61" i="18"/>
  <c r="H61" i="18" s="1"/>
  <c r="G62" i="18"/>
  <c r="H62" i="18" s="1"/>
  <c r="G63" i="18"/>
  <c r="H63" i="18" s="1"/>
  <c r="G64" i="18"/>
  <c r="H64" i="18" s="1"/>
  <c r="G60" i="18"/>
  <c r="H60" i="18" s="1"/>
  <c r="G59" i="18"/>
  <c r="H59" i="18" s="1"/>
  <c r="G58" i="18"/>
  <c r="H58" i="18" s="1"/>
  <c r="G57" i="18"/>
  <c r="H57" i="18" s="1"/>
  <c r="G56" i="18"/>
  <c r="H56" i="18" s="1"/>
  <c r="G55" i="18"/>
  <c r="H55" i="18" s="1"/>
  <c r="K54" i="18"/>
  <c r="K55" i="18" s="1"/>
  <c r="G54" i="18"/>
  <c r="H54" i="18" s="1"/>
  <c r="G53" i="18"/>
  <c r="H53" i="18" s="1"/>
  <c r="G52" i="18"/>
  <c r="H52" i="18" s="1"/>
  <c r="G51" i="18"/>
  <c r="H51" i="18" s="1"/>
  <c r="G27" i="18"/>
  <c r="H27" i="18" s="1"/>
  <c r="G28" i="18"/>
  <c r="H28" i="18" s="1"/>
  <c r="G85" i="24"/>
  <c r="H85" i="24" s="1"/>
  <c r="G86" i="24"/>
  <c r="H86" i="24" s="1"/>
  <c r="G84" i="24"/>
  <c r="H84" i="24" s="1"/>
  <c r="G83" i="24"/>
  <c r="H83" i="24" s="1"/>
  <c r="G82" i="24"/>
  <c r="H82" i="24" s="1"/>
  <c r="G81" i="24"/>
  <c r="H81" i="24" s="1"/>
  <c r="G80" i="24"/>
  <c r="H80" i="24" s="1"/>
  <c r="G79" i="24"/>
  <c r="H79" i="24" s="1"/>
  <c r="G78" i="24"/>
  <c r="H78" i="24" s="1"/>
  <c r="G77" i="24"/>
  <c r="H77" i="24" s="1"/>
  <c r="G76" i="24"/>
  <c r="H76" i="24" s="1"/>
  <c r="K75" i="24"/>
  <c r="G75" i="24"/>
  <c r="H75" i="24" s="1"/>
  <c r="K74" i="24"/>
  <c r="G74" i="24"/>
  <c r="H74" i="24" s="1"/>
  <c r="G73" i="24"/>
  <c r="H73" i="24" s="1"/>
  <c r="G72" i="24"/>
  <c r="H72" i="24" s="1"/>
  <c r="G71" i="24"/>
  <c r="H71" i="24" s="1"/>
  <c r="G45" i="24"/>
  <c r="H45" i="24" s="1"/>
  <c r="G46" i="24"/>
  <c r="H46" i="24" s="1"/>
  <c r="G47" i="24"/>
  <c r="H47" i="24" s="1"/>
  <c r="G117" i="12"/>
  <c r="H117" i="12" s="1"/>
  <c r="G90" i="12"/>
  <c r="H90" i="12" s="1"/>
  <c r="G91" i="12"/>
  <c r="H91" i="12" s="1"/>
  <c r="G92" i="12"/>
  <c r="H92" i="12" s="1"/>
  <c r="G69" i="12"/>
  <c r="H69" i="12" s="1"/>
  <c r="G70" i="12"/>
  <c r="H70" i="12" s="1"/>
  <c r="G51" i="12"/>
  <c r="H51" i="12" s="1"/>
  <c r="G29" i="12"/>
  <c r="H29" i="12" s="1"/>
  <c r="G155" i="19"/>
  <c r="H155" i="19" s="1"/>
  <c r="G156" i="19"/>
  <c r="H156" i="19" s="1"/>
  <c r="G157" i="19"/>
  <c r="H157" i="19" s="1"/>
  <c r="G158" i="19"/>
  <c r="H158" i="19" s="1"/>
  <c r="G159" i="19"/>
  <c r="H159" i="19" s="1"/>
  <c r="G160" i="19"/>
  <c r="H160" i="19" s="1"/>
  <c r="G161" i="19"/>
  <c r="H161" i="19" s="1"/>
  <c r="G154" i="19"/>
  <c r="H154" i="19" s="1"/>
  <c r="G153" i="19"/>
  <c r="H153" i="19" s="1"/>
  <c r="G152" i="19"/>
  <c r="H152" i="19" s="1"/>
  <c r="G151" i="19"/>
  <c r="H151" i="19" s="1"/>
  <c r="K150" i="19"/>
  <c r="K151" i="19" s="1"/>
  <c r="G150" i="19"/>
  <c r="H150" i="19" s="1"/>
  <c r="G149" i="19"/>
  <c r="H149" i="19" s="1"/>
  <c r="G148" i="19"/>
  <c r="H148" i="19" s="1"/>
  <c r="G147" i="19"/>
  <c r="H147" i="19" s="1"/>
  <c r="G39" i="19"/>
  <c r="H39" i="19" s="1"/>
  <c r="G40" i="19"/>
  <c r="H40" i="19" s="1"/>
  <c r="G41" i="19"/>
  <c r="H41" i="19" s="1"/>
  <c r="G42" i="19"/>
  <c r="H42" i="19" s="1"/>
  <c r="G37" i="19"/>
  <c r="H37" i="19" s="1"/>
  <c r="G38" i="19"/>
  <c r="H38" i="19" s="1"/>
  <c r="G280" i="4"/>
  <c r="H280" i="4" s="1"/>
  <c r="G279" i="4"/>
  <c r="H279" i="4" s="1"/>
  <c r="G278" i="4"/>
  <c r="H278" i="4" s="1"/>
  <c r="G277" i="4"/>
  <c r="H277" i="4" s="1"/>
  <c r="G276" i="4"/>
  <c r="H276" i="4" s="1"/>
  <c r="G275" i="4"/>
  <c r="H275" i="4" s="1"/>
  <c r="G274" i="4"/>
  <c r="H274" i="4" s="1"/>
  <c r="G273" i="4"/>
  <c r="H273" i="4" s="1"/>
  <c r="G272" i="4"/>
  <c r="H272" i="4" s="1"/>
  <c r="G271" i="4"/>
  <c r="H271" i="4" s="1"/>
  <c r="K270" i="4"/>
  <c r="G270" i="4"/>
  <c r="H270" i="4" s="1"/>
  <c r="K269" i="4"/>
  <c r="G269" i="4"/>
  <c r="H269" i="4" s="1"/>
  <c r="G268" i="4"/>
  <c r="H268" i="4" s="1"/>
  <c r="G267" i="4"/>
  <c r="H267" i="4" s="1"/>
  <c r="G266" i="4"/>
  <c r="H266" i="4" s="1"/>
  <c r="G185" i="4"/>
  <c r="H185" i="4" s="1"/>
  <c r="G71" i="4"/>
  <c r="H71" i="4" s="1"/>
  <c r="G72" i="4"/>
  <c r="H72" i="4" s="1"/>
  <c r="G167" i="4"/>
  <c r="H167" i="4" s="1"/>
  <c r="G164" i="4"/>
  <c r="H164" i="4" s="1"/>
  <c r="G165" i="4"/>
  <c r="H165" i="4" s="1"/>
  <c r="G148" i="4"/>
  <c r="H148" i="4" s="1"/>
  <c r="G149" i="4"/>
  <c r="H149" i="4" s="1"/>
  <c r="G128" i="4"/>
  <c r="H128" i="4" s="1"/>
  <c r="G129" i="4"/>
  <c r="H129" i="4" s="1"/>
  <c r="G108" i="4"/>
  <c r="H108" i="4" s="1"/>
  <c r="G109" i="4"/>
  <c r="H109" i="4" s="1"/>
  <c r="G89" i="4"/>
  <c r="H89" i="4" s="1"/>
  <c r="G90" i="4"/>
  <c r="H90" i="4" s="1"/>
  <c r="G259" i="4"/>
  <c r="H259" i="4" s="1"/>
  <c r="G260" i="4"/>
  <c r="H260" i="4" s="1"/>
  <c r="G107" i="4"/>
  <c r="H107" i="4" s="1"/>
  <c r="G258" i="4"/>
  <c r="H258" i="4" s="1"/>
  <c r="G257" i="4"/>
  <c r="H257" i="4" s="1"/>
  <c r="G256" i="4"/>
  <c r="H256" i="4" s="1"/>
  <c r="G255" i="4"/>
  <c r="H255" i="4" s="1"/>
  <c r="G254" i="4"/>
  <c r="H254" i="4" s="1"/>
  <c r="G253" i="4"/>
  <c r="H253" i="4" s="1"/>
  <c r="G252" i="4"/>
  <c r="H252" i="4" s="1"/>
  <c r="G251" i="4"/>
  <c r="H251" i="4" s="1"/>
  <c r="G250" i="4"/>
  <c r="H250" i="4" s="1"/>
  <c r="G249" i="4"/>
  <c r="H249" i="4" s="1"/>
  <c r="G248" i="4"/>
  <c r="H248" i="4" s="1"/>
  <c r="K247" i="4"/>
  <c r="K248" i="4" s="1"/>
  <c r="G247" i="4"/>
  <c r="H247" i="4" s="1"/>
  <c r="G246" i="4"/>
  <c r="H246" i="4" s="1"/>
  <c r="G245" i="4"/>
  <c r="H245" i="4" s="1"/>
  <c r="G244" i="4"/>
  <c r="H244" i="4" s="1"/>
  <c r="G52" i="4"/>
  <c r="H52" i="4" s="1"/>
  <c r="G50" i="4"/>
  <c r="H50" i="4" s="1"/>
  <c r="G51" i="4"/>
  <c r="H51" i="4" s="1"/>
  <c r="G27" i="4"/>
  <c r="H27" i="4" s="1"/>
  <c r="G22" i="4"/>
  <c r="H22" i="4" s="1"/>
  <c r="G23" i="4"/>
  <c r="H23" i="4" s="1"/>
  <c r="G24" i="4"/>
  <c r="H24" i="4" s="1"/>
  <c r="G25" i="4"/>
  <c r="H25" i="4" s="1"/>
  <c r="G176" i="13"/>
  <c r="H176" i="13" s="1"/>
  <c r="G175" i="13"/>
  <c r="H175" i="13" s="1"/>
  <c r="G174" i="13"/>
  <c r="H174" i="13" s="1"/>
  <c r="G173" i="13"/>
  <c r="H173" i="13" s="1"/>
  <c r="G172" i="13"/>
  <c r="H172" i="13" s="1"/>
  <c r="G171" i="13"/>
  <c r="H171" i="13" s="1"/>
  <c r="G170" i="13"/>
  <c r="H170" i="13" s="1"/>
  <c r="G169" i="13"/>
  <c r="H169" i="13" s="1"/>
  <c r="G168" i="13"/>
  <c r="H168" i="13" s="1"/>
  <c r="G167" i="13"/>
  <c r="H167" i="13" s="1"/>
  <c r="G166" i="13"/>
  <c r="H166" i="13" s="1"/>
  <c r="G165" i="13"/>
  <c r="H165" i="13" s="1"/>
  <c r="K164" i="13"/>
  <c r="K165" i="13" s="1"/>
  <c r="G164" i="13"/>
  <c r="H164" i="13" s="1"/>
  <c r="G163" i="13"/>
  <c r="H163" i="13" s="1"/>
  <c r="G162" i="13"/>
  <c r="H162" i="13" s="1"/>
  <c r="G161" i="13"/>
  <c r="H161" i="13" s="1"/>
  <c r="G126" i="13"/>
  <c r="H126" i="13" s="1"/>
  <c r="G97" i="13"/>
  <c r="H97" i="13" s="1"/>
  <c r="G88" i="13"/>
  <c r="H88" i="13" s="1"/>
  <c r="G44" i="13"/>
  <c r="H44" i="13" s="1"/>
  <c r="G45" i="13"/>
  <c r="H45" i="13" s="1"/>
  <c r="G46" i="13"/>
  <c r="H46" i="13" s="1"/>
  <c r="H104" i="32"/>
  <c r="H105" i="32" s="1"/>
  <c r="D101" i="32"/>
  <c r="E101" i="32" s="1"/>
  <c r="B81" i="6"/>
  <c r="J81" i="6" s="1"/>
  <c r="F81" i="6"/>
  <c r="G81" i="6"/>
  <c r="O81" i="6"/>
  <c r="P81" i="6" s="1"/>
  <c r="G141" i="19"/>
  <c r="H141" i="19" s="1"/>
  <c r="G140" i="19"/>
  <c r="H140" i="19" s="1"/>
  <c r="G139" i="19"/>
  <c r="H139" i="19" s="1"/>
  <c r="G138" i="19"/>
  <c r="H138" i="19" s="1"/>
  <c r="K137" i="19"/>
  <c r="K138" i="19" s="1"/>
  <c r="G137" i="19"/>
  <c r="H137" i="19" s="1"/>
  <c r="G136" i="19"/>
  <c r="H136" i="19" s="1"/>
  <c r="G135" i="19"/>
  <c r="H135" i="19" s="1"/>
  <c r="G134" i="19"/>
  <c r="H134" i="19" s="1"/>
  <c r="B204" i="6"/>
  <c r="J204" i="6" s="1"/>
  <c r="G278" i="25"/>
  <c r="H278" i="25" s="1"/>
  <c r="G279" i="25"/>
  <c r="H279" i="25" s="1"/>
  <c r="G280" i="25"/>
  <c r="H280" i="25" s="1"/>
  <c r="K279" i="25"/>
  <c r="K280" i="25" s="1"/>
  <c r="G277" i="25"/>
  <c r="H277" i="25" s="1"/>
  <c r="G276" i="25"/>
  <c r="H276" i="25" s="1"/>
  <c r="B203" i="6"/>
  <c r="J203" i="6" s="1"/>
  <c r="F203" i="6"/>
  <c r="G203" i="6"/>
  <c r="O203" i="6"/>
  <c r="P203" i="6"/>
  <c r="F204" i="6"/>
  <c r="G204" i="6" s="1"/>
  <c r="O204" i="6"/>
  <c r="P204" i="6"/>
  <c r="K267" i="25"/>
  <c r="K268" i="25" s="1"/>
  <c r="G265" i="25"/>
  <c r="H265" i="25" s="1"/>
  <c r="G264" i="25"/>
  <c r="H264" i="25" s="1"/>
  <c r="G33" i="21"/>
  <c r="H33" i="21" s="1"/>
  <c r="G34" i="21"/>
  <c r="H34" i="21" s="1"/>
  <c r="G35" i="21"/>
  <c r="H35" i="21" s="1"/>
  <c r="G36" i="21"/>
  <c r="H36" i="21" s="1"/>
  <c r="K36" i="21"/>
  <c r="K37" i="21" s="1"/>
  <c r="H94" i="18" l="1"/>
  <c r="K84" i="18" s="1"/>
  <c r="K85" i="18" s="1"/>
  <c r="K86" i="18" s="1"/>
  <c r="H78" i="18"/>
  <c r="K70" i="18" s="1"/>
  <c r="K71" i="18" s="1"/>
  <c r="K72" i="18" s="1"/>
  <c r="H65" i="18"/>
  <c r="K50" i="18"/>
  <c r="H87" i="24"/>
  <c r="K70" i="24"/>
  <c r="K146" i="19"/>
  <c r="H162" i="19"/>
  <c r="H281" i="4"/>
  <c r="K265" i="4"/>
  <c r="H261" i="4"/>
  <c r="K243" i="4"/>
  <c r="H177" i="13"/>
  <c r="K160" i="13"/>
  <c r="E102" i="32"/>
  <c r="H100" i="32"/>
  <c r="H102" i="32" s="1"/>
  <c r="H106" i="32" s="1"/>
  <c r="H142" i="19"/>
  <c r="K133" i="19"/>
  <c r="K275" i="25"/>
  <c r="H281" i="25"/>
  <c r="H266" i="25"/>
  <c r="K263" i="25"/>
  <c r="H37" i="21"/>
  <c r="K32" i="21" s="1"/>
  <c r="K33" i="21" s="1"/>
  <c r="G96" i="14"/>
  <c r="H96" i="14" s="1"/>
  <c r="G130" i="4"/>
  <c r="H130" i="4" s="1"/>
  <c r="G84" i="12"/>
  <c r="H84" i="12" s="1"/>
  <c r="G85" i="12"/>
  <c r="H85" i="12" s="1"/>
  <c r="G86" i="12"/>
  <c r="H86" i="12" s="1"/>
  <c r="G87" i="12"/>
  <c r="H87" i="12" s="1"/>
  <c r="G88" i="12"/>
  <c r="H88" i="12" s="1"/>
  <c r="G89" i="12"/>
  <c r="H89" i="12" s="1"/>
  <c r="G19" i="19"/>
  <c r="H19" i="19" s="1"/>
  <c r="G213" i="4"/>
  <c r="H213" i="4" s="1"/>
  <c r="G52" i="22"/>
  <c r="H52" i="22" s="1"/>
  <c r="G51" i="22"/>
  <c r="H51" i="22" s="1"/>
  <c r="G53" i="22"/>
  <c r="H53" i="22" s="1"/>
  <c r="G54" i="22"/>
  <c r="H54" i="22" s="1"/>
  <c r="G55" i="22"/>
  <c r="H55" i="22" s="1"/>
  <c r="G56" i="22"/>
  <c r="H56" i="22" s="1"/>
  <c r="K19" i="19"/>
  <c r="G20" i="24"/>
  <c r="H20" i="24" s="1"/>
  <c r="B181" i="6"/>
  <c r="J181" i="6" s="1"/>
  <c r="F181" i="6"/>
  <c r="G181" i="6" s="1"/>
  <c r="O181" i="6"/>
  <c r="P181" i="6" s="1"/>
  <c r="B180" i="6"/>
  <c r="J180" i="6" s="1"/>
  <c r="B179" i="6"/>
  <c r="J179" i="6" s="1"/>
  <c r="B178" i="6"/>
  <c r="J178" i="6" s="1"/>
  <c r="F178" i="6"/>
  <c r="G178" i="6" s="1"/>
  <c r="O178" i="6"/>
  <c r="P178" i="6" s="1"/>
  <c r="F179" i="6"/>
  <c r="G179" i="6" s="1"/>
  <c r="O179" i="6"/>
  <c r="P179" i="6" s="1"/>
  <c r="F180" i="6"/>
  <c r="G180" i="6"/>
  <c r="O180" i="6"/>
  <c r="P180" i="6" s="1"/>
  <c r="G257" i="25"/>
  <c r="H257" i="25" s="1"/>
  <c r="K90" i="18" l="1"/>
  <c r="K91" i="18"/>
  <c r="K92" i="18" s="1"/>
  <c r="K76" i="18"/>
  <c r="D92" i="6"/>
  <c r="C6" i="63" s="1"/>
  <c r="F4" i="63" s="1"/>
  <c r="K77" i="18"/>
  <c r="K78" i="18" s="1"/>
  <c r="K51" i="18"/>
  <c r="K52" i="18" s="1"/>
  <c r="D88" i="6" s="1"/>
  <c r="K71" i="24"/>
  <c r="K72" i="24" s="1"/>
  <c r="K147" i="19"/>
  <c r="K148" i="19" s="1"/>
  <c r="K266" i="4"/>
  <c r="K267" i="4" s="1"/>
  <c r="K244" i="4"/>
  <c r="K245" i="4" s="1"/>
  <c r="K161" i="13"/>
  <c r="K162" i="13" s="1"/>
  <c r="K34" i="21"/>
  <c r="K38" i="21" s="1"/>
  <c r="H107" i="32"/>
  <c r="H108" i="32" s="1"/>
  <c r="K134" i="19"/>
  <c r="K135" i="19" s="1"/>
  <c r="D81" i="6" s="1"/>
  <c r="K276" i="25"/>
  <c r="K277" i="25" s="1"/>
  <c r="D204" i="6" s="1"/>
  <c r="K264" i="25"/>
  <c r="K265" i="25" s="1"/>
  <c r="D203" i="6" s="1"/>
  <c r="G215" i="25"/>
  <c r="H215" i="25" s="1"/>
  <c r="I92" i="6" l="1"/>
  <c r="K92" i="6"/>
  <c r="R92" i="6"/>
  <c r="H92" i="6"/>
  <c r="Q92" i="6"/>
  <c r="K56" i="18"/>
  <c r="K57" i="18"/>
  <c r="K58" i="18" s="1"/>
  <c r="K77" i="24"/>
  <c r="K78" i="24" s="1"/>
  <c r="K76" i="24"/>
  <c r="K152" i="19"/>
  <c r="K153" i="19"/>
  <c r="K154" i="19" s="1"/>
  <c r="K271" i="4"/>
  <c r="K272" i="4"/>
  <c r="K273" i="4" s="1"/>
  <c r="K250" i="4"/>
  <c r="K251" i="4" s="1"/>
  <c r="K249" i="4"/>
  <c r="K166" i="13"/>
  <c r="K167" i="13"/>
  <c r="K168" i="13" s="1"/>
  <c r="K39" i="21"/>
  <c r="K40" i="21" s="1"/>
  <c r="K81" i="6"/>
  <c r="R81" i="6"/>
  <c r="I81" i="6"/>
  <c r="Q81" i="6"/>
  <c r="H81" i="6"/>
  <c r="H204" i="6"/>
  <c r="I204" i="6"/>
  <c r="Q204" i="6"/>
  <c r="K204" i="6"/>
  <c r="L204" i="6" s="1"/>
  <c r="M204" i="6" s="1"/>
  <c r="R204" i="6"/>
  <c r="K139" i="19"/>
  <c r="K140" i="19"/>
  <c r="K141" i="19" s="1"/>
  <c r="R203" i="6"/>
  <c r="H203" i="6"/>
  <c r="I203" i="6"/>
  <c r="K203" i="6"/>
  <c r="Q203" i="6"/>
  <c r="K281" i="25"/>
  <c r="K282" i="25"/>
  <c r="K283" i="25" s="1"/>
  <c r="K269" i="25"/>
  <c r="K270" i="25"/>
  <c r="K271" i="25" s="1"/>
  <c r="G256" i="25"/>
  <c r="H256" i="25" s="1"/>
  <c r="G255" i="25"/>
  <c r="H255" i="25" s="1"/>
  <c r="K254" i="25"/>
  <c r="K255" i="25" s="1"/>
  <c r="G254" i="25"/>
  <c r="H254" i="25" s="1"/>
  <c r="G253" i="25"/>
  <c r="H253" i="25" s="1"/>
  <c r="G252" i="25"/>
  <c r="H252" i="25" s="1"/>
  <c r="G251" i="25"/>
  <c r="H251" i="25" s="1"/>
  <c r="G241" i="25"/>
  <c r="H241" i="25" s="1"/>
  <c r="G240" i="25"/>
  <c r="H240" i="25" s="1"/>
  <c r="K239" i="25"/>
  <c r="K240" i="25" s="1"/>
  <c r="G239" i="25"/>
  <c r="H239" i="25" s="1"/>
  <c r="G238" i="25"/>
  <c r="H238" i="25" s="1"/>
  <c r="G237" i="25"/>
  <c r="H237" i="25" s="1"/>
  <c r="G236" i="25"/>
  <c r="H236" i="25" s="1"/>
  <c r="G228" i="25"/>
  <c r="H228" i="25" s="1"/>
  <c r="G227" i="25"/>
  <c r="H227" i="25" s="1"/>
  <c r="K226" i="25"/>
  <c r="K227" i="25" s="1"/>
  <c r="G226" i="25"/>
  <c r="H226" i="25" s="1"/>
  <c r="G225" i="25"/>
  <c r="H225" i="25" s="1"/>
  <c r="G224" i="25"/>
  <c r="H224" i="25" s="1"/>
  <c r="G223" i="25"/>
  <c r="H223" i="25" s="1"/>
  <c r="G214" i="25"/>
  <c r="H214" i="25" s="1"/>
  <c r="G213" i="25"/>
  <c r="H213" i="25" s="1"/>
  <c r="K212" i="25"/>
  <c r="K213" i="25" s="1"/>
  <c r="G212" i="25"/>
  <c r="H212" i="25" s="1"/>
  <c r="G211" i="25"/>
  <c r="H211" i="25" s="1"/>
  <c r="G210" i="25"/>
  <c r="H210" i="25" s="1"/>
  <c r="G209" i="25"/>
  <c r="H209" i="25" s="1"/>
  <c r="B177" i="6"/>
  <c r="J177" i="6" s="1"/>
  <c r="F177" i="6"/>
  <c r="G177" i="6" s="1"/>
  <c r="O177" i="6"/>
  <c r="P177" i="6" s="1"/>
  <c r="G199" i="25"/>
  <c r="H199" i="25" s="1"/>
  <c r="G198" i="25"/>
  <c r="H198" i="25" s="1"/>
  <c r="K197" i="25"/>
  <c r="K198" i="25" s="1"/>
  <c r="G197" i="25"/>
  <c r="H197" i="25" s="1"/>
  <c r="G196" i="25"/>
  <c r="H196" i="25" s="1"/>
  <c r="G195" i="25"/>
  <c r="H195" i="25" s="1"/>
  <c r="G194" i="25"/>
  <c r="H194" i="25" s="1"/>
  <c r="E373" i="6"/>
  <c r="F373" i="6" s="1"/>
  <c r="G373" i="6" s="1"/>
  <c r="B373" i="6"/>
  <c r="J373" i="6" s="1"/>
  <c r="O373" i="6"/>
  <c r="P373" i="6" s="1"/>
  <c r="G69" i="31"/>
  <c r="H69" i="31" s="1"/>
  <c r="E237" i="6"/>
  <c r="F237" i="6" s="1"/>
  <c r="G237" i="6" s="1"/>
  <c r="B237" i="6"/>
  <c r="J237" i="6" s="1"/>
  <c r="O237" i="6"/>
  <c r="P237" i="6" s="1"/>
  <c r="E447" i="6"/>
  <c r="E446" i="6"/>
  <c r="E445" i="6"/>
  <c r="E444" i="6"/>
  <c r="B404" i="6"/>
  <c r="J404" i="6" s="1"/>
  <c r="F404" i="6"/>
  <c r="G404" i="6" s="1"/>
  <c r="O404" i="6"/>
  <c r="P404" i="6" s="1"/>
  <c r="H86" i="50"/>
  <c r="H87" i="50" s="1"/>
  <c r="D83" i="50"/>
  <c r="E83" i="50" s="1"/>
  <c r="B403" i="6"/>
  <c r="J403" i="6" s="1"/>
  <c r="F403" i="6"/>
  <c r="G403" i="6" s="1"/>
  <c r="O403" i="6"/>
  <c r="P403" i="6" s="1"/>
  <c r="H74" i="50"/>
  <c r="H73" i="50"/>
  <c r="D70" i="50"/>
  <c r="E70" i="50" s="1"/>
  <c r="C694" i="8"/>
  <c r="E368" i="6"/>
  <c r="F368" i="6" s="1"/>
  <c r="G368" i="6" s="1"/>
  <c r="B368" i="6"/>
  <c r="J368" i="6" s="1"/>
  <c r="O368" i="6"/>
  <c r="P368" i="6" s="1"/>
  <c r="E247" i="6"/>
  <c r="F247" i="6" s="1"/>
  <c r="B247" i="6"/>
  <c r="J247" i="6" s="1"/>
  <c r="O247" i="6"/>
  <c r="P247" i="6" s="1"/>
  <c r="G65" i="43"/>
  <c r="H65" i="43" s="1"/>
  <c r="K64" i="43"/>
  <c r="K65" i="43" s="1"/>
  <c r="G64" i="43"/>
  <c r="H64" i="43" s="1"/>
  <c r="G63" i="43"/>
  <c r="H63" i="43" s="1"/>
  <c r="G62" i="43"/>
  <c r="H62" i="43" s="1"/>
  <c r="H61" i="43"/>
  <c r="E402" i="6"/>
  <c r="F402" i="6" s="1"/>
  <c r="G402" i="6" s="1"/>
  <c r="B402" i="6"/>
  <c r="J402" i="6" s="1"/>
  <c r="O402" i="6"/>
  <c r="P402" i="6" s="1"/>
  <c r="C217" i="8"/>
  <c r="G8" i="36"/>
  <c r="G9" i="36"/>
  <c r="G10" i="36"/>
  <c r="G11" i="36"/>
  <c r="G12" i="36"/>
  <c r="G13" i="36"/>
  <c r="G14" i="36"/>
  <c r="G21" i="36"/>
  <c r="G22" i="36"/>
  <c r="G23" i="36"/>
  <c r="G24" i="36"/>
  <c r="G25" i="36"/>
  <c r="G26" i="36"/>
  <c r="G20" i="36"/>
  <c r="E438" i="6"/>
  <c r="F438" i="6" s="1"/>
  <c r="G438" i="6" s="1"/>
  <c r="E437" i="6"/>
  <c r="F437" i="6" s="1"/>
  <c r="G437" i="6" s="1"/>
  <c r="E436" i="6"/>
  <c r="F436" i="6" s="1"/>
  <c r="G436" i="6" s="1"/>
  <c r="E435" i="6"/>
  <c r="F435" i="6" s="1"/>
  <c r="G435" i="6" s="1"/>
  <c r="E434" i="6"/>
  <c r="F434" i="6" s="1"/>
  <c r="G434" i="6" s="1"/>
  <c r="G125" i="57"/>
  <c r="H125" i="57" s="1"/>
  <c r="G95" i="57"/>
  <c r="H95" i="57" s="1"/>
  <c r="G96" i="57"/>
  <c r="H96" i="57" s="1"/>
  <c r="G97" i="57"/>
  <c r="H97" i="57" s="1"/>
  <c r="G98" i="57"/>
  <c r="H98" i="57" s="1"/>
  <c r="G99" i="57"/>
  <c r="H99" i="57" s="1"/>
  <c r="G100" i="57"/>
  <c r="H100" i="57" s="1"/>
  <c r="G101" i="57"/>
  <c r="H101" i="57" s="1"/>
  <c r="G102" i="57"/>
  <c r="H102" i="57" s="1"/>
  <c r="G103" i="57"/>
  <c r="H103" i="57" s="1"/>
  <c r="G104" i="57"/>
  <c r="H104" i="57" s="1"/>
  <c r="G105" i="57"/>
  <c r="H105" i="57" s="1"/>
  <c r="G106" i="57"/>
  <c r="H106" i="57" s="1"/>
  <c r="G107" i="57"/>
  <c r="H107" i="57" s="1"/>
  <c r="G108" i="57"/>
  <c r="H108" i="57" s="1"/>
  <c r="G109" i="57"/>
  <c r="H109" i="57" s="1"/>
  <c r="G110" i="57"/>
  <c r="H110" i="57" s="1"/>
  <c r="G94" i="57"/>
  <c r="H94" i="57" s="1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9" i="12"/>
  <c r="G76" i="12"/>
  <c r="G77" i="12"/>
  <c r="G78" i="12"/>
  <c r="G79" i="12"/>
  <c r="G80" i="12"/>
  <c r="G81" i="12"/>
  <c r="G82" i="12"/>
  <c r="G83" i="12"/>
  <c r="G75" i="12"/>
  <c r="G68" i="12"/>
  <c r="H68" i="12" s="1"/>
  <c r="G50" i="12"/>
  <c r="H50" i="12" s="1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35" i="12"/>
  <c r="G38" i="18"/>
  <c r="G39" i="18"/>
  <c r="G40" i="18"/>
  <c r="G41" i="18"/>
  <c r="G42" i="18"/>
  <c r="G43" i="18"/>
  <c r="G44" i="18"/>
  <c r="G45" i="18"/>
  <c r="G46" i="18"/>
  <c r="G37" i="18"/>
  <c r="G23" i="18"/>
  <c r="G24" i="18"/>
  <c r="G25" i="18"/>
  <c r="G26" i="18"/>
  <c r="G22" i="18"/>
  <c r="G10" i="18"/>
  <c r="G11" i="18"/>
  <c r="G12" i="18"/>
  <c r="G13" i="18"/>
  <c r="G14" i="18"/>
  <c r="G15" i="18"/>
  <c r="G16" i="18"/>
  <c r="G17" i="18"/>
  <c r="G9" i="18"/>
  <c r="G99" i="19"/>
  <c r="G100" i="19"/>
  <c r="G101" i="19"/>
  <c r="G102" i="19"/>
  <c r="G103" i="19"/>
  <c r="G104" i="19"/>
  <c r="G105" i="19"/>
  <c r="G106" i="19"/>
  <c r="G107" i="19"/>
  <c r="G108" i="19"/>
  <c r="G109" i="19"/>
  <c r="G110" i="19"/>
  <c r="G111" i="19"/>
  <c r="G98" i="19"/>
  <c r="G117" i="19"/>
  <c r="G118" i="19"/>
  <c r="G119" i="19"/>
  <c r="G120" i="19"/>
  <c r="G121" i="19"/>
  <c r="G122" i="19"/>
  <c r="G123" i="19"/>
  <c r="G124" i="19"/>
  <c r="G125" i="19"/>
  <c r="G126" i="19"/>
  <c r="G127" i="19"/>
  <c r="G128" i="19"/>
  <c r="G116" i="19"/>
  <c r="G129" i="57"/>
  <c r="H129" i="57" s="1"/>
  <c r="G128" i="57"/>
  <c r="H128" i="57" s="1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B438" i="6"/>
  <c r="J438" i="6" s="1"/>
  <c r="O438" i="6"/>
  <c r="P438" i="6" s="1"/>
  <c r="F454" i="6"/>
  <c r="G454" i="6" s="1"/>
  <c r="F455" i="6"/>
  <c r="G455" i="6" s="1"/>
  <c r="F456" i="6"/>
  <c r="G456" i="6" s="1"/>
  <c r="F457" i="6"/>
  <c r="G457" i="6" s="1"/>
  <c r="F458" i="6"/>
  <c r="G458" i="6" s="1"/>
  <c r="F453" i="6"/>
  <c r="G453" i="6" s="1"/>
  <c r="B458" i="6"/>
  <c r="B457" i="6"/>
  <c r="B456" i="6"/>
  <c r="B455" i="6"/>
  <c r="B454" i="6"/>
  <c r="B453" i="6"/>
  <c r="Q458" i="6"/>
  <c r="P458" i="6"/>
  <c r="O458" i="6"/>
  <c r="M458" i="6"/>
  <c r="Q457" i="6"/>
  <c r="P457" i="6"/>
  <c r="O457" i="6"/>
  <c r="M457" i="6"/>
  <c r="Q456" i="6"/>
  <c r="P456" i="6"/>
  <c r="O456" i="6"/>
  <c r="M456" i="6"/>
  <c r="Q455" i="6"/>
  <c r="P455" i="6"/>
  <c r="O455" i="6"/>
  <c r="M455" i="6"/>
  <c r="Q454" i="6"/>
  <c r="P454" i="6"/>
  <c r="O454" i="6"/>
  <c r="M454" i="6"/>
  <c r="Q453" i="6"/>
  <c r="P453" i="6"/>
  <c r="O453" i="6"/>
  <c r="M453" i="6"/>
  <c r="G82" i="62"/>
  <c r="H82" i="62" s="1"/>
  <c r="G81" i="62"/>
  <c r="H81" i="62" s="1"/>
  <c r="G80" i="62"/>
  <c r="H80" i="62" s="1"/>
  <c r="G79" i="62"/>
  <c r="H79" i="62" s="1"/>
  <c r="K78" i="62"/>
  <c r="K79" i="62" s="1"/>
  <c r="G78" i="62"/>
  <c r="H78" i="62" s="1"/>
  <c r="G77" i="62"/>
  <c r="H77" i="62" s="1"/>
  <c r="G76" i="62"/>
  <c r="H76" i="62" s="1"/>
  <c r="G75" i="62"/>
  <c r="H75" i="62" s="1"/>
  <c r="G70" i="62"/>
  <c r="H70" i="62" s="1"/>
  <c r="G69" i="62"/>
  <c r="H69" i="62" s="1"/>
  <c r="G68" i="62"/>
  <c r="H68" i="62" s="1"/>
  <c r="G67" i="62"/>
  <c r="H67" i="62" s="1"/>
  <c r="G66" i="62"/>
  <c r="H66" i="62" s="1"/>
  <c r="G65" i="62"/>
  <c r="H65" i="62" s="1"/>
  <c r="K64" i="62"/>
  <c r="K65" i="62" s="1"/>
  <c r="G64" i="62"/>
  <c r="H64" i="62" s="1"/>
  <c r="G63" i="62"/>
  <c r="H63" i="62" s="1"/>
  <c r="G62" i="62"/>
  <c r="H62" i="62" s="1"/>
  <c r="G61" i="62"/>
  <c r="H61" i="62" s="1"/>
  <c r="G54" i="62"/>
  <c r="H54" i="62" s="1"/>
  <c r="G53" i="62"/>
  <c r="H53" i="62" s="1"/>
  <c r="G52" i="62"/>
  <c r="H52" i="62" s="1"/>
  <c r="G51" i="62"/>
  <c r="H51" i="62" s="1"/>
  <c r="K50" i="62"/>
  <c r="K51" i="62" s="1"/>
  <c r="G50" i="62"/>
  <c r="H50" i="62" s="1"/>
  <c r="G49" i="62"/>
  <c r="H49" i="62" s="1"/>
  <c r="G48" i="62"/>
  <c r="H48" i="62" s="1"/>
  <c r="G47" i="62"/>
  <c r="H47" i="62" s="1"/>
  <c r="G42" i="62"/>
  <c r="H42" i="62" s="1"/>
  <c r="G41" i="62"/>
  <c r="H41" i="62" s="1"/>
  <c r="G40" i="62"/>
  <c r="H40" i="62" s="1"/>
  <c r="G39" i="62"/>
  <c r="H39" i="62" s="1"/>
  <c r="G38" i="62"/>
  <c r="H38" i="62" s="1"/>
  <c r="K37" i="62"/>
  <c r="K38" i="62" s="1"/>
  <c r="G37" i="62"/>
  <c r="H37" i="62" s="1"/>
  <c r="G36" i="62"/>
  <c r="H36" i="62" s="1"/>
  <c r="G35" i="62"/>
  <c r="H35" i="62" s="1"/>
  <c r="G34" i="62"/>
  <c r="H34" i="62" s="1"/>
  <c r="G29" i="62"/>
  <c r="H29" i="62" s="1"/>
  <c r="G28" i="62"/>
  <c r="H28" i="62" s="1"/>
  <c r="G27" i="62"/>
  <c r="H27" i="62" s="1"/>
  <c r="G26" i="62"/>
  <c r="H26" i="62" s="1"/>
  <c r="G25" i="62"/>
  <c r="H25" i="62" s="1"/>
  <c r="G24" i="62"/>
  <c r="H24" i="62" s="1"/>
  <c r="K23" i="62"/>
  <c r="K24" i="62" s="1"/>
  <c r="G23" i="62"/>
  <c r="H23" i="62" s="1"/>
  <c r="G22" i="62"/>
  <c r="H22" i="62" s="1"/>
  <c r="G21" i="62"/>
  <c r="H21" i="62" s="1"/>
  <c r="G20" i="62"/>
  <c r="H20" i="62" s="1"/>
  <c r="K8" i="62"/>
  <c r="K9" i="62" s="1"/>
  <c r="G127" i="57"/>
  <c r="H127" i="57" s="1"/>
  <c r="G126" i="57"/>
  <c r="H126" i="57" s="1"/>
  <c r="G124" i="57"/>
  <c r="H124" i="57" s="1"/>
  <c r="G123" i="57"/>
  <c r="H123" i="57" s="1"/>
  <c r="G122" i="57"/>
  <c r="H122" i="57" s="1"/>
  <c r="K119" i="57"/>
  <c r="K120" i="57" s="1"/>
  <c r="G121" i="57"/>
  <c r="H121" i="57" s="1"/>
  <c r="G120" i="57"/>
  <c r="H120" i="57" s="1"/>
  <c r="G119" i="57"/>
  <c r="H119" i="57" s="1"/>
  <c r="G118" i="57"/>
  <c r="H118" i="57" s="1"/>
  <c r="B142" i="6"/>
  <c r="J142" i="6" s="1"/>
  <c r="F142" i="6"/>
  <c r="G142" i="6" s="1"/>
  <c r="O142" i="6"/>
  <c r="P142" i="6" s="1"/>
  <c r="B437" i="6"/>
  <c r="J437" i="6" s="1"/>
  <c r="O437" i="6"/>
  <c r="P437" i="6" s="1"/>
  <c r="B436" i="6"/>
  <c r="J436" i="6" s="1"/>
  <c r="O436" i="6"/>
  <c r="P436" i="6" s="1"/>
  <c r="K95" i="57"/>
  <c r="K96" i="57" s="1"/>
  <c r="G85" i="57"/>
  <c r="H85" i="57" s="1"/>
  <c r="G86" i="57"/>
  <c r="H86" i="57" s="1"/>
  <c r="G87" i="57"/>
  <c r="H87" i="57" s="1"/>
  <c r="G84" i="57"/>
  <c r="H84" i="57" s="1"/>
  <c r="G83" i="57"/>
  <c r="H83" i="57" s="1"/>
  <c r="G82" i="57"/>
  <c r="H82" i="57" s="1"/>
  <c r="G81" i="57"/>
  <c r="H81" i="57" s="1"/>
  <c r="G80" i="57"/>
  <c r="H80" i="57" s="1"/>
  <c r="G79" i="57"/>
  <c r="H79" i="57" s="1"/>
  <c r="G78" i="57"/>
  <c r="H78" i="57" s="1"/>
  <c r="G77" i="57"/>
  <c r="H77" i="57" s="1"/>
  <c r="G76" i="57"/>
  <c r="H76" i="57" s="1"/>
  <c r="G75" i="57"/>
  <c r="H75" i="57" s="1"/>
  <c r="G74" i="57"/>
  <c r="H74" i="57" s="1"/>
  <c r="K71" i="57"/>
  <c r="K72" i="57" s="1"/>
  <c r="G73" i="57"/>
  <c r="H73" i="57" s="1"/>
  <c r="G72" i="57"/>
  <c r="H72" i="57" s="1"/>
  <c r="G71" i="57"/>
  <c r="H71" i="57" s="1"/>
  <c r="G70" i="57"/>
  <c r="H70" i="57" s="1"/>
  <c r="B435" i="6"/>
  <c r="J435" i="6" s="1"/>
  <c r="O435" i="6"/>
  <c r="P435" i="6" s="1"/>
  <c r="G51" i="57"/>
  <c r="H51" i="57" s="1"/>
  <c r="G52" i="57"/>
  <c r="H52" i="57" s="1"/>
  <c r="G54" i="57"/>
  <c r="H54" i="57" s="1"/>
  <c r="G53" i="57"/>
  <c r="H53" i="57" s="1"/>
  <c r="G56" i="57"/>
  <c r="H56" i="57" s="1"/>
  <c r="G57" i="57"/>
  <c r="H57" i="57" s="1"/>
  <c r="G62" i="57"/>
  <c r="H62" i="57" s="1"/>
  <c r="G58" i="57"/>
  <c r="H58" i="57" s="1"/>
  <c r="G55" i="57"/>
  <c r="H55" i="57" s="1"/>
  <c r="G63" i="57"/>
  <c r="H63" i="57" s="1"/>
  <c r="G60" i="57"/>
  <c r="H60" i="57" s="1"/>
  <c r="K50" i="57"/>
  <c r="K51" i="57" s="1"/>
  <c r="G61" i="57"/>
  <c r="H61" i="57" s="1"/>
  <c r="G59" i="57"/>
  <c r="H59" i="57" s="1"/>
  <c r="G49" i="57"/>
  <c r="H49" i="57" s="1"/>
  <c r="G50" i="57"/>
  <c r="H50" i="57" s="1"/>
  <c r="B434" i="6"/>
  <c r="J434" i="6" s="1"/>
  <c r="O434" i="6"/>
  <c r="P434" i="6" s="1"/>
  <c r="G39" i="57"/>
  <c r="H39" i="57" s="1"/>
  <c r="G38" i="57"/>
  <c r="H38" i="57" s="1"/>
  <c r="G35" i="57"/>
  <c r="H35" i="57" s="1"/>
  <c r="G42" i="57"/>
  <c r="H42" i="57" s="1"/>
  <c r="G32" i="57"/>
  <c r="H32" i="57" s="1"/>
  <c r="G43" i="57"/>
  <c r="H43" i="57" s="1"/>
  <c r="G34" i="57"/>
  <c r="H34" i="57" s="1"/>
  <c r="G41" i="57"/>
  <c r="H41" i="57" s="1"/>
  <c r="G44" i="57"/>
  <c r="H44" i="57" s="1"/>
  <c r="G33" i="57"/>
  <c r="H33" i="57" s="1"/>
  <c r="K32" i="57"/>
  <c r="K33" i="57" s="1"/>
  <c r="G36" i="57"/>
  <c r="H36" i="57" s="1"/>
  <c r="G37" i="57"/>
  <c r="H37" i="57" s="1"/>
  <c r="G40" i="57"/>
  <c r="H40" i="57" s="1"/>
  <c r="G31" i="57"/>
  <c r="H31" i="57" s="1"/>
  <c r="G110" i="13"/>
  <c r="H110" i="13" s="1"/>
  <c r="G25" i="21"/>
  <c r="H25" i="21" s="1"/>
  <c r="G26" i="21"/>
  <c r="H26" i="21" s="1"/>
  <c r="G75" i="19"/>
  <c r="H75" i="19" s="1"/>
  <c r="G76" i="19"/>
  <c r="H76" i="19" s="1"/>
  <c r="G77" i="19"/>
  <c r="H77" i="19" s="1"/>
  <c r="G93" i="19"/>
  <c r="H93" i="19" s="1"/>
  <c r="B112" i="6"/>
  <c r="B128" i="6"/>
  <c r="J128" i="6" s="1"/>
  <c r="F128" i="6"/>
  <c r="G128" i="6" s="1"/>
  <c r="O128" i="6"/>
  <c r="P128" i="6" s="1"/>
  <c r="G139" i="17"/>
  <c r="H139" i="17" s="1"/>
  <c r="G138" i="17"/>
  <c r="H138" i="17" s="1"/>
  <c r="G137" i="17"/>
  <c r="H137" i="17" s="1"/>
  <c r="G136" i="17"/>
  <c r="H136" i="17" s="1"/>
  <c r="G135" i="17"/>
  <c r="H135" i="17" s="1"/>
  <c r="G134" i="17"/>
  <c r="H134" i="17" s="1"/>
  <c r="K133" i="17"/>
  <c r="K134" i="17" s="1"/>
  <c r="G133" i="17"/>
  <c r="H133" i="17" s="1"/>
  <c r="G132" i="17"/>
  <c r="H132" i="17" s="1"/>
  <c r="G131" i="17"/>
  <c r="H131" i="17" s="1"/>
  <c r="G130" i="17"/>
  <c r="H130" i="17" s="1"/>
  <c r="L92" i="6" l="1"/>
  <c r="M92" i="6" s="1"/>
  <c r="L81" i="6"/>
  <c r="M81" i="6" s="1"/>
  <c r="L203" i="6"/>
  <c r="M203" i="6" s="1"/>
  <c r="K250" i="25"/>
  <c r="H258" i="25"/>
  <c r="H242" i="25"/>
  <c r="K235" i="25"/>
  <c r="H229" i="25"/>
  <c r="K222" i="25"/>
  <c r="H216" i="25"/>
  <c r="K208" i="25"/>
  <c r="H200" i="25"/>
  <c r="K193" i="25"/>
  <c r="E84" i="50"/>
  <c r="H82" i="50"/>
  <c r="H84" i="50" s="1"/>
  <c r="E71" i="50"/>
  <c r="H69" i="50"/>
  <c r="H71" i="50" s="1"/>
  <c r="G247" i="6"/>
  <c r="K60" i="43"/>
  <c r="H66" i="43"/>
  <c r="H83" i="62"/>
  <c r="K74" i="62" s="1"/>
  <c r="K75" i="62" s="1"/>
  <c r="K76" i="62" s="1"/>
  <c r="D458" i="6" s="1"/>
  <c r="K458" i="6" s="1"/>
  <c r="L458" i="6" s="1"/>
  <c r="H71" i="62"/>
  <c r="K60" i="62" s="1"/>
  <c r="K61" i="62" s="1"/>
  <c r="K62" i="62" s="1"/>
  <c r="D457" i="6" s="1"/>
  <c r="K457" i="6" s="1"/>
  <c r="L457" i="6" s="1"/>
  <c r="H55" i="62"/>
  <c r="K46" i="62" s="1"/>
  <c r="K47" i="62" s="1"/>
  <c r="K48" i="62" s="1"/>
  <c r="H43" i="62"/>
  <c r="K33" i="62" s="1"/>
  <c r="K34" i="62" s="1"/>
  <c r="K35" i="62" s="1"/>
  <c r="D455" i="6" s="1"/>
  <c r="K455" i="6" s="1"/>
  <c r="L455" i="6" s="1"/>
  <c r="H30" i="62"/>
  <c r="K19" i="62" s="1"/>
  <c r="K20" i="62" s="1"/>
  <c r="K21" i="62" s="1"/>
  <c r="D454" i="6" s="1"/>
  <c r="H454" i="6" s="1"/>
  <c r="H130" i="57"/>
  <c r="K115" i="57"/>
  <c r="H111" i="57"/>
  <c r="K91" i="57"/>
  <c r="H88" i="57"/>
  <c r="K67" i="57"/>
  <c r="H64" i="57"/>
  <c r="K46" i="57"/>
  <c r="H45" i="57"/>
  <c r="K28" i="57"/>
  <c r="K129" i="17"/>
  <c r="H147" i="17"/>
  <c r="K251" i="25" l="1"/>
  <c r="K252" i="25" s="1"/>
  <c r="D181" i="6" s="1"/>
  <c r="K236" i="25"/>
  <c r="K237" i="25" s="1"/>
  <c r="D180" i="6" s="1"/>
  <c r="K223" i="25"/>
  <c r="K224" i="25" s="1"/>
  <c r="D179" i="6" s="1"/>
  <c r="K209" i="25"/>
  <c r="K210" i="25" s="1"/>
  <c r="D178" i="6" s="1"/>
  <c r="K194" i="25"/>
  <c r="K195" i="25" s="1"/>
  <c r="D177" i="6" s="1"/>
  <c r="H88" i="50"/>
  <c r="D404" i="6"/>
  <c r="H75" i="50"/>
  <c r="D403" i="6"/>
  <c r="H89" i="50"/>
  <c r="H90" i="50" s="1"/>
  <c r="H76" i="50"/>
  <c r="H77" i="50" s="1"/>
  <c r="K61" i="43"/>
  <c r="K62" i="43" s="1"/>
  <c r="D247" i="6" s="1"/>
  <c r="H457" i="6"/>
  <c r="K52" i="62"/>
  <c r="D456" i="6"/>
  <c r="H455" i="6"/>
  <c r="K454" i="6"/>
  <c r="L454" i="6" s="1"/>
  <c r="H458" i="6"/>
  <c r="K80" i="62"/>
  <c r="K81" i="62"/>
  <c r="K82" i="62" s="1"/>
  <c r="K66" i="62"/>
  <c r="K67" i="62"/>
  <c r="K68" i="62" s="1"/>
  <c r="K53" i="62"/>
  <c r="K54" i="62" s="1"/>
  <c r="K39" i="62"/>
  <c r="K40" i="62"/>
  <c r="K41" i="62" s="1"/>
  <c r="K25" i="62"/>
  <c r="K26" i="62"/>
  <c r="K27" i="62" s="1"/>
  <c r="K116" i="57"/>
  <c r="K117" i="57" s="1"/>
  <c r="D438" i="6" s="1"/>
  <c r="K92" i="57"/>
  <c r="K93" i="57" s="1"/>
  <c r="D437" i="6" s="1"/>
  <c r="K68" i="57"/>
  <c r="K69" i="57" s="1"/>
  <c r="D436" i="6" s="1"/>
  <c r="K47" i="57"/>
  <c r="K48" i="57" s="1"/>
  <c r="D435" i="6" s="1"/>
  <c r="Q435" i="6" s="1"/>
  <c r="K29" i="57"/>
  <c r="K30" i="57" s="1"/>
  <c r="D434" i="6" s="1"/>
  <c r="Q434" i="6" s="1"/>
  <c r="K130" i="17"/>
  <c r="K131" i="17" s="1"/>
  <c r="D128" i="6" s="1"/>
  <c r="G185" i="25"/>
  <c r="H185" i="25" s="1"/>
  <c r="G14" i="62"/>
  <c r="H14" i="62" s="1"/>
  <c r="G56" i="17"/>
  <c r="H56" i="17" s="1"/>
  <c r="G55" i="17"/>
  <c r="H55" i="17" s="1"/>
  <c r="K178" i="6" l="1"/>
  <c r="Q178" i="6"/>
  <c r="R178" i="6"/>
  <c r="I178" i="6"/>
  <c r="H178" i="6"/>
  <c r="R179" i="6"/>
  <c r="H179" i="6"/>
  <c r="I179" i="6"/>
  <c r="K179" i="6"/>
  <c r="L179" i="6" s="1"/>
  <c r="M179" i="6" s="1"/>
  <c r="Q179" i="6"/>
  <c r="R180" i="6"/>
  <c r="I180" i="6"/>
  <c r="Q180" i="6"/>
  <c r="H180" i="6"/>
  <c r="K180" i="6"/>
  <c r="R181" i="6"/>
  <c r="K181" i="6"/>
  <c r="L181" i="6" s="1"/>
  <c r="M181" i="6" s="1"/>
  <c r="H181" i="6"/>
  <c r="Q181" i="6"/>
  <c r="I181" i="6"/>
  <c r="K177" i="6"/>
  <c r="R177" i="6"/>
  <c r="I177" i="6"/>
  <c r="Q177" i="6"/>
  <c r="H177" i="6"/>
  <c r="K256" i="25"/>
  <c r="K257" i="25"/>
  <c r="K258" i="25" s="1"/>
  <c r="K241" i="25"/>
  <c r="K242" i="25"/>
  <c r="K243" i="25" s="1"/>
  <c r="K228" i="25"/>
  <c r="K229" i="25"/>
  <c r="K230" i="25" s="1"/>
  <c r="K214" i="25"/>
  <c r="K215" i="25"/>
  <c r="K216" i="25" s="1"/>
  <c r="K199" i="25"/>
  <c r="K200" i="25"/>
  <c r="K201" i="25" s="1"/>
  <c r="K403" i="6"/>
  <c r="L403" i="6" s="1"/>
  <c r="M403" i="6" s="1"/>
  <c r="I403" i="6"/>
  <c r="H403" i="6"/>
  <c r="Q403" i="6"/>
  <c r="R403" i="6"/>
  <c r="K404" i="6"/>
  <c r="R404" i="6"/>
  <c r="Q404" i="6"/>
  <c r="H404" i="6"/>
  <c r="I404" i="6"/>
  <c r="Q247" i="6"/>
  <c r="K247" i="6"/>
  <c r="H247" i="6"/>
  <c r="R247" i="6"/>
  <c r="I247" i="6"/>
  <c r="K66" i="43"/>
  <c r="K67" i="43"/>
  <c r="K68" i="43" s="1"/>
  <c r="I438" i="6"/>
  <c r="R438" i="6"/>
  <c r="Q438" i="6"/>
  <c r="K438" i="6"/>
  <c r="H438" i="6"/>
  <c r="H456" i="6"/>
  <c r="K456" i="6"/>
  <c r="L456" i="6" s="1"/>
  <c r="K121" i="57"/>
  <c r="K122" i="57"/>
  <c r="K123" i="57" s="1"/>
  <c r="K437" i="6"/>
  <c r="R437" i="6"/>
  <c r="Q437" i="6"/>
  <c r="I437" i="6"/>
  <c r="H437" i="6"/>
  <c r="R436" i="6"/>
  <c r="K436" i="6"/>
  <c r="L436" i="6" s="1"/>
  <c r="M436" i="6" s="1"/>
  <c r="H436" i="6"/>
  <c r="Q436" i="6"/>
  <c r="I436" i="6"/>
  <c r="K435" i="6"/>
  <c r="L435" i="6" s="1"/>
  <c r="M435" i="6" s="1"/>
  <c r="H435" i="6"/>
  <c r="R435" i="6"/>
  <c r="I435" i="6"/>
  <c r="K97" i="57"/>
  <c r="K98" i="57"/>
  <c r="K99" i="57" s="1"/>
  <c r="K73" i="57"/>
  <c r="K74" i="57"/>
  <c r="K75" i="57" s="1"/>
  <c r="K52" i="57"/>
  <c r="K53" i="57"/>
  <c r="K54" i="57" s="1"/>
  <c r="K434" i="6"/>
  <c r="R434" i="6"/>
  <c r="H434" i="6"/>
  <c r="I434" i="6"/>
  <c r="K34" i="57"/>
  <c r="K35" i="57"/>
  <c r="K36" i="57" s="1"/>
  <c r="H128" i="6"/>
  <c r="I128" i="6"/>
  <c r="K128" i="6"/>
  <c r="Q128" i="6"/>
  <c r="R128" i="6"/>
  <c r="K135" i="17"/>
  <c r="K136" i="17"/>
  <c r="K137" i="17" s="1"/>
  <c r="G13" i="62"/>
  <c r="H13" i="62" s="1"/>
  <c r="G12" i="62"/>
  <c r="H12" i="62" s="1"/>
  <c r="G11" i="62"/>
  <c r="H11" i="62" s="1"/>
  <c r="G10" i="62"/>
  <c r="H10" i="62" s="1"/>
  <c r="G9" i="62"/>
  <c r="H9" i="62" s="1"/>
  <c r="G8" i="62"/>
  <c r="H8" i="62" s="1"/>
  <c r="G7" i="62"/>
  <c r="H7" i="62" s="1"/>
  <c r="G6" i="62"/>
  <c r="H6" i="62" s="1"/>
  <c r="G5" i="62"/>
  <c r="H5" i="62" s="1"/>
  <c r="E433" i="6"/>
  <c r="F433" i="6" s="1"/>
  <c r="B433" i="6"/>
  <c r="J433" i="6" s="1"/>
  <c r="G20" i="57"/>
  <c r="H20" i="57" s="1"/>
  <c r="G19" i="57"/>
  <c r="H19" i="57" s="1"/>
  <c r="G18" i="57"/>
  <c r="H18" i="57" s="1"/>
  <c r="G17" i="57"/>
  <c r="H17" i="57" s="1"/>
  <c r="G16" i="57"/>
  <c r="H16" i="57" s="1"/>
  <c r="G15" i="57"/>
  <c r="H15" i="57" s="1"/>
  <c r="K14" i="57"/>
  <c r="K15" i="57" s="1"/>
  <c r="G14" i="57"/>
  <c r="H14" i="57" s="1"/>
  <c r="G13" i="57"/>
  <c r="H13" i="57" s="1"/>
  <c r="G12" i="57"/>
  <c r="H12" i="57" s="1"/>
  <c r="G11" i="57"/>
  <c r="H11" i="57" s="1"/>
  <c r="O433" i="6"/>
  <c r="P433" i="6" s="1"/>
  <c r="O307" i="6"/>
  <c r="O297" i="6"/>
  <c r="O298" i="6"/>
  <c r="O299" i="6"/>
  <c r="O300" i="6"/>
  <c r="O285" i="6"/>
  <c r="O286" i="6"/>
  <c r="O273" i="6"/>
  <c r="O419" i="6"/>
  <c r="O420" i="6"/>
  <c r="O421" i="6"/>
  <c r="O422" i="6"/>
  <c r="O423" i="6"/>
  <c r="O424" i="6"/>
  <c r="O425" i="6"/>
  <c r="O426" i="6"/>
  <c r="O409" i="6"/>
  <c r="O410" i="6"/>
  <c r="O411" i="6"/>
  <c r="O412" i="6"/>
  <c r="O413" i="6"/>
  <c r="O414" i="6"/>
  <c r="O398" i="6"/>
  <c r="O399" i="6"/>
  <c r="O400" i="6"/>
  <c r="O401" i="6"/>
  <c r="O380" i="6"/>
  <c r="O381" i="6"/>
  <c r="O382" i="6"/>
  <c r="O383" i="6"/>
  <c r="O384" i="6"/>
  <c r="O385" i="6"/>
  <c r="O386" i="6"/>
  <c r="O387" i="6"/>
  <c r="O388" i="6"/>
  <c r="O389" i="6"/>
  <c r="O390" i="6"/>
  <c r="O391" i="6"/>
  <c r="O362" i="6"/>
  <c r="O363" i="6"/>
  <c r="O364" i="6"/>
  <c r="O365" i="6"/>
  <c r="O366" i="6"/>
  <c r="O367" i="6"/>
  <c r="O369" i="6"/>
  <c r="O370" i="6"/>
  <c r="O371" i="6"/>
  <c r="O372" i="6"/>
  <c r="O350" i="6"/>
  <c r="O351" i="6"/>
  <c r="O352" i="6"/>
  <c r="O353" i="6"/>
  <c r="O354" i="6"/>
  <c r="O355" i="6"/>
  <c r="O356" i="6"/>
  <c r="O340" i="6"/>
  <c r="O341" i="6"/>
  <c r="O342" i="6"/>
  <c r="O327" i="6"/>
  <c r="O328" i="6"/>
  <c r="O329" i="6"/>
  <c r="O330" i="6"/>
  <c r="O331" i="6"/>
  <c r="O332" i="6"/>
  <c r="O313" i="6"/>
  <c r="O314" i="6"/>
  <c r="O315" i="6"/>
  <c r="O316" i="6"/>
  <c r="O317" i="6"/>
  <c r="O318" i="6"/>
  <c r="O319" i="6"/>
  <c r="O320" i="6"/>
  <c r="O321" i="6"/>
  <c r="O306" i="6"/>
  <c r="O293" i="6"/>
  <c r="O294" i="6"/>
  <c r="O280" i="6"/>
  <c r="O281" i="6"/>
  <c r="O282" i="6"/>
  <c r="O283" i="6"/>
  <c r="O284" i="6"/>
  <c r="O268" i="6"/>
  <c r="O269" i="6"/>
  <c r="O270" i="6"/>
  <c r="O271" i="6"/>
  <c r="O272" i="6"/>
  <c r="B52" i="6"/>
  <c r="E61" i="6"/>
  <c r="F61" i="6" s="1"/>
  <c r="G61" i="6" s="1"/>
  <c r="B61" i="6"/>
  <c r="J61" i="6" s="1"/>
  <c r="O61" i="6"/>
  <c r="P61" i="6" s="1"/>
  <c r="O209" i="6"/>
  <c r="O210" i="6"/>
  <c r="O211" i="6"/>
  <c r="O212" i="6"/>
  <c r="O213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02" i="6"/>
  <c r="E91" i="6"/>
  <c r="F91" i="6" s="1"/>
  <c r="G91" i="6" s="1"/>
  <c r="B91" i="6"/>
  <c r="J91" i="6" s="1"/>
  <c r="H43" i="18"/>
  <c r="H44" i="18"/>
  <c r="H38" i="18"/>
  <c r="H45" i="18"/>
  <c r="H42" i="18"/>
  <c r="H41" i="18"/>
  <c r="K40" i="18"/>
  <c r="K41" i="18" s="1"/>
  <c r="H39" i="18"/>
  <c r="H40" i="18"/>
  <c r="H46" i="18"/>
  <c r="H37" i="18"/>
  <c r="E90" i="6"/>
  <c r="F90" i="6" s="1"/>
  <c r="B90" i="6"/>
  <c r="J90" i="6" s="1"/>
  <c r="O90" i="6"/>
  <c r="P90" i="6" s="1"/>
  <c r="O91" i="6"/>
  <c r="P91" i="6" s="1"/>
  <c r="H26" i="18"/>
  <c r="K25" i="18"/>
  <c r="K26" i="18" s="1"/>
  <c r="H22" i="18"/>
  <c r="H24" i="18"/>
  <c r="H25" i="18"/>
  <c r="H23" i="18"/>
  <c r="E117" i="6"/>
  <c r="F117" i="6" s="1"/>
  <c r="G117" i="6" s="1"/>
  <c r="B117" i="6"/>
  <c r="J117" i="6" s="1"/>
  <c r="G230" i="4"/>
  <c r="H230" i="4" s="1"/>
  <c r="G228" i="4"/>
  <c r="H228" i="4" s="1"/>
  <c r="G232" i="4"/>
  <c r="H232" i="4" s="1"/>
  <c r="G222" i="4"/>
  <c r="H222" i="4" s="1"/>
  <c r="G221" i="4"/>
  <c r="H221" i="4" s="1"/>
  <c r="G226" i="4"/>
  <c r="H226" i="4" s="1"/>
  <c r="G236" i="4"/>
  <c r="H236" i="4" s="1"/>
  <c r="G218" i="4"/>
  <c r="H218" i="4" s="1"/>
  <c r="G225" i="4"/>
  <c r="H225" i="4" s="1"/>
  <c r="G223" i="4"/>
  <c r="H223" i="4" s="1"/>
  <c r="G238" i="4"/>
  <c r="H238" i="4" s="1"/>
  <c r="G220" i="4"/>
  <c r="H220" i="4" s="1"/>
  <c r="G231" i="4"/>
  <c r="H231" i="4" s="1"/>
  <c r="G224" i="4"/>
  <c r="H224" i="4" s="1"/>
  <c r="G235" i="4"/>
  <c r="H235" i="4" s="1"/>
  <c r="G233" i="4"/>
  <c r="H233" i="4" s="1"/>
  <c r="G237" i="4"/>
  <c r="H237" i="4" s="1"/>
  <c r="K221" i="4"/>
  <c r="K222" i="4" s="1"/>
  <c r="G229" i="4"/>
  <c r="H229" i="4" s="1"/>
  <c r="G219" i="4"/>
  <c r="H219" i="4" s="1"/>
  <c r="G234" i="4"/>
  <c r="H234" i="4" s="1"/>
  <c r="G227" i="4"/>
  <c r="H227" i="4" s="1"/>
  <c r="O117" i="6"/>
  <c r="P117" i="6" s="1"/>
  <c r="E116" i="6"/>
  <c r="F116" i="6" s="1"/>
  <c r="G116" i="6" s="1"/>
  <c r="B116" i="6"/>
  <c r="J116" i="6" s="1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57" i="4"/>
  <c r="O116" i="6"/>
  <c r="P116" i="6" s="1"/>
  <c r="G206" i="4"/>
  <c r="H206" i="4" s="1"/>
  <c r="G207" i="4"/>
  <c r="H207" i="4" s="1"/>
  <c r="G208" i="4"/>
  <c r="H208" i="4" s="1"/>
  <c r="G209" i="4"/>
  <c r="H209" i="4" s="1"/>
  <c r="G210" i="4"/>
  <c r="H210" i="4" s="1"/>
  <c r="G211" i="4"/>
  <c r="H211" i="4" s="1"/>
  <c r="G212" i="4"/>
  <c r="H212" i="4" s="1"/>
  <c r="E46" i="6"/>
  <c r="F46" i="6" s="1"/>
  <c r="B46" i="6"/>
  <c r="J46" i="6" s="1"/>
  <c r="J496" i="27"/>
  <c r="J497" i="27" s="1"/>
  <c r="F494" i="27"/>
  <c r="G494" i="27" s="1"/>
  <c r="F493" i="27"/>
  <c r="G493" i="27" s="1"/>
  <c r="O46" i="6"/>
  <c r="P46" i="6" s="1"/>
  <c r="G24" i="19"/>
  <c r="L180" i="6" l="1"/>
  <c r="M180" i="6" s="1"/>
  <c r="L178" i="6"/>
  <c r="M178" i="6" s="1"/>
  <c r="L177" i="6"/>
  <c r="M177" i="6" s="1"/>
  <c r="L404" i="6"/>
  <c r="M404" i="6" s="1"/>
  <c r="L247" i="6"/>
  <c r="M247" i="6" s="1"/>
  <c r="L438" i="6"/>
  <c r="M438" i="6" s="1"/>
  <c r="L437" i="6"/>
  <c r="M437" i="6" s="1"/>
  <c r="L434" i="6"/>
  <c r="M434" i="6" s="1"/>
  <c r="L128" i="6"/>
  <c r="M128" i="6" s="1"/>
  <c r="H15" i="62"/>
  <c r="K4" i="62" s="1"/>
  <c r="K5" i="62" s="1"/>
  <c r="K6" i="62" s="1"/>
  <c r="D453" i="6" s="1"/>
  <c r="H28" i="57"/>
  <c r="K10" i="57"/>
  <c r="G433" i="6"/>
  <c r="H47" i="18"/>
  <c r="K36" i="18"/>
  <c r="G90" i="6"/>
  <c r="H29" i="18"/>
  <c r="K21" i="18"/>
  <c r="H239" i="4"/>
  <c r="K217" i="4"/>
  <c r="G46" i="6"/>
  <c r="G495" i="27"/>
  <c r="J492" i="27"/>
  <c r="B45" i="6"/>
  <c r="G18" i="17"/>
  <c r="G11" i="17"/>
  <c r="H11" i="17" s="1"/>
  <c r="G8" i="17"/>
  <c r="H8" i="17" s="1"/>
  <c r="G12" i="17"/>
  <c r="H12" i="17" s="1"/>
  <c r="G15" i="17"/>
  <c r="H15" i="17" s="1"/>
  <c r="G17" i="17"/>
  <c r="H17" i="17" s="1"/>
  <c r="H25" i="17"/>
  <c r="H26" i="12"/>
  <c r="H12" i="12"/>
  <c r="O167" i="6"/>
  <c r="P167" i="6" s="1"/>
  <c r="O169" i="6"/>
  <c r="P169" i="6" s="1"/>
  <c r="O171" i="6"/>
  <c r="P171" i="6" s="1"/>
  <c r="O173" i="6"/>
  <c r="P173" i="6" s="1"/>
  <c r="O174" i="6"/>
  <c r="P174" i="6" s="1"/>
  <c r="O147" i="6"/>
  <c r="P147" i="6" s="1"/>
  <c r="O148" i="6"/>
  <c r="P148" i="6" s="1"/>
  <c r="O149" i="6"/>
  <c r="P149" i="6" s="1"/>
  <c r="O140" i="6"/>
  <c r="P140" i="6" s="1"/>
  <c r="O141" i="6"/>
  <c r="P141" i="6" s="1"/>
  <c r="O134" i="6"/>
  <c r="P134" i="6" s="1"/>
  <c r="O135" i="6"/>
  <c r="P135" i="6" s="1"/>
  <c r="O107" i="6"/>
  <c r="P107" i="6" s="1"/>
  <c r="O108" i="6"/>
  <c r="P108" i="6" s="1"/>
  <c r="O109" i="6"/>
  <c r="P109" i="6" s="1"/>
  <c r="O110" i="6"/>
  <c r="P110" i="6" s="1"/>
  <c r="O111" i="6"/>
  <c r="P111" i="6" s="1"/>
  <c r="O112" i="6"/>
  <c r="P112" i="6" s="1"/>
  <c r="O113" i="6"/>
  <c r="P113" i="6" s="1"/>
  <c r="O114" i="6"/>
  <c r="P114" i="6" s="1"/>
  <c r="O115" i="6"/>
  <c r="P115" i="6" s="1"/>
  <c r="O122" i="6"/>
  <c r="P122" i="6" s="1"/>
  <c r="O123" i="6"/>
  <c r="P123" i="6" s="1"/>
  <c r="O124" i="6"/>
  <c r="P124" i="6" s="1"/>
  <c r="O125" i="6"/>
  <c r="P125" i="6" s="1"/>
  <c r="O126" i="6"/>
  <c r="P126" i="6" s="1"/>
  <c r="O127" i="6"/>
  <c r="P127" i="6" s="1"/>
  <c r="O98" i="6"/>
  <c r="P98" i="6" s="1"/>
  <c r="O99" i="6"/>
  <c r="P99" i="6" s="1"/>
  <c r="O100" i="6"/>
  <c r="P100" i="6" s="1"/>
  <c r="O101" i="6"/>
  <c r="P101" i="6" s="1"/>
  <c r="O102" i="6"/>
  <c r="P102" i="6" s="1"/>
  <c r="P419" i="6"/>
  <c r="P420" i="6"/>
  <c r="P421" i="6"/>
  <c r="P422" i="6"/>
  <c r="P423" i="6"/>
  <c r="P424" i="6"/>
  <c r="P425" i="6"/>
  <c r="P426" i="6"/>
  <c r="P409" i="6"/>
  <c r="P410" i="6"/>
  <c r="P411" i="6"/>
  <c r="P412" i="6"/>
  <c r="P413" i="6"/>
  <c r="P414" i="6"/>
  <c r="P398" i="6"/>
  <c r="P399" i="6"/>
  <c r="P400" i="6"/>
  <c r="P401" i="6"/>
  <c r="P380" i="6"/>
  <c r="P381" i="6"/>
  <c r="P382" i="6"/>
  <c r="P383" i="6"/>
  <c r="P384" i="6"/>
  <c r="P385" i="6"/>
  <c r="P386" i="6"/>
  <c r="P387" i="6"/>
  <c r="P388" i="6"/>
  <c r="P389" i="6"/>
  <c r="P390" i="6"/>
  <c r="P391" i="6"/>
  <c r="P362" i="6"/>
  <c r="P363" i="6"/>
  <c r="P364" i="6"/>
  <c r="P365" i="6"/>
  <c r="P366" i="6"/>
  <c r="P367" i="6"/>
  <c r="P369" i="6"/>
  <c r="P370" i="6"/>
  <c r="P371" i="6"/>
  <c r="P372" i="6"/>
  <c r="P350" i="6"/>
  <c r="P351" i="6"/>
  <c r="P352" i="6"/>
  <c r="P353" i="6"/>
  <c r="P354" i="6"/>
  <c r="P355" i="6"/>
  <c r="P356" i="6"/>
  <c r="P340" i="6"/>
  <c r="P341" i="6"/>
  <c r="P342" i="6"/>
  <c r="P327" i="6"/>
  <c r="P328" i="6"/>
  <c r="P329" i="6"/>
  <c r="P330" i="6"/>
  <c r="P331" i="6"/>
  <c r="P332" i="6"/>
  <c r="P313" i="6"/>
  <c r="P314" i="6"/>
  <c r="P315" i="6"/>
  <c r="P316" i="6"/>
  <c r="P317" i="6"/>
  <c r="P318" i="6"/>
  <c r="P319" i="6"/>
  <c r="P320" i="6"/>
  <c r="P321" i="6"/>
  <c r="P306" i="6"/>
  <c r="P307" i="6"/>
  <c r="P293" i="6"/>
  <c r="P294" i="6"/>
  <c r="P297" i="6"/>
  <c r="P298" i="6"/>
  <c r="P299" i="6"/>
  <c r="P300" i="6"/>
  <c r="P280" i="6"/>
  <c r="P281" i="6"/>
  <c r="P282" i="6"/>
  <c r="P283" i="6"/>
  <c r="P284" i="6"/>
  <c r="P285" i="6"/>
  <c r="P286" i="6"/>
  <c r="P268" i="6"/>
  <c r="P269" i="6"/>
  <c r="P270" i="6"/>
  <c r="P271" i="6"/>
  <c r="P272" i="6"/>
  <c r="P273" i="6"/>
  <c r="P209" i="6"/>
  <c r="P210" i="6"/>
  <c r="P211" i="6"/>
  <c r="P212" i="6"/>
  <c r="P213" i="6"/>
  <c r="P188" i="6"/>
  <c r="P189" i="6"/>
  <c r="P190" i="6"/>
  <c r="P191" i="6"/>
  <c r="P192" i="6"/>
  <c r="P193" i="6"/>
  <c r="P194" i="6"/>
  <c r="P195" i="6"/>
  <c r="P196" i="6"/>
  <c r="P197" i="6"/>
  <c r="P198" i="6"/>
  <c r="P199" i="6"/>
  <c r="P200" i="6"/>
  <c r="P201" i="6"/>
  <c r="P202" i="6"/>
  <c r="O7" i="6"/>
  <c r="P7" i="6" s="1"/>
  <c r="K453" i="6" l="1"/>
  <c r="L453" i="6" s="1"/>
  <c r="H453" i="6"/>
  <c r="K10" i="62"/>
  <c r="K11" i="62"/>
  <c r="K12" i="62" s="1"/>
  <c r="K11" i="57"/>
  <c r="K12" i="57" s="1"/>
  <c r="D433" i="6" s="1"/>
  <c r="Q433" i="6" s="1"/>
  <c r="K37" i="18"/>
  <c r="K38" i="18" s="1"/>
  <c r="D91" i="6" s="1"/>
  <c r="K22" i="18"/>
  <c r="K23" i="18" s="1"/>
  <c r="D90" i="6" s="1"/>
  <c r="I90" i="6" s="1"/>
  <c r="K218" i="4"/>
  <c r="K219" i="4" s="1"/>
  <c r="D117" i="6" s="1"/>
  <c r="J493" i="27"/>
  <c r="J494" i="27" s="1"/>
  <c r="D46" i="6" s="1"/>
  <c r="I46" i="6" s="1"/>
  <c r="O88" i="6"/>
  <c r="P88" i="6" s="1"/>
  <c r="O89" i="6"/>
  <c r="P89" i="6" s="1"/>
  <c r="O75" i="6"/>
  <c r="P75" i="6" s="1"/>
  <c r="O76" i="6"/>
  <c r="P76" i="6" s="1"/>
  <c r="O77" i="6"/>
  <c r="P77" i="6" s="1"/>
  <c r="O78" i="6"/>
  <c r="P78" i="6" s="1"/>
  <c r="O79" i="6"/>
  <c r="P79" i="6" s="1"/>
  <c r="O80" i="6"/>
  <c r="P80" i="6" s="1"/>
  <c r="O66" i="6"/>
  <c r="P66" i="6" s="1"/>
  <c r="O67" i="6"/>
  <c r="P67" i="6" s="1"/>
  <c r="O68" i="6"/>
  <c r="P68" i="6" s="1"/>
  <c r="O51" i="6"/>
  <c r="O52" i="6"/>
  <c r="P52" i="6" s="1"/>
  <c r="O53" i="6"/>
  <c r="P53" i="6" s="1"/>
  <c r="O54" i="6"/>
  <c r="P54" i="6" s="1"/>
  <c r="O55" i="6"/>
  <c r="P55" i="6" s="1"/>
  <c r="O56" i="6"/>
  <c r="P56" i="6" s="1"/>
  <c r="O57" i="6"/>
  <c r="P57" i="6" s="1"/>
  <c r="O58" i="6"/>
  <c r="P58" i="6" s="1"/>
  <c r="O59" i="6"/>
  <c r="P59" i="6" s="1"/>
  <c r="O60" i="6"/>
  <c r="P60" i="6" s="1"/>
  <c r="O8" i="6"/>
  <c r="P8" i="6" s="1"/>
  <c r="O9" i="6"/>
  <c r="P9" i="6" s="1"/>
  <c r="O10" i="6"/>
  <c r="P10" i="6" s="1"/>
  <c r="O11" i="6"/>
  <c r="P11" i="6" s="1"/>
  <c r="O12" i="6"/>
  <c r="P12" i="6" s="1"/>
  <c r="O13" i="6"/>
  <c r="P13" i="6" s="1"/>
  <c r="O14" i="6"/>
  <c r="P14" i="6" s="1"/>
  <c r="O15" i="6"/>
  <c r="P15" i="6" s="1"/>
  <c r="O16" i="6"/>
  <c r="P16" i="6" s="1"/>
  <c r="O17" i="6"/>
  <c r="P17" i="6" s="1"/>
  <c r="O18" i="6"/>
  <c r="P18" i="6" s="1"/>
  <c r="O19" i="6"/>
  <c r="P19" i="6" s="1"/>
  <c r="O20" i="6"/>
  <c r="P20" i="6" s="1"/>
  <c r="O21" i="6"/>
  <c r="P21" i="6" s="1"/>
  <c r="O22" i="6"/>
  <c r="P22" i="6" s="1"/>
  <c r="O23" i="6"/>
  <c r="P23" i="6" s="1"/>
  <c r="O24" i="6"/>
  <c r="P24" i="6" s="1"/>
  <c r="O25" i="6"/>
  <c r="P25" i="6" s="1"/>
  <c r="O26" i="6"/>
  <c r="P26" i="6" s="1"/>
  <c r="O27" i="6"/>
  <c r="P27" i="6" s="1"/>
  <c r="O28" i="6"/>
  <c r="P28" i="6" s="1"/>
  <c r="O29" i="6"/>
  <c r="P29" i="6" s="1"/>
  <c r="O30" i="6"/>
  <c r="P30" i="6" s="1"/>
  <c r="O31" i="6"/>
  <c r="P31" i="6" s="1"/>
  <c r="O32" i="6"/>
  <c r="P32" i="6" s="1"/>
  <c r="O33" i="6"/>
  <c r="P33" i="6" s="1"/>
  <c r="O34" i="6"/>
  <c r="P34" i="6" s="1"/>
  <c r="O35" i="6"/>
  <c r="P35" i="6" s="1"/>
  <c r="O36" i="6"/>
  <c r="P36" i="6" s="1"/>
  <c r="O37" i="6"/>
  <c r="P37" i="6" s="1"/>
  <c r="O38" i="6"/>
  <c r="P38" i="6" s="1"/>
  <c r="O39" i="6"/>
  <c r="P39" i="6" s="1"/>
  <c r="O40" i="6"/>
  <c r="P40" i="6" s="1"/>
  <c r="O41" i="6"/>
  <c r="P41" i="6" s="1"/>
  <c r="O42" i="6"/>
  <c r="P42" i="6" s="1"/>
  <c r="O43" i="6"/>
  <c r="P43" i="6" s="1"/>
  <c r="O44" i="6"/>
  <c r="P44" i="6" s="1"/>
  <c r="O45" i="6"/>
  <c r="P45" i="6" s="1"/>
  <c r="J89" i="6"/>
  <c r="G145" i="39"/>
  <c r="H6" i="39"/>
  <c r="E71" i="44"/>
  <c r="E58" i="44"/>
  <c r="E45" i="44"/>
  <c r="E32" i="44"/>
  <c r="E20" i="44"/>
  <c r="E8" i="44"/>
  <c r="E81" i="42"/>
  <c r="E70" i="42"/>
  <c r="E46" i="42"/>
  <c r="E34" i="42"/>
  <c r="E21" i="42"/>
  <c r="E8" i="42"/>
  <c r="E59" i="42"/>
  <c r="E102" i="6"/>
  <c r="F102" i="6" s="1"/>
  <c r="B102" i="6"/>
  <c r="J102" i="6" s="1"/>
  <c r="H112" i="12"/>
  <c r="H113" i="12"/>
  <c r="H114" i="12"/>
  <c r="H115" i="12"/>
  <c r="H116" i="12"/>
  <c r="H111" i="12"/>
  <c r="H110" i="12"/>
  <c r="H109" i="12"/>
  <c r="H108" i="12"/>
  <c r="H107" i="12"/>
  <c r="H106" i="12"/>
  <c r="H105" i="12"/>
  <c r="H104" i="12"/>
  <c r="H103" i="12"/>
  <c r="H102" i="12"/>
  <c r="K101" i="12"/>
  <c r="K102" i="12" s="1"/>
  <c r="H101" i="12"/>
  <c r="H100" i="12"/>
  <c r="H99" i="12"/>
  <c r="G98" i="12"/>
  <c r="H98" i="12" s="1"/>
  <c r="G56" i="12"/>
  <c r="G57" i="12"/>
  <c r="G58" i="12"/>
  <c r="G59" i="12"/>
  <c r="G60" i="12"/>
  <c r="G61" i="12"/>
  <c r="G62" i="12"/>
  <c r="G63" i="12"/>
  <c r="G64" i="12"/>
  <c r="G65" i="12"/>
  <c r="G66" i="12"/>
  <c r="G67" i="12"/>
  <c r="E89" i="6"/>
  <c r="F89" i="6" s="1"/>
  <c r="G89" i="6" s="1"/>
  <c r="E79" i="6"/>
  <c r="B79" i="6"/>
  <c r="J79" i="6" s="1"/>
  <c r="E80" i="6"/>
  <c r="F80" i="6" s="1"/>
  <c r="B80" i="6"/>
  <c r="J80" i="6" s="1"/>
  <c r="H111" i="19"/>
  <c r="E68" i="6"/>
  <c r="F68" i="6" s="1"/>
  <c r="B68" i="6"/>
  <c r="J68" i="6" s="1"/>
  <c r="G64" i="24"/>
  <c r="H64" i="24" s="1"/>
  <c r="G65" i="24"/>
  <c r="H65" i="24" s="1"/>
  <c r="G63" i="24"/>
  <c r="H63" i="24" s="1"/>
  <c r="G62" i="24"/>
  <c r="H62" i="24" s="1"/>
  <c r="G61" i="24"/>
  <c r="H61" i="24" s="1"/>
  <c r="G60" i="24"/>
  <c r="H60" i="24" s="1"/>
  <c r="G59" i="24"/>
  <c r="H59" i="24" s="1"/>
  <c r="G58" i="24"/>
  <c r="H58" i="24" s="1"/>
  <c r="G57" i="24"/>
  <c r="H57" i="24" s="1"/>
  <c r="G56" i="24"/>
  <c r="H56" i="24" s="1"/>
  <c r="K55" i="24"/>
  <c r="K56" i="24" s="1"/>
  <c r="G55" i="24"/>
  <c r="H55" i="24" s="1"/>
  <c r="G54" i="24"/>
  <c r="H54" i="24" s="1"/>
  <c r="G53" i="24"/>
  <c r="H53" i="24" s="1"/>
  <c r="G52" i="24"/>
  <c r="H52" i="24" s="1"/>
  <c r="E127" i="6"/>
  <c r="F127" i="6" s="1"/>
  <c r="B127" i="6"/>
  <c r="J127" i="6" s="1"/>
  <c r="E126" i="6"/>
  <c r="F126" i="6" s="1"/>
  <c r="B126" i="6"/>
  <c r="J126" i="6" s="1"/>
  <c r="G124" i="17"/>
  <c r="H124" i="17" s="1"/>
  <c r="G123" i="17"/>
  <c r="H123" i="17" s="1"/>
  <c r="G122" i="17"/>
  <c r="H122" i="17" s="1"/>
  <c r="G121" i="17"/>
  <c r="H121" i="17" s="1"/>
  <c r="G120" i="17"/>
  <c r="H120" i="17" s="1"/>
  <c r="G119" i="17"/>
  <c r="H119" i="17" s="1"/>
  <c r="G118" i="17"/>
  <c r="H118" i="17" s="1"/>
  <c r="G117" i="17"/>
  <c r="H117" i="17" s="1"/>
  <c r="G116" i="17"/>
  <c r="H116" i="17" s="1"/>
  <c r="G115" i="17"/>
  <c r="H115" i="17" s="1"/>
  <c r="G114" i="17"/>
  <c r="H114" i="17" s="1"/>
  <c r="K113" i="17"/>
  <c r="K114" i="17" s="1"/>
  <c r="G113" i="17"/>
  <c r="H113" i="17" s="1"/>
  <c r="G112" i="17"/>
  <c r="H112" i="17" s="1"/>
  <c r="G111" i="17"/>
  <c r="H111" i="17" s="1"/>
  <c r="G110" i="17"/>
  <c r="H110" i="17" s="1"/>
  <c r="G21" i="24"/>
  <c r="H21" i="24" s="1"/>
  <c r="G42" i="24"/>
  <c r="H42" i="24" s="1"/>
  <c r="G35" i="24"/>
  <c r="H35" i="24" s="1"/>
  <c r="G28" i="24"/>
  <c r="H28" i="24" s="1"/>
  <c r="D87" i="32"/>
  <c r="D75" i="32"/>
  <c r="D64" i="32"/>
  <c r="D52" i="32"/>
  <c r="D41" i="32"/>
  <c r="D29" i="32"/>
  <c r="D18" i="32"/>
  <c r="D5" i="32"/>
  <c r="E115" i="40"/>
  <c r="E103" i="40"/>
  <c r="E91" i="40"/>
  <c r="E78" i="40"/>
  <c r="E67" i="40"/>
  <c r="E56" i="40"/>
  <c r="E44" i="40"/>
  <c r="E33" i="40"/>
  <c r="E21" i="40"/>
  <c r="E8" i="40"/>
  <c r="D94" i="52"/>
  <c r="D82" i="52"/>
  <c r="D71" i="52"/>
  <c r="D58" i="52"/>
  <c r="D44" i="52"/>
  <c r="D32" i="52"/>
  <c r="D20" i="52"/>
  <c r="D8" i="52"/>
  <c r="D64" i="51"/>
  <c r="D53" i="51"/>
  <c r="D42" i="51"/>
  <c r="D31" i="51"/>
  <c r="D20" i="51"/>
  <c r="D8" i="51"/>
  <c r="H58" i="50"/>
  <c r="H59" i="50" s="1"/>
  <c r="D55" i="50"/>
  <c r="E55" i="50" s="1"/>
  <c r="D44" i="50"/>
  <c r="D31" i="50"/>
  <c r="D20" i="50"/>
  <c r="D8" i="50"/>
  <c r="E142" i="49"/>
  <c r="E130" i="49"/>
  <c r="E117" i="49"/>
  <c r="E105" i="49"/>
  <c r="E92" i="49"/>
  <c r="E80" i="49"/>
  <c r="E69" i="49"/>
  <c r="E56" i="49"/>
  <c r="E44" i="49"/>
  <c r="E32" i="49"/>
  <c r="E20" i="49"/>
  <c r="E8" i="49"/>
  <c r="E146" i="48"/>
  <c r="E135" i="48"/>
  <c r="E122" i="48"/>
  <c r="E109" i="48"/>
  <c r="E96" i="48"/>
  <c r="E83" i="48"/>
  <c r="E70" i="48"/>
  <c r="E56" i="48"/>
  <c r="E44" i="48"/>
  <c r="E32" i="48"/>
  <c r="E19" i="48"/>
  <c r="E8" i="48"/>
  <c r="K16" i="57" l="1"/>
  <c r="K17" i="57"/>
  <c r="K18" i="57" s="1"/>
  <c r="K91" i="6"/>
  <c r="L91" i="6" s="1"/>
  <c r="M91" i="6" s="1"/>
  <c r="R91" i="6"/>
  <c r="Q91" i="6"/>
  <c r="H91" i="6"/>
  <c r="I91" i="6"/>
  <c r="R90" i="6"/>
  <c r="K90" i="6"/>
  <c r="Q90" i="6"/>
  <c r="H90" i="6"/>
  <c r="K42" i="18"/>
  <c r="K43" i="18"/>
  <c r="K44" i="18" s="1"/>
  <c r="K27" i="18"/>
  <c r="K28" i="18"/>
  <c r="K29" i="18" s="1"/>
  <c r="R117" i="6"/>
  <c r="I117" i="6"/>
  <c r="Q117" i="6"/>
  <c r="H117" i="6"/>
  <c r="K117" i="6"/>
  <c r="L117" i="6" s="1"/>
  <c r="M117" i="6" s="1"/>
  <c r="K223" i="4"/>
  <c r="K224" i="4"/>
  <c r="K225" i="4" s="1"/>
  <c r="R46" i="6"/>
  <c r="Q46" i="6"/>
  <c r="K46" i="6"/>
  <c r="H46" i="6"/>
  <c r="J498" i="27"/>
  <c r="J499" i="27"/>
  <c r="J500" i="27" s="1"/>
  <c r="P51" i="6"/>
  <c r="G67" i="39"/>
  <c r="G86" i="39"/>
  <c r="G113" i="39"/>
  <c r="G114" i="39"/>
  <c r="H228" i="39"/>
  <c r="H137" i="39"/>
  <c r="H53" i="39"/>
  <c r="H76" i="39"/>
  <c r="G79" i="39"/>
  <c r="G283" i="39"/>
  <c r="G29" i="39"/>
  <c r="H283" i="39"/>
  <c r="H272" i="39"/>
  <c r="H260" i="39"/>
  <c r="H248" i="39"/>
  <c r="H236" i="39"/>
  <c r="H216" i="39"/>
  <c r="H204" i="39"/>
  <c r="H193" i="39"/>
  <c r="H182" i="39"/>
  <c r="H170" i="39"/>
  <c r="H158" i="39"/>
  <c r="H147" i="39"/>
  <c r="H135" i="39"/>
  <c r="H123" i="39"/>
  <c r="H111" i="39"/>
  <c r="H99" i="39"/>
  <c r="H87" i="39"/>
  <c r="H75" i="39"/>
  <c r="H63" i="39"/>
  <c r="H51" i="39"/>
  <c r="H39" i="39"/>
  <c r="H27" i="39"/>
  <c r="H15" i="39"/>
  <c r="G158" i="39"/>
  <c r="H282" i="39"/>
  <c r="H271" i="39"/>
  <c r="H259" i="39"/>
  <c r="H247" i="39"/>
  <c r="H235" i="39"/>
  <c r="H226" i="39"/>
  <c r="H215" i="39"/>
  <c r="H203" i="39"/>
  <c r="H192" i="39"/>
  <c r="H181" i="39"/>
  <c r="H169" i="39"/>
  <c r="H146" i="39"/>
  <c r="H134" i="39"/>
  <c r="H122" i="39"/>
  <c r="H110" i="39"/>
  <c r="H98" i="39"/>
  <c r="H86" i="39"/>
  <c r="H74" i="39"/>
  <c r="H62" i="39"/>
  <c r="H50" i="39"/>
  <c r="H38" i="39"/>
  <c r="H26" i="39"/>
  <c r="H14" i="39"/>
  <c r="H262" i="39"/>
  <c r="H217" i="39"/>
  <c r="H160" i="39"/>
  <c r="H114" i="39"/>
  <c r="H101" i="39"/>
  <c r="H17" i="39"/>
  <c r="H13" i="39"/>
  <c r="H206" i="39"/>
  <c r="H125" i="39"/>
  <c r="H29" i="39"/>
  <c r="H238" i="39"/>
  <c r="H149" i="39"/>
  <c r="H41" i="39"/>
  <c r="H227" i="39"/>
  <c r="H171" i="39"/>
  <c r="H100" i="39"/>
  <c r="H28" i="39"/>
  <c r="G199" i="39"/>
  <c r="H270" i="39"/>
  <c r="H180" i="39"/>
  <c r="H145" i="39"/>
  <c r="H85" i="39"/>
  <c r="H49" i="39"/>
  <c r="G58" i="39"/>
  <c r="H269" i="39"/>
  <c r="H225" i="39"/>
  <c r="H190" i="39"/>
  <c r="H156" i="39"/>
  <c r="H96" i="39"/>
  <c r="H24" i="39"/>
  <c r="G63" i="39"/>
  <c r="H244" i="39"/>
  <c r="H178" i="39"/>
  <c r="H119" i="39"/>
  <c r="H11" i="39"/>
  <c r="G258" i="39"/>
  <c r="G37" i="39"/>
  <c r="G103" i="39"/>
  <c r="H278" i="39"/>
  <c r="H267" i="39"/>
  <c r="H255" i="39"/>
  <c r="H243" i="39"/>
  <c r="H231" i="39"/>
  <c r="H223" i="39"/>
  <c r="H211" i="39"/>
  <c r="H200" i="39"/>
  <c r="H188" i="39"/>
  <c r="H177" i="39"/>
  <c r="H165" i="39"/>
  <c r="H154" i="39"/>
  <c r="H142" i="39"/>
  <c r="H130" i="39"/>
  <c r="H118" i="39"/>
  <c r="H106" i="39"/>
  <c r="H94" i="39"/>
  <c r="H82" i="39"/>
  <c r="H70" i="39"/>
  <c r="H58" i="39"/>
  <c r="H46" i="39"/>
  <c r="H34" i="39"/>
  <c r="H22" i="39"/>
  <c r="H10" i="39"/>
  <c r="H250" i="39"/>
  <c r="H172" i="39"/>
  <c r="H89" i="39"/>
  <c r="H218" i="39"/>
  <c r="H159" i="39"/>
  <c r="H88" i="39"/>
  <c r="H16" i="39"/>
  <c r="G21" i="39"/>
  <c r="H246" i="39"/>
  <c r="H214" i="39"/>
  <c r="H168" i="39"/>
  <c r="H97" i="39"/>
  <c r="H37" i="39"/>
  <c r="G240" i="39"/>
  <c r="H280" i="39"/>
  <c r="H245" i="39"/>
  <c r="H202" i="39"/>
  <c r="H167" i="39"/>
  <c r="H120" i="39"/>
  <c r="H73" i="39"/>
  <c r="H36" i="39"/>
  <c r="G248" i="39"/>
  <c r="H256" i="39"/>
  <c r="H201" i="39"/>
  <c r="H107" i="39"/>
  <c r="H23" i="39"/>
  <c r="G127" i="39"/>
  <c r="G266" i="39"/>
  <c r="G190" i="39"/>
  <c r="H266" i="39"/>
  <c r="H254" i="39"/>
  <c r="H242" i="39"/>
  <c r="H230" i="39"/>
  <c r="H222" i="39"/>
  <c r="H210" i="39"/>
  <c r="H198" i="39"/>
  <c r="H187" i="39"/>
  <c r="H176" i="39"/>
  <c r="H164" i="39"/>
  <c r="H153" i="39"/>
  <c r="H141" i="39"/>
  <c r="H129" i="39"/>
  <c r="H117" i="39"/>
  <c r="H105" i="39"/>
  <c r="H93" i="39"/>
  <c r="H81" i="39"/>
  <c r="H69" i="39"/>
  <c r="H57" i="39"/>
  <c r="H45" i="39"/>
  <c r="H33" i="39"/>
  <c r="H21" i="39"/>
  <c r="H9" i="39"/>
  <c r="H77" i="39"/>
  <c r="H249" i="39"/>
  <c r="H194" i="39"/>
  <c r="H124" i="39"/>
  <c r="H52" i="39"/>
  <c r="H281" i="39"/>
  <c r="H157" i="39"/>
  <c r="H109" i="39"/>
  <c r="H61" i="39"/>
  <c r="G249" i="39"/>
  <c r="H233" i="39"/>
  <c r="H179" i="39"/>
  <c r="H132" i="39"/>
  <c r="H84" i="39"/>
  <c r="H12" i="39"/>
  <c r="H279" i="39"/>
  <c r="H224" i="39"/>
  <c r="H155" i="39"/>
  <c r="H95" i="39"/>
  <c r="H35" i="39"/>
  <c r="G125" i="39"/>
  <c r="G165" i="39"/>
  <c r="G264" i="39"/>
  <c r="H277" i="39"/>
  <c r="H265" i="39"/>
  <c r="H253" i="39"/>
  <c r="H241" i="39"/>
  <c r="H221" i="39"/>
  <c r="H209" i="39"/>
  <c r="H199" i="39"/>
  <c r="H186" i="39"/>
  <c r="H175" i="39"/>
  <c r="H163" i="39"/>
  <c r="H152" i="39"/>
  <c r="H140" i="39"/>
  <c r="H128" i="39"/>
  <c r="H116" i="39"/>
  <c r="H104" i="39"/>
  <c r="H92" i="39"/>
  <c r="H80" i="39"/>
  <c r="H68" i="39"/>
  <c r="H56" i="39"/>
  <c r="H44" i="39"/>
  <c r="H32" i="39"/>
  <c r="H20" i="39"/>
  <c r="H8" i="39"/>
  <c r="H274" i="39"/>
  <c r="H195" i="39"/>
  <c r="H65" i="39"/>
  <c r="H261" i="39"/>
  <c r="H205" i="39"/>
  <c r="H148" i="39"/>
  <c r="H112" i="39"/>
  <c r="H64" i="39"/>
  <c r="G50" i="39"/>
  <c r="H234" i="39"/>
  <c r="H191" i="39"/>
  <c r="H133" i="39"/>
  <c r="H72" i="39"/>
  <c r="H25" i="39"/>
  <c r="G273" i="39"/>
  <c r="H257" i="39"/>
  <c r="H213" i="39"/>
  <c r="H144" i="39"/>
  <c r="H108" i="39"/>
  <c r="H60" i="39"/>
  <c r="H48" i="39"/>
  <c r="G204" i="39"/>
  <c r="H232" i="39"/>
  <c r="H189" i="39"/>
  <c r="H143" i="39"/>
  <c r="H83" i="39"/>
  <c r="H47" i="39"/>
  <c r="G228" i="39"/>
  <c r="G247" i="39"/>
  <c r="G226" i="39"/>
  <c r="H276" i="39"/>
  <c r="H264" i="39"/>
  <c r="H252" i="39"/>
  <c r="H240" i="39"/>
  <c r="H220" i="39"/>
  <c r="H208" i="39"/>
  <c r="H197" i="39"/>
  <c r="H185" i="39"/>
  <c r="H174" i="39"/>
  <c r="H162" i="39"/>
  <c r="H151" i="39"/>
  <c r="H139" i="39"/>
  <c r="H127" i="39"/>
  <c r="H115" i="39"/>
  <c r="H103" i="39"/>
  <c r="H91" i="39"/>
  <c r="H79" i="39"/>
  <c r="H67" i="39"/>
  <c r="H55" i="39"/>
  <c r="H43" i="39"/>
  <c r="H31" i="39"/>
  <c r="H19" i="39"/>
  <c r="H7" i="39"/>
  <c r="H273" i="39"/>
  <c r="H237" i="39"/>
  <c r="H183" i="39"/>
  <c r="H136" i="39"/>
  <c r="H40" i="39"/>
  <c r="G250" i="39"/>
  <c r="H258" i="39"/>
  <c r="H121" i="39"/>
  <c r="H268" i="39"/>
  <c r="H212" i="39"/>
  <c r="H166" i="39"/>
  <c r="H131" i="39"/>
  <c r="H71" i="39"/>
  <c r="H59" i="39"/>
  <c r="G95" i="39"/>
  <c r="G72" i="39"/>
  <c r="H275" i="39"/>
  <c r="H263" i="39"/>
  <c r="H251" i="39"/>
  <c r="H239" i="39"/>
  <c r="H229" i="39"/>
  <c r="H219" i="39"/>
  <c r="H207" i="39"/>
  <c r="H196" i="39"/>
  <c r="H184" i="39"/>
  <c r="H173" i="39"/>
  <c r="H161" i="39"/>
  <c r="H150" i="39"/>
  <c r="H138" i="39"/>
  <c r="H126" i="39"/>
  <c r="H113" i="39"/>
  <c r="H102" i="39"/>
  <c r="H90" i="39"/>
  <c r="H78" i="39"/>
  <c r="H66" i="39"/>
  <c r="H54" i="39"/>
  <c r="H42" i="39"/>
  <c r="H30" i="39"/>
  <c r="H18" i="39"/>
  <c r="G105" i="39"/>
  <c r="G102" i="39"/>
  <c r="G279" i="39"/>
  <c r="G132" i="39"/>
  <c r="G27" i="39"/>
  <c r="G34" i="39"/>
  <c r="G99" i="39"/>
  <c r="G271" i="39"/>
  <c r="G218" i="39"/>
  <c r="G15" i="39"/>
  <c r="G98" i="39"/>
  <c r="G167" i="39"/>
  <c r="G217" i="39"/>
  <c r="G108" i="39"/>
  <c r="G194" i="39"/>
  <c r="G138" i="39"/>
  <c r="G235" i="39"/>
  <c r="G111" i="39"/>
  <c r="G52" i="39"/>
  <c r="G106" i="39"/>
  <c r="G144" i="39"/>
  <c r="G156" i="39"/>
  <c r="G77" i="39"/>
  <c r="G84" i="39"/>
  <c r="G81" i="39"/>
  <c r="G179" i="39"/>
  <c r="G120" i="39"/>
  <c r="G28" i="39"/>
  <c r="G220" i="39"/>
  <c r="G238" i="39"/>
  <c r="G69" i="39"/>
  <c r="G59" i="39"/>
  <c r="G216" i="39"/>
  <c r="G178" i="39"/>
  <c r="G184" i="39"/>
  <c r="G173" i="39"/>
  <c r="G36" i="39"/>
  <c r="G45" i="39"/>
  <c r="G7" i="39"/>
  <c r="G137" i="39"/>
  <c r="G62" i="39"/>
  <c r="G212" i="39"/>
  <c r="G242" i="39"/>
  <c r="G46" i="39"/>
  <c r="G60" i="39"/>
  <c r="G49" i="39"/>
  <c r="G153" i="39"/>
  <c r="G90" i="39"/>
  <c r="G256" i="39"/>
  <c r="G274" i="39"/>
  <c r="G157" i="39"/>
  <c r="G259" i="39"/>
  <c r="G94" i="39"/>
  <c r="G206" i="39"/>
  <c r="G211" i="39"/>
  <c r="G253" i="39"/>
  <c r="G38" i="39"/>
  <c r="G270" i="39"/>
  <c r="G251" i="39"/>
  <c r="G61" i="39"/>
  <c r="G129" i="39"/>
  <c r="G186" i="39"/>
  <c r="G30" i="39"/>
  <c r="G191" i="39"/>
  <c r="G26" i="39"/>
  <c r="G200" i="39"/>
  <c r="G143" i="39"/>
  <c r="G139" i="39"/>
  <c r="G42" i="39"/>
  <c r="G56" i="39"/>
  <c r="G225" i="39"/>
  <c r="G203" i="39"/>
  <c r="G41" i="39"/>
  <c r="G91" i="39"/>
  <c r="G87" i="39"/>
  <c r="G117" i="39"/>
  <c r="G187" i="39"/>
  <c r="G223" i="39"/>
  <c r="G154" i="39"/>
  <c r="G122" i="39"/>
  <c r="G282" i="39"/>
  <c r="G12" i="39"/>
  <c r="G234" i="39"/>
  <c r="G39" i="39"/>
  <c r="G149" i="39"/>
  <c r="G152" i="39"/>
  <c r="G97" i="39"/>
  <c r="G76" i="39"/>
  <c r="G11" i="39"/>
  <c r="G14" i="39"/>
  <c r="G51" i="39"/>
  <c r="G150" i="39"/>
  <c r="G19" i="39"/>
  <c r="G66" i="39"/>
  <c r="G101" i="39"/>
  <c r="G263" i="39"/>
  <c r="G209" i="39"/>
  <c r="G239" i="39"/>
  <c r="G9" i="39"/>
  <c r="G182" i="39"/>
  <c r="G57" i="39"/>
  <c r="G92" i="39"/>
  <c r="G185" i="39"/>
  <c r="G64" i="39"/>
  <c r="G171" i="39"/>
  <c r="G275" i="39"/>
  <c r="G269" i="39"/>
  <c r="G146" i="39"/>
  <c r="G252" i="39"/>
  <c r="G148" i="39"/>
  <c r="G168" i="39"/>
  <c r="G31" i="39"/>
  <c r="G174" i="39"/>
  <c r="G23" i="39"/>
  <c r="G115" i="39"/>
  <c r="G131" i="39"/>
  <c r="G169" i="39"/>
  <c r="G198" i="39"/>
  <c r="G233" i="39"/>
  <c r="G272" i="39"/>
  <c r="G197" i="39"/>
  <c r="G53" i="39"/>
  <c r="G265" i="39"/>
  <c r="G214" i="39"/>
  <c r="G229" i="39"/>
  <c r="G172" i="39"/>
  <c r="G18" i="39"/>
  <c r="G281" i="39"/>
  <c r="G74" i="39"/>
  <c r="G268" i="39"/>
  <c r="G257" i="39"/>
  <c r="G195" i="39"/>
  <c r="G176" i="39"/>
  <c r="G93" i="39"/>
  <c r="G181" i="39"/>
  <c r="G24" i="39"/>
  <c r="G55" i="39"/>
  <c r="G54" i="39"/>
  <c r="G126" i="39"/>
  <c r="G232" i="39"/>
  <c r="G71" i="39"/>
  <c r="G231" i="39"/>
  <c r="G267" i="39"/>
  <c r="G222" i="39"/>
  <c r="G118" i="39"/>
  <c r="G96" i="39"/>
  <c r="G280" i="39"/>
  <c r="G276" i="39"/>
  <c r="G83" i="39"/>
  <c r="G22" i="39"/>
  <c r="G121" i="39"/>
  <c r="G210" i="39"/>
  <c r="G213" i="39"/>
  <c r="G254" i="39"/>
  <c r="G32" i="39"/>
  <c r="G161" i="39"/>
  <c r="G230" i="39"/>
  <c r="G136" i="39"/>
  <c r="G180" i="39"/>
  <c r="G48" i="39"/>
  <c r="G140" i="39"/>
  <c r="G278" i="39"/>
  <c r="G193" i="39"/>
  <c r="G196" i="39"/>
  <c r="G75" i="39"/>
  <c r="G33" i="39"/>
  <c r="G100" i="39"/>
  <c r="G112" i="39"/>
  <c r="G78" i="39"/>
  <c r="G166" i="39"/>
  <c r="G107" i="39"/>
  <c r="G89" i="39"/>
  <c r="G260" i="39"/>
  <c r="G44" i="39"/>
  <c r="G183" i="39"/>
  <c r="G201" i="39"/>
  <c r="G135" i="39"/>
  <c r="G142" i="39"/>
  <c r="G255" i="39"/>
  <c r="G35" i="39"/>
  <c r="G236" i="39"/>
  <c r="G6" i="39"/>
  <c r="G188" i="39"/>
  <c r="G208" i="39"/>
  <c r="G237" i="39"/>
  <c r="G123" i="39"/>
  <c r="G159" i="39"/>
  <c r="G68" i="39"/>
  <c r="G192" i="39"/>
  <c r="G215" i="39"/>
  <c r="G160" i="39"/>
  <c r="G88" i="39"/>
  <c r="G243" i="39"/>
  <c r="G170" i="39"/>
  <c r="G104" i="39"/>
  <c r="G130" i="39"/>
  <c r="G277" i="39"/>
  <c r="G119" i="39"/>
  <c r="G177" i="39"/>
  <c r="G73" i="39"/>
  <c r="G246" i="39"/>
  <c r="G10" i="39"/>
  <c r="G116" i="39"/>
  <c r="G25" i="39"/>
  <c r="G224" i="39"/>
  <c r="G261" i="39"/>
  <c r="G163" i="39"/>
  <c r="G151" i="39"/>
  <c r="G205" i="39"/>
  <c r="G262" i="39"/>
  <c r="G164" i="39"/>
  <c r="G207" i="39"/>
  <c r="G128" i="39"/>
  <c r="G20" i="39"/>
  <c r="G141" i="39"/>
  <c r="G241" i="39"/>
  <c r="G244" i="39"/>
  <c r="G85" i="39"/>
  <c r="G43" i="39"/>
  <c r="G175" i="39"/>
  <c r="G70" i="39"/>
  <c r="G8" i="39"/>
  <c r="G162" i="39"/>
  <c r="G134" i="39"/>
  <c r="G221" i="39"/>
  <c r="G202" i="39"/>
  <c r="G227" i="39"/>
  <c r="G245" i="39"/>
  <c r="G17" i="39"/>
  <c r="G109" i="39"/>
  <c r="G147" i="39"/>
  <c r="G80" i="39"/>
  <c r="G219" i="39"/>
  <c r="G13" i="39"/>
  <c r="G110" i="39"/>
  <c r="G133" i="39"/>
  <c r="G47" i="39"/>
  <c r="G189" i="39"/>
  <c r="G124" i="39"/>
  <c r="G155" i="39"/>
  <c r="G82" i="39"/>
  <c r="G16" i="39"/>
  <c r="G65" i="39"/>
  <c r="G40" i="39"/>
  <c r="G102" i="6"/>
  <c r="H118" i="12"/>
  <c r="K97" i="12"/>
  <c r="G127" i="6"/>
  <c r="G68" i="6"/>
  <c r="G80" i="6"/>
  <c r="H66" i="24"/>
  <c r="K51" i="24"/>
  <c r="G126" i="6"/>
  <c r="H125" i="17"/>
  <c r="K109" i="17"/>
  <c r="E56" i="50"/>
  <c r="H54" i="50"/>
  <c r="H56" i="50" s="1"/>
  <c r="E81" i="47"/>
  <c r="E70" i="47"/>
  <c r="E58" i="47"/>
  <c r="E46" i="47"/>
  <c r="E34" i="47"/>
  <c r="E20" i="47"/>
  <c r="E8" i="47"/>
  <c r="E32" i="46"/>
  <c r="E21" i="46"/>
  <c r="E8" i="46"/>
  <c r="E71" i="45"/>
  <c r="E59" i="45"/>
  <c r="E47" i="45"/>
  <c r="E35" i="45"/>
  <c r="E22" i="45"/>
  <c r="E8" i="45"/>
  <c r="E300" i="6"/>
  <c r="F300" i="6" s="1"/>
  <c r="G300" i="6" s="1"/>
  <c r="B300" i="6"/>
  <c r="J300" i="6" s="1"/>
  <c r="E299" i="6"/>
  <c r="F299" i="6" s="1"/>
  <c r="B299" i="6"/>
  <c r="J299" i="6" s="1"/>
  <c r="E298" i="6"/>
  <c r="F298" i="6" s="1"/>
  <c r="G298" i="6" s="1"/>
  <c r="B298" i="6"/>
  <c r="J298" i="6" s="1"/>
  <c r="E297" i="6"/>
  <c r="F297" i="6" s="1"/>
  <c r="B297" i="6"/>
  <c r="J297" i="6" s="1"/>
  <c r="E296" i="6"/>
  <c r="B296" i="6"/>
  <c r="J296" i="6" s="1"/>
  <c r="E295" i="6"/>
  <c r="B295" i="6"/>
  <c r="J295" i="6" s="1"/>
  <c r="E294" i="6"/>
  <c r="B294" i="6"/>
  <c r="J294" i="6" s="1"/>
  <c r="E293" i="6"/>
  <c r="B293" i="6"/>
  <c r="J293" i="6" s="1"/>
  <c r="E292" i="6"/>
  <c r="B292" i="6"/>
  <c r="J292" i="6" s="1"/>
  <c r="H108" i="53"/>
  <c r="H109" i="53" s="1"/>
  <c r="D105" i="53"/>
  <c r="E105" i="53" s="1"/>
  <c r="H97" i="53"/>
  <c r="H98" i="53" s="1"/>
  <c r="D94" i="53"/>
  <c r="E94" i="53" s="1"/>
  <c r="H82" i="53"/>
  <c r="H83" i="53" s="1"/>
  <c r="D79" i="53"/>
  <c r="E79" i="53" s="1"/>
  <c r="H71" i="53"/>
  <c r="H72" i="53" s="1"/>
  <c r="D68" i="53"/>
  <c r="E68" i="53" s="1"/>
  <c r="D55" i="53"/>
  <c r="D43" i="53"/>
  <c r="D31" i="53"/>
  <c r="D20" i="53"/>
  <c r="D8" i="53"/>
  <c r="E321" i="6"/>
  <c r="F321" i="6" s="1"/>
  <c r="G321" i="6" s="1"/>
  <c r="B321" i="6"/>
  <c r="J321" i="6" s="1"/>
  <c r="E320" i="6"/>
  <c r="F320" i="6" s="1"/>
  <c r="G320" i="6" s="1"/>
  <c r="B320" i="6"/>
  <c r="J320" i="6" s="1"/>
  <c r="E319" i="6"/>
  <c r="B319" i="6"/>
  <c r="J319" i="6" s="1"/>
  <c r="E318" i="6"/>
  <c r="B318" i="6"/>
  <c r="J318" i="6" s="1"/>
  <c r="E317" i="6"/>
  <c r="B317" i="6"/>
  <c r="J317" i="6" s="1"/>
  <c r="E316" i="6"/>
  <c r="B316" i="6"/>
  <c r="J316" i="6" s="1"/>
  <c r="E315" i="6"/>
  <c r="B315" i="6"/>
  <c r="J315" i="6" s="1"/>
  <c r="E314" i="6"/>
  <c r="B314" i="6"/>
  <c r="J314" i="6" s="1"/>
  <c r="E313" i="6"/>
  <c r="B313" i="6"/>
  <c r="J313" i="6" s="1"/>
  <c r="J193" i="54"/>
  <c r="J194" i="54" s="1"/>
  <c r="F190" i="54"/>
  <c r="G190" i="54" s="1"/>
  <c r="J181" i="54"/>
  <c r="J182" i="54" s="1"/>
  <c r="F178" i="54"/>
  <c r="G178" i="54" s="1"/>
  <c r="J169" i="54"/>
  <c r="J170" i="54" s="1"/>
  <c r="F166" i="54"/>
  <c r="G166" i="54" s="1"/>
  <c r="J156" i="54"/>
  <c r="J157" i="54" s="1"/>
  <c r="F153" i="54"/>
  <c r="G153" i="54" s="1"/>
  <c r="J144" i="54"/>
  <c r="J145" i="54" s="1"/>
  <c r="F141" i="54"/>
  <c r="G141" i="54" s="1"/>
  <c r="J131" i="54"/>
  <c r="J132" i="54" s="1"/>
  <c r="F128" i="54"/>
  <c r="G128" i="54" s="1"/>
  <c r="J118" i="54"/>
  <c r="J119" i="54" s="1"/>
  <c r="F115" i="54"/>
  <c r="G115" i="54" s="1"/>
  <c r="J106" i="54"/>
  <c r="J107" i="54" s="1"/>
  <c r="F103" i="54"/>
  <c r="G103" i="54" s="1"/>
  <c r="J95" i="54"/>
  <c r="J96" i="54" s="1"/>
  <c r="F92" i="54"/>
  <c r="G92" i="54" s="1"/>
  <c r="J83" i="54"/>
  <c r="J84" i="54" s="1"/>
  <c r="F80" i="54"/>
  <c r="G80" i="54" s="1"/>
  <c r="J71" i="54"/>
  <c r="J72" i="54" s="1"/>
  <c r="F68" i="54"/>
  <c r="G68" i="54" s="1"/>
  <c r="J60" i="54"/>
  <c r="J61" i="54" s="1"/>
  <c r="F57" i="54"/>
  <c r="G57" i="54" s="1"/>
  <c r="J48" i="54"/>
  <c r="J49" i="54" s="1"/>
  <c r="F45" i="54"/>
  <c r="G45" i="54" s="1"/>
  <c r="J36" i="54"/>
  <c r="J37" i="54" s="1"/>
  <c r="F33" i="54"/>
  <c r="G33" i="54" s="1"/>
  <c r="J24" i="54"/>
  <c r="J25" i="54" s="1"/>
  <c r="F21" i="54"/>
  <c r="G21" i="54" s="1"/>
  <c r="J11" i="54"/>
  <c r="J12" i="54" s="1"/>
  <c r="F8" i="54"/>
  <c r="G8" i="54" s="1"/>
  <c r="E307" i="6"/>
  <c r="B307" i="6"/>
  <c r="J307" i="6" s="1"/>
  <c r="E306" i="6"/>
  <c r="B306" i="6"/>
  <c r="J306" i="6" s="1"/>
  <c r="K23" i="61"/>
  <c r="K24" i="61" s="1"/>
  <c r="G20" i="61"/>
  <c r="H20" i="61" s="1"/>
  <c r="K11" i="61"/>
  <c r="K12" i="61" s="1"/>
  <c r="G8" i="61"/>
  <c r="H8" i="61" s="1"/>
  <c r="E45" i="6"/>
  <c r="F45" i="6" s="1"/>
  <c r="J45" i="6"/>
  <c r="E44" i="6"/>
  <c r="F44" i="6" s="1"/>
  <c r="B44" i="6"/>
  <c r="J44" i="6" s="1"/>
  <c r="E43" i="6"/>
  <c r="B43" i="6"/>
  <c r="J43" i="6" s="1"/>
  <c r="E42" i="6"/>
  <c r="F42" i="6" s="1"/>
  <c r="G42" i="6" s="1"/>
  <c r="B42" i="6"/>
  <c r="J42" i="6" s="1"/>
  <c r="E41" i="6"/>
  <c r="F41" i="6" s="1"/>
  <c r="G41" i="6" s="1"/>
  <c r="B41" i="6"/>
  <c r="J41" i="6" s="1"/>
  <c r="E40" i="6"/>
  <c r="F40" i="6" s="1"/>
  <c r="G40" i="6" s="1"/>
  <c r="B40" i="6"/>
  <c r="J40" i="6" s="1"/>
  <c r="E39" i="6"/>
  <c r="F39" i="6" s="1"/>
  <c r="G39" i="6" s="1"/>
  <c r="B39" i="6"/>
  <c r="J39" i="6" s="1"/>
  <c r="E38" i="6"/>
  <c r="F38" i="6" s="1"/>
  <c r="G38" i="6" s="1"/>
  <c r="B38" i="6"/>
  <c r="J38" i="6" s="1"/>
  <c r="E37" i="6"/>
  <c r="F37" i="6" s="1"/>
  <c r="G37" i="6" s="1"/>
  <c r="B37" i="6"/>
  <c r="J37" i="6" s="1"/>
  <c r="E36" i="6"/>
  <c r="F36" i="6" s="1"/>
  <c r="G36" i="6" s="1"/>
  <c r="B36" i="6"/>
  <c r="J36" i="6" s="1"/>
  <c r="E35" i="6"/>
  <c r="F35" i="6" s="1"/>
  <c r="G35" i="6" s="1"/>
  <c r="B35" i="6"/>
  <c r="J35" i="6" s="1"/>
  <c r="E34" i="6"/>
  <c r="F34" i="6" s="1"/>
  <c r="B34" i="6"/>
  <c r="J34" i="6" s="1"/>
  <c r="E33" i="6"/>
  <c r="F33" i="6" s="1"/>
  <c r="B33" i="6"/>
  <c r="J33" i="6" s="1"/>
  <c r="E32" i="6"/>
  <c r="F32" i="6" s="1"/>
  <c r="G32" i="6" s="1"/>
  <c r="B32" i="6"/>
  <c r="J32" i="6" s="1"/>
  <c r="E31" i="6"/>
  <c r="F31" i="6" s="1"/>
  <c r="G31" i="6" s="1"/>
  <c r="B31" i="6"/>
  <c r="J31" i="6" s="1"/>
  <c r="E30" i="6"/>
  <c r="F30" i="6" s="1"/>
  <c r="B30" i="6"/>
  <c r="J30" i="6" s="1"/>
  <c r="E29" i="6"/>
  <c r="F29" i="6" s="1"/>
  <c r="G29" i="6" s="1"/>
  <c r="B29" i="6"/>
  <c r="J29" i="6" s="1"/>
  <c r="E28" i="6"/>
  <c r="F28" i="6" s="1"/>
  <c r="G28" i="6" s="1"/>
  <c r="B28" i="6"/>
  <c r="J28" i="6" s="1"/>
  <c r="E27" i="6"/>
  <c r="F27" i="6" s="1"/>
  <c r="G27" i="6" s="1"/>
  <c r="B27" i="6"/>
  <c r="J27" i="6" s="1"/>
  <c r="E26" i="6"/>
  <c r="F26" i="6" s="1"/>
  <c r="B26" i="6"/>
  <c r="J26" i="6" s="1"/>
  <c r="E25" i="6"/>
  <c r="F25" i="6" s="1"/>
  <c r="G25" i="6" s="1"/>
  <c r="B25" i="6"/>
  <c r="J25" i="6" s="1"/>
  <c r="E24" i="6"/>
  <c r="B24" i="6"/>
  <c r="J24" i="6" s="1"/>
  <c r="E23" i="6"/>
  <c r="B23" i="6"/>
  <c r="J23" i="6" s="1"/>
  <c r="E22" i="6"/>
  <c r="B22" i="6"/>
  <c r="J22" i="6" s="1"/>
  <c r="E21" i="6"/>
  <c r="B21" i="6"/>
  <c r="J21" i="6" s="1"/>
  <c r="E20" i="6"/>
  <c r="B20" i="6"/>
  <c r="J20" i="6" s="1"/>
  <c r="E19" i="6"/>
  <c r="B19" i="6"/>
  <c r="J19" i="6" s="1"/>
  <c r="E18" i="6"/>
  <c r="B18" i="6"/>
  <c r="J18" i="6" s="1"/>
  <c r="E17" i="6"/>
  <c r="B17" i="6"/>
  <c r="J17" i="6" s="1"/>
  <c r="E16" i="6"/>
  <c r="B16" i="6"/>
  <c r="J16" i="6" s="1"/>
  <c r="E15" i="6"/>
  <c r="B15" i="6"/>
  <c r="J15" i="6" s="1"/>
  <c r="E14" i="6"/>
  <c r="B14" i="6"/>
  <c r="J14" i="6" s="1"/>
  <c r="E13" i="6"/>
  <c r="B13" i="6"/>
  <c r="J13" i="6" s="1"/>
  <c r="E12" i="6"/>
  <c r="B12" i="6"/>
  <c r="J12" i="6" s="1"/>
  <c r="E11" i="6"/>
  <c r="B11" i="6"/>
  <c r="J11" i="6" s="1"/>
  <c r="E10" i="6"/>
  <c r="B10" i="6"/>
  <c r="J10" i="6" s="1"/>
  <c r="E9" i="6"/>
  <c r="B9" i="6"/>
  <c r="J9" i="6" s="1"/>
  <c r="E8" i="6"/>
  <c r="B8" i="6"/>
  <c r="J8" i="6" s="1"/>
  <c r="E7" i="6"/>
  <c r="B7" i="6"/>
  <c r="J7" i="6" s="1"/>
  <c r="F482" i="27"/>
  <c r="G482" i="27" s="1"/>
  <c r="F483" i="27"/>
  <c r="G483" i="27" s="1"/>
  <c r="F484" i="27"/>
  <c r="G484" i="27" s="1"/>
  <c r="F485" i="27"/>
  <c r="G485" i="27" s="1"/>
  <c r="F486" i="27"/>
  <c r="G486" i="27" s="1"/>
  <c r="J484" i="27"/>
  <c r="J485" i="27" s="1"/>
  <c r="F481" i="27"/>
  <c r="G481" i="27" s="1"/>
  <c r="J473" i="27"/>
  <c r="J474" i="27" s="1"/>
  <c r="F470" i="27"/>
  <c r="G470" i="27" s="1"/>
  <c r="J462" i="27"/>
  <c r="J463" i="27" s="1"/>
  <c r="F459" i="27"/>
  <c r="G459" i="27" s="1"/>
  <c r="J450" i="27"/>
  <c r="J451" i="27" s="1"/>
  <c r="F447" i="27"/>
  <c r="G447" i="27" s="1"/>
  <c r="J436" i="27"/>
  <c r="J437" i="27" s="1"/>
  <c r="F433" i="27"/>
  <c r="G433" i="27" s="1"/>
  <c r="J424" i="27"/>
  <c r="J425" i="27" s="1"/>
  <c r="F421" i="27"/>
  <c r="G421" i="27" s="1"/>
  <c r="J410" i="27"/>
  <c r="J411" i="27" s="1"/>
  <c r="F407" i="27"/>
  <c r="G407" i="27" s="1"/>
  <c r="J398" i="27"/>
  <c r="J399" i="27" s="1"/>
  <c r="F395" i="27"/>
  <c r="G395" i="27" s="1"/>
  <c r="J385" i="27"/>
  <c r="J386" i="27" s="1"/>
  <c r="F382" i="27"/>
  <c r="G382" i="27" s="1"/>
  <c r="J372" i="27"/>
  <c r="J373" i="27" s="1"/>
  <c r="F369" i="27"/>
  <c r="G369" i="27" s="1"/>
  <c r="J359" i="27"/>
  <c r="J360" i="27" s="1"/>
  <c r="F356" i="27"/>
  <c r="G356" i="27" s="1"/>
  <c r="J346" i="27"/>
  <c r="J347" i="27" s="1"/>
  <c r="F343" i="27"/>
  <c r="G343" i="27" s="1"/>
  <c r="J333" i="27"/>
  <c r="J334" i="27" s="1"/>
  <c r="F330" i="27"/>
  <c r="G330" i="27" s="1"/>
  <c r="J321" i="27"/>
  <c r="J322" i="27" s="1"/>
  <c r="F318" i="27"/>
  <c r="G318" i="27" s="1"/>
  <c r="J310" i="27"/>
  <c r="J311" i="27" s="1"/>
  <c r="F307" i="27"/>
  <c r="G307" i="27" s="1"/>
  <c r="J297" i="27"/>
  <c r="J298" i="27" s="1"/>
  <c r="F294" i="27"/>
  <c r="G294" i="27" s="1"/>
  <c r="J284" i="27"/>
  <c r="J285" i="27" s="1"/>
  <c r="F281" i="27"/>
  <c r="G281" i="27" s="1"/>
  <c r="J273" i="27"/>
  <c r="J274" i="27" s="1"/>
  <c r="F270" i="27"/>
  <c r="G270" i="27" s="1"/>
  <c r="J262" i="27"/>
  <c r="J263" i="27" s="1"/>
  <c r="F259" i="27"/>
  <c r="G259" i="27" s="1"/>
  <c r="J250" i="27"/>
  <c r="J251" i="27" s="1"/>
  <c r="F247" i="27"/>
  <c r="G247" i="27" s="1"/>
  <c r="F234" i="27"/>
  <c r="F223" i="27"/>
  <c r="F209" i="27"/>
  <c r="F196" i="27"/>
  <c r="F184" i="27"/>
  <c r="G184" i="27" s="1"/>
  <c r="F172" i="27"/>
  <c r="G172" i="27" s="1"/>
  <c r="F160" i="27"/>
  <c r="G160" i="27" s="1"/>
  <c r="F148" i="27"/>
  <c r="F137" i="27"/>
  <c r="G137" i="27" s="1"/>
  <c r="F122" i="27"/>
  <c r="G122" i="27" s="1"/>
  <c r="F123" i="27"/>
  <c r="G123" i="27" s="1"/>
  <c r="F124" i="27"/>
  <c r="G124" i="27" s="1"/>
  <c r="F125" i="27"/>
  <c r="G125" i="27" s="1"/>
  <c r="F126" i="27"/>
  <c r="G126" i="27" s="1"/>
  <c r="F110" i="27"/>
  <c r="F94" i="27"/>
  <c r="F82" i="27"/>
  <c r="G82" i="27" s="1"/>
  <c r="F68" i="27"/>
  <c r="F57" i="27"/>
  <c r="G57" i="27" s="1"/>
  <c r="F58" i="27"/>
  <c r="G58" i="27" s="1"/>
  <c r="F59" i="27"/>
  <c r="G59" i="27" s="1"/>
  <c r="F60" i="27"/>
  <c r="G60" i="27" s="1"/>
  <c r="F61" i="27"/>
  <c r="G61" i="27" s="1"/>
  <c r="F62" i="27"/>
  <c r="G62" i="27" s="1"/>
  <c r="F21" i="27"/>
  <c r="G21" i="27" s="1"/>
  <c r="F56" i="27"/>
  <c r="G56" i="27" s="1"/>
  <c r="F43" i="27"/>
  <c r="G43" i="27" s="1"/>
  <c r="F32" i="27"/>
  <c r="G32" i="27" s="1"/>
  <c r="F20" i="27"/>
  <c r="F8" i="27"/>
  <c r="G70" i="26"/>
  <c r="H70" i="26" s="1"/>
  <c r="G71" i="26"/>
  <c r="H71" i="26" s="1"/>
  <c r="G72" i="26"/>
  <c r="H72" i="26" s="1"/>
  <c r="G73" i="26"/>
  <c r="H73" i="26" s="1"/>
  <c r="G74" i="26"/>
  <c r="H74" i="26" s="1"/>
  <c r="G75" i="26"/>
  <c r="H75" i="26" s="1"/>
  <c r="G76" i="26"/>
  <c r="H76" i="26" s="1"/>
  <c r="G77" i="26"/>
  <c r="H77" i="26" s="1"/>
  <c r="G58" i="26"/>
  <c r="H58" i="26" s="1"/>
  <c r="G59" i="26"/>
  <c r="H59" i="26" s="1"/>
  <c r="G60" i="26"/>
  <c r="H60" i="26" s="1"/>
  <c r="G61" i="26"/>
  <c r="H61" i="26" s="1"/>
  <c r="G62" i="26"/>
  <c r="H62" i="26" s="1"/>
  <c r="G63" i="26"/>
  <c r="H63" i="26" s="1"/>
  <c r="G64" i="26"/>
  <c r="H64" i="26" s="1"/>
  <c r="G65" i="26"/>
  <c r="H65" i="26" s="1"/>
  <c r="G47" i="26"/>
  <c r="H47" i="26" s="1"/>
  <c r="G48" i="26"/>
  <c r="H48" i="26" s="1"/>
  <c r="G49" i="26"/>
  <c r="H49" i="26" s="1"/>
  <c r="G50" i="26"/>
  <c r="H50" i="26" s="1"/>
  <c r="G51" i="26"/>
  <c r="H51" i="26" s="1"/>
  <c r="G52" i="26"/>
  <c r="H52" i="26" s="1"/>
  <c r="G53" i="26"/>
  <c r="H53" i="26" s="1"/>
  <c r="G36" i="26"/>
  <c r="H36" i="26" s="1"/>
  <c r="G37" i="26"/>
  <c r="H37" i="26" s="1"/>
  <c r="G38" i="26"/>
  <c r="H38" i="26" s="1"/>
  <c r="G39" i="26"/>
  <c r="H39" i="26" s="1"/>
  <c r="G40" i="26"/>
  <c r="H40" i="26" s="1"/>
  <c r="G41" i="26"/>
  <c r="H41" i="26" s="1"/>
  <c r="G42" i="26"/>
  <c r="H42" i="26" s="1"/>
  <c r="G22" i="26"/>
  <c r="H22" i="26" s="1"/>
  <c r="G23" i="26"/>
  <c r="H23" i="26" s="1"/>
  <c r="G24" i="26"/>
  <c r="H24" i="26" s="1"/>
  <c r="G25" i="26"/>
  <c r="H25" i="26" s="1"/>
  <c r="G26" i="26"/>
  <c r="H26" i="26" s="1"/>
  <c r="G27" i="26"/>
  <c r="H27" i="26" s="1"/>
  <c r="G28" i="26"/>
  <c r="H28" i="26" s="1"/>
  <c r="G29" i="26"/>
  <c r="H29" i="26" s="1"/>
  <c r="G30" i="26"/>
  <c r="H30" i="26" s="1"/>
  <c r="G8" i="26"/>
  <c r="H8" i="26" s="1"/>
  <c r="G9" i="26"/>
  <c r="H9" i="26" s="1"/>
  <c r="G10" i="26"/>
  <c r="H10" i="26" s="1"/>
  <c r="G11" i="26"/>
  <c r="H11" i="26" s="1"/>
  <c r="G12" i="26"/>
  <c r="H12" i="26" s="1"/>
  <c r="G13" i="26"/>
  <c r="H13" i="26" s="1"/>
  <c r="G14" i="26"/>
  <c r="H14" i="26" s="1"/>
  <c r="G15" i="26"/>
  <c r="H15" i="26" s="1"/>
  <c r="G16" i="26"/>
  <c r="H16" i="26" s="1"/>
  <c r="G56" i="29"/>
  <c r="H56" i="29" s="1"/>
  <c r="G57" i="29"/>
  <c r="H57" i="29" s="1"/>
  <c r="G58" i="29"/>
  <c r="H58" i="29" s="1"/>
  <c r="G59" i="29"/>
  <c r="H59" i="29" s="1"/>
  <c r="G60" i="29"/>
  <c r="H60" i="29" s="1"/>
  <c r="G42" i="29"/>
  <c r="H42" i="29" s="1"/>
  <c r="G43" i="29"/>
  <c r="H43" i="29" s="1"/>
  <c r="G44" i="29"/>
  <c r="H44" i="29" s="1"/>
  <c r="G45" i="29"/>
  <c r="H45" i="29" s="1"/>
  <c r="G46" i="29"/>
  <c r="H46" i="29" s="1"/>
  <c r="G11" i="29"/>
  <c r="H11" i="29" s="1"/>
  <c r="G21" i="29"/>
  <c r="H21" i="29" s="1"/>
  <c r="G35" i="29"/>
  <c r="H35" i="29" s="1"/>
  <c r="G31" i="29"/>
  <c r="H31" i="29" s="1"/>
  <c r="G32" i="29"/>
  <c r="H32" i="29" s="1"/>
  <c r="G33" i="29"/>
  <c r="H33" i="29" s="1"/>
  <c r="G34" i="29"/>
  <c r="H34" i="29" s="1"/>
  <c r="G20" i="29"/>
  <c r="H20" i="29" s="1"/>
  <c r="G22" i="29"/>
  <c r="H22" i="29" s="1"/>
  <c r="G24" i="29"/>
  <c r="H24" i="29" s="1"/>
  <c r="G23" i="29"/>
  <c r="H23" i="29" s="1"/>
  <c r="G8" i="29"/>
  <c r="H8" i="29" s="1"/>
  <c r="G9" i="29"/>
  <c r="H9" i="29" s="1"/>
  <c r="H10" i="29"/>
  <c r="H47" i="43"/>
  <c r="G48" i="43"/>
  <c r="H48" i="43" s="1"/>
  <c r="G49" i="43"/>
  <c r="H49" i="43" s="1"/>
  <c r="G50" i="43"/>
  <c r="H50" i="43" s="1"/>
  <c r="H34" i="43"/>
  <c r="G35" i="43"/>
  <c r="H35" i="43" s="1"/>
  <c r="G36" i="43"/>
  <c r="H36" i="43" s="1"/>
  <c r="G37" i="43"/>
  <c r="H37" i="43" s="1"/>
  <c r="G38" i="43"/>
  <c r="H38" i="43" s="1"/>
  <c r="G20" i="43"/>
  <c r="H20" i="43" s="1"/>
  <c r="H21" i="43"/>
  <c r="G22" i="43"/>
  <c r="H22" i="43" s="1"/>
  <c r="G23" i="43"/>
  <c r="H23" i="43" s="1"/>
  <c r="G24" i="43"/>
  <c r="H24" i="43" s="1"/>
  <c r="G8" i="43"/>
  <c r="H8" i="43" s="1"/>
  <c r="G9" i="43"/>
  <c r="H9" i="43" s="1"/>
  <c r="G10" i="43"/>
  <c r="H10" i="43" s="1"/>
  <c r="H11" i="43"/>
  <c r="G12" i="43"/>
  <c r="H12" i="43" s="1"/>
  <c r="G144" i="13"/>
  <c r="H144" i="13" s="1"/>
  <c r="G145" i="13"/>
  <c r="H145" i="13" s="1"/>
  <c r="G146" i="13"/>
  <c r="H146" i="13" s="1"/>
  <c r="G147" i="13"/>
  <c r="H147" i="13" s="1"/>
  <c r="G148" i="13"/>
  <c r="H148" i="13" s="1"/>
  <c r="G149" i="13"/>
  <c r="H149" i="13" s="1"/>
  <c r="G150" i="13"/>
  <c r="H150" i="13" s="1"/>
  <c r="G151" i="13"/>
  <c r="H151" i="13" s="1"/>
  <c r="G152" i="13"/>
  <c r="H152" i="13" s="1"/>
  <c r="G153" i="13"/>
  <c r="H153" i="13" s="1"/>
  <c r="G154" i="13"/>
  <c r="H154" i="13" s="1"/>
  <c r="G155" i="13"/>
  <c r="H155" i="13" s="1"/>
  <c r="K147" i="13"/>
  <c r="K148" i="13" s="1"/>
  <c r="H122" i="19"/>
  <c r="H123" i="19"/>
  <c r="H124" i="19"/>
  <c r="H125" i="19"/>
  <c r="H126" i="19"/>
  <c r="H127" i="19"/>
  <c r="H128" i="19"/>
  <c r="H117" i="19"/>
  <c r="H118" i="19"/>
  <c r="H119" i="19"/>
  <c r="H120" i="19"/>
  <c r="H121" i="19"/>
  <c r="H116" i="19"/>
  <c r="K120" i="19"/>
  <c r="K121" i="19" s="1"/>
  <c r="G181" i="25"/>
  <c r="H181" i="25" s="1"/>
  <c r="G182" i="25"/>
  <c r="H182" i="25" s="1"/>
  <c r="G183" i="25"/>
  <c r="H183" i="25" s="1"/>
  <c r="G184" i="25"/>
  <c r="H184" i="25" s="1"/>
  <c r="G186" i="25"/>
  <c r="H186" i="25" s="1"/>
  <c r="G168" i="25"/>
  <c r="H168" i="25" s="1"/>
  <c r="G169" i="25"/>
  <c r="H169" i="25" s="1"/>
  <c r="G170" i="25"/>
  <c r="H170" i="25" s="1"/>
  <c r="G171" i="25"/>
  <c r="H171" i="25" s="1"/>
  <c r="G172" i="25"/>
  <c r="H172" i="25" s="1"/>
  <c r="G173" i="25"/>
  <c r="H173" i="25" s="1"/>
  <c r="G174" i="25"/>
  <c r="H174" i="25" s="1"/>
  <c r="G175" i="25"/>
  <c r="H175" i="25" s="1"/>
  <c r="G155" i="25"/>
  <c r="H155" i="25" s="1"/>
  <c r="G156" i="25"/>
  <c r="H156" i="25" s="1"/>
  <c r="G157" i="25"/>
  <c r="H157" i="25" s="1"/>
  <c r="G158" i="25"/>
  <c r="H158" i="25" s="1"/>
  <c r="G159" i="25"/>
  <c r="H159" i="25" s="1"/>
  <c r="G160" i="25"/>
  <c r="H160" i="25" s="1"/>
  <c r="G161" i="25"/>
  <c r="H161" i="25" s="1"/>
  <c r="G142" i="25"/>
  <c r="H142" i="25" s="1"/>
  <c r="G143" i="25"/>
  <c r="H143" i="25" s="1"/>
  <c r="G144" i="25"/>
  <c r="H144" i="25" s="1"/>
  <c r="G145" i="25"/>
  <c r="H145" i="25" s="1"/>
  <c r="G146" i="25"/>
  <c r="H146" i="25" s="1"/>
  <c r="G147" i="25"/>
  <c r="H147" i="25" s="1"/>
  <c r="G129" i="25"/>
  <c r="H129" i="25" s="1"/>
  <c r="G133" i="25"/>
  <c r="H133" i="25" s="1"/>
  <c r="G130" i="25"/>
  <c r="H130" i="25" s="1"/>
  <c r="G132" i="25"/>
  <c r="H132" i="25" s="1"/>
  <c r="G131" i="25"/>
  <c r="H131" i="25" s="1"/>
  <c r="G117" i="25"/>
  <c r="H117" i="25" s="1"/>
  <c r="G118" i="25"/>
  <c r="H118" i="25" s="1"/>
  <c r="G119" i="25"/>
  <c r="H119" i="25" s="1"/>
  <c r="G120" i="25"/>
  <c r="H120" i="25" s="1"/>
  <c r="G121" i="25"/>
  <c r="H121" i="25" s="1"/>
  <c r="G122" i="25"/>
  <c r="H122" i="25" s="1"/>
  <c r="G123" i="25"/>
  <c r="H123" i="25" s="1"/>
  <c r="G105" i="25"/>
  <c r="H105" i="25" s="1"/>
  <c r="G106" i="25"/>
  <c r="H106" i="25" s="1"/>
  <c r="G107" i="25"/>
  <c r="H107" i="25" s="1"/>
  <c r="G108" i="25"/>
  <c r="H108" i="25" s="1"/>
  <c r="G109" i="25"/>
  <c r="H109" i="25" s="1"/>
  <c r="G92" i="25"/>
  <c r="H92" i="25" s="1"/>
  <c r="G93" i="25"/>
  <c r="H93" i="25" s="1"/>
  <c r="G94" i="25"/>
  <c r="H94" i="25" s="1"/>
  <c r="G95" i="25"/>
  <c r="H95" i="25" s="1"/>
  <c r="G81" i="25"/>
  <c r="H81" i="25" s="1"/>
  <c r="G82" i="25"/>
  <c r="H82" i="25" s="1"/>
  <c r="G83" i="25"/>
  <c r="H83" i="25" s="1"/>
  <c r="G84" i="25"/>
  <c r="H84" i="25" s="1"/>
  <c r="G85" i="25"/>
  <c r="H85" i="25" s="1"/>
  <c r="G86" i="25"/>
  <c r="H86" i="25" s="1"/>
  <c r="G69" i="25"/>
  <c r="H69" i="25" s="1"/>
  <c r="G70" i="25"/>
  <c r="H70" i="25" s="1"/>
  <c r="G71" i="25"/>
  <c r="H71" i="25" s="1"/>
  <c r="G72" i="25"/>
  <c r="H72" i="25" s="1"/>
  <c r="G73" i="25"/>
  <c r="H73" i="25" s="1"/>
  <c r="G74" i="25"/>
  <c r="H74" i="25" s="1"/>
  <c r="G56" i="25"/>
  <c r="H56" i="25" s="1"/>
  <c r="G57" i="25"/>
  <c r="H57" i="25" s="1"/>
  <c r="G58" i="25"/>
  <c r="H58" i="25" s="1"/>
  <c r="G59" i="25"/>
  <c r="H59" i="25" s="1"/>
  <c r="G60" i="25"/>
  <c r="H60" i="25" s="1"/>
  <c r="G44" i="25"/>
  <c r="H44" i="25" s="1"/>
  <c r="G45" i="25"/>
  <c r="H45" i="25" s="1"/>
  <c r="G46" i="25"/>
  <c r="H46" i="25" s="1"/>
  <c r="G47" i="25"/>
  <c r="H47" i="25" s="1"/>
  <c r="G48" i="25"/>
  <c r="H48" i="25" s="1"/>
  <c r="G49" i="25"/>
  <c r="H49" i="25" s="1"/>
  <c r="G30" i="25"/>
  <c r="H30" i="25" s="1"/>
  <c r="G31" i="25"/>
  <c r="H31" i="25" s="1"/>
  <c r="G32" i="25"/>
  <c r="H32" i="25" s="1"/>
  <c r="G33" i="25"/>
  <c r="H33" i="25" s="1"/>
  <c r="G34" i="25"/>
  <c r="H34" i="25" s="1"/>
  <c r="G35" i="25"/>
  <c r="H35" i="25" s="1"/>
  <c r="G19" i="25"/>
  <c r="G20" i="25"/>
  <c r="G21" i="25"/>
  <c r="G22" i="25"/>
  <c r="G23" i="25"/>
  <c r="G24" i="25"/>
  <c r="H24" i="25" s="1"/>
  <c r="G8" i="25"/>
  <c r="H8" i="25" s="1"/>
  <c r="G9" i="25"/>
  <c r="H9" i="25" s="1"/>
  <c r="G10" i="25"/>
  <c r="H10" i="25" s="1"/>
  <c r="G11" i="25"/>
  <c r="H11" i="25" s="1"/>
  <c r="G12" i="25"/>
  <c r="H12" i="25" s="1"/>
  <c r="G13" i="25"/>
  <c r="H13" i="25" s="1"/>
  <c r="G132" i="14"/>
  <c r="H132" i="14" s="1"/>
  <c r="G133" i="14"/>
  <c r="H133" i="14" s="1"/>
  <c r="G134" i="14"/>
  <c r="H134" i="14" s="1"/>
  <c r="G135" i="14"/>
  <c r="H135" i="14" s="1"/>
  <c r="G136" i="14"/>
  <c r="H136" i="14" s="1"/>
  <c r="G118" i="14"/>
  <c r="H118" i="14" s="1"/>
  <c r="G119" i="14"/>
  <c r="H119" i="14" s="1"/>
  <c r="G120" i="14"/>
  <c r="H120" i="14" s="1"/>
  <c r="G121" i="14"/>
  <c r="H121" i="14" s="1"/>
  <c r="G122" i="14"/>
  <c r="H122" i="14" s="1"/>
  <c r="G123" i="14"/>
  <c r="H123" i="14" s="1"/>
  <c r="G124" i="14"/>
  <c r="H124" i="14" s="1"/>
  <c r="G125" i="14"/>
  <c r="H125" i="14" s="1"/>
  <c r="G106" i="14"/>
  <c r="G107" i="14"/>
  <c r="G108" i="14"/>
  <c r="G109" i="14"/>
  <c r="G110" i="14"/>
  <c r="G111" i="14"/>
  <c r="G112" i="14"/>
  <c r="G91" i="14"/>
  <c r="H91" i="14" s="1"/>
  <c r="G92" i="14"/>
  <c r="H92" i="14" s="1"/>
  <c r="G93" i="14"/>
  <c r="H93" i="14" s="1"/>
  <c r="G94" i="14"/>
  <c r="H94" i="14" s="1"/>
  <c r="G95" i="14"/>
  <c r="H95" i="14" s="1"/>
  <c r="G79" i="14"/>
  <c r="H79" i="14" s="1"/>
  <c r="G80" i="14"/>
  <c r="H80" i="14" s="1"/>
  <c r="G81" i="14"/>
  <c r="H81" i="14" s="1"/>
  <c r="G82" i="14"/>
  <c r="H82" i="14" s="1"/>
  <c r="G83" i="14"/>
  <c r="H83" i="14" s="1"/>
  <c r="G84" i="14"/>
  <c r="H84" i="14" s="1"/>
  <c r="G68" i="14"/>
  <c r="H68" i="14" s="1"/>
  <c r="G69" i="14"/>
  <c r="H69" i="14" s="1"/>
  <c r="G70" i="14"/>
  <c r="H70" i="14" s="1"/>
  <c r="G57" i="14"/>
  <c r="H57" i="14" s="1"/>
  <c r="G58" i="14"/>
  <c r="H58" i="14" s="1"/>
  <c r="G59" i="14"/>
  <c r="H59" i="14" s="1"/>
  <c r="G60" i="14"/>
  <c r="H60" i="14" s="1"/>
  <c r="G45" i="14"/>
  <c r="H45" i="14" s="1"/>
  <c r="G46" i="14"/>
  <c r="H46" i="14" s="1"/>
  <c r="G47" i="14"/>
  <c r="H47" i="14" s="1"/>
  <c r="G48" i="14"/>
  <c r="H48" i="14" s="1"/>
  <c r="G49" i="14"/>
  <c r="H49" i="14" s="1"/>
  <c r="G34" i="14"/>
  <c r="H34" i="14" s="1"/>
  <c r="G35" i="14"/>
  <c r="H35" i="14" s="1"/>
  <c r="G36" i="14"/>
  <c r="H36" i="14" s="1"/>
  <c r="G37" i="14"/>
  <c r="H37" i="14" s="1"/>
  <c r="G38" i="14"/>
  <c r="H38" i="14" s="1"/>
  <c r="G39" i="14"/>
  <c r="H39" i="14" s="1"/>
  <c r="G23" i="14"/>
  <c r="H23" i="14" s="1"/>
  <c r="G24" i="14"/>
  <c r="H24" i="14" s="1"/>
  <c r="G25" i="14"/>
  <c r="H25" i="14" s="1"/>
  <c r="G26" i="14"/>
  <c r="H26" i="14" s="1"/>
  <c r="G27" i="14"/>
  <c r="H27" i="14" s="1"/>
  <c r="G28" i="14"/>
  <c r="H28" i="14" s="1"/>
  <c r="G9" i="14"/>
  <c r="H9" i="14" s="1"/>
  <c r="G10" i="14"/>
  <c r="H10" i="14" s="1"/>
  <c r="G11" i="14"/>
  <c r="H11" i="14" s="1"/>
  <c r="G12" i="14"/>
  <c r="H12" i="14" s="1"/>
  <c r="G13" i="14"/>
  <c r="H13" i="14" s="1"/>
  <c r="G14" i="14"/>
  <c r="H14" i="14" s="1"/>
  <c r="G15" i="14"/>
  <c r="H15" i="14" s="1"/>
  <c r="G65" i="31"/>
  <c r="H65" i="31" s="1"/>
  <c r="G66" i="31"/>
  <c r="H66" i="31" s="1"/>
  <c r="G67" i="31"/>
  <c r="H67" i="31" s="1"/>
  <c r="G68" i="31"/>
  <c r="H68" i="31" s="1"/>
  <c r="G54" i="31"/>
  <c r="H54" i="31" s="1"/>
  <c r="G55" i="31"/>
  <c r="H55" i="31" s="1"/>
  <c r="G56" i="31"/>
  <c r="H56" i="31" s="1"/>
  <c r="G57" i="31"/>
  <c r="H57" i="31" s="1"/>
  <c r="G58" i="31"/>
  <c r="H58" i="31" s="1"/>
  <c r="G59" i="31"/>
  <c r="H59" i="31" s="1"/>
  <c r="G41" i="31"/>
  <c r="H41" i="31" s="1"/>
  <c r="G42" i="31"/>
  <c r="H42" i="31" s="1"/>
  <c r="G43" i="31"/>
  <c r="H43" i="31" s="1"/>
  <c r="G44" i="31"/>
  <c r="H44" i="31" s="1"/>
  <c r="G45" i="31"/>
  <c r="H45" i="31" s="1"/>
  <c r="G46" i="31"/>
  <c r="H46" i="31" s="1"/>
  <c r="G47" i="31"/>
  <c r="H47" i="31" s="1"/>
  <c r="G30" i="31"/>
  <c r="H30" i="31" s="1"/>
  <c r="G31" i="31"/>
  <c r="H31" i="31" s="1"/>
  <c r="G34" i="31"/>
  <c r="H34" i="31" s="1"/>
  <c r="G32" i="31"/>
  <c r="H32" i="31" s="1"/>
  <c r="G33" i="31"/>
  <c r="H33" i="31" s="1"/>
  <c r="G19" i="31"/>
  <c r="H19" i="31" s="1"/>
  <c r="G20" i="31"/>
  <c r="H20" i="31" s="1"/>
  <c r="G21" i="31"/>
  <c r="H21" i="31" s="1"/>
  <c r="G22" i="31"/>
  <c r="H22" i="31" s="1"/>
  <c r="G23" i="31"/>
  <c r="H23" i="31" s="1"/>
  <c r="G24" i="31"/>
  <c r="H24" i="31" s="1"/>
  <c r="G8" i="31"/>
  <c r="H8" i="31" s="1"/>
  <c r="G9" i="31"/>
  <c r="G10" i="31"/>
  <c r="G11" i="31"/>
  <c r="G205" i="4"/>
  <c r="H205" i="4" s="1"/>
  <c r="G190" i="4"/>
  <c r="H190" i="4" s="1"/>
  <c r="G191" i="4"/>
  <c r="H191" i="4" s="1"/>
  <c r="G192" i="4"/>
  <c r="H192" i="4" s="1"/>
  <c r="G193" i="4"/>
  <c r="H193" i="4" s="1"/>
  <c r="G194" i="4"/>
  <c r="H194" i="4" s="1"/>
  <c r="G195" i="4"/>
  <c r="H195" i="4" s="1"/>
  <c r="G196" i="4"/>
  <c r="H196" i="4" s="1"/>
  <c r="G197" i="4"/>
  <c r="H197" i="4" s="1"/>
  <c r="G198" i="4"/>
  <c r="H198" i="4" s="1"/>
  <c r="G199" i="4"/>
  <c r="H199" i="4" s="1"/>
  <c r="G172" i="4"/>
  <c r="H172" i="4" s="1"/>
  <c r="G173" i="4"/>
  <c r="H173" i="4" s="1"/>
  <c r="G174" i="4"/>
  <c r="H174" i="4" s="1"/>
  <c r="G175" i="4"/>
  <c r="H175" i="4" s="1"/>
  <c r="G176" i="4"/>
  <c r="H176" i="4" s="1"/>
  <c r="G177" i="4"/>
  <c r="H177" i="4" s="1"/>
  <c r="G178" i="4"/>
  <c r="H178" i="4" s="1"/>
  <c r="G179" i="4"/>
  <c r="H179" i="4" s="1"/>
  <c r="G180" i="4"/>
  <c r="H180" i="4" s="1"/>
  <c r="G181" i="4"/>
  <c r="H181" i="4" s="1"/>
  <c r="G182" i="4"/>
  <c r="H182" i="4" s="1"/>
  <c r="G183" i="4"/>
  <c r="H183" i="4" s="1"/>
  <c r="G184" i="4"/>
  <c r="H184" i="4" s="1"/>
  <c r="G154" i="4"/>
  <c r="H154" i="4" s="1"/>
  <c r="G155" i="4"/>
  <c r="H155" i="4" s="1"/>
  <c r="G156" i="4"/>
  <c r="H156" i="4" s="1"/>
  <c r="G157" i="4"/>
  <c r="H157" i="4" s="1"/>
  <c r="G158" i="4"/>
  <c r="H158" i="4" s="1"/>
  <c r="G159" i="4"/>
  <c r="H159" i="4" s="1"/>
  <c r="G160" i="4"/>
  <c r="H160" i="4" s="1"/>
  <c r="G161" i="4"/>
  <c r="H161" i="4" s="1"/>
  <c r="G162" i="4"/>
  <c r="H162" i="4" s="1"/>
  <c r="G163" i="4"/>
  <c r="H163" i="4" s="1"/>
  <c r="G166" i="4"/>
  <c r="H166" i="4" s="1"/>
  <c r="G32" i="36"/>
  <c r="H32" i="36" s="1"/>
  <c r="G33" i="36"/>
  <c r="H33" i="36" s="1"/>
  <c r="G34" i="36"/>
  <c r="H34" i="36" s="1"/>
  <c r="G35" i="36"/>
  <c r="H35" i="36" s="1"/>
  <c r="G36" i="36"/>
  <c r="H36" i="36" s="1"/>
  <c r="H20" i="36"/>
  <c r="H21" i="36"/>
  <c r="H22" i="36"/>
  <c r="H23" i="36"/>
  <c r="H24" i="36"/>
  <c r="H25" i="36"/>
  <c r="H26" i="36"/>
  <c r="H8" i="36"/>
  <c r="H9" i="36"/>
  <c r="H10" i="36"/>
  <c r="H11" i="36"/>
  <c r="H12" i="36"/>
  <c r="H13" i="36"/>
  <c r="H14" i="36"/>
  <c r="H75" i="12"/>
  <c r="H78" i="12"/>
  <c r="H80" i="12"/>
  <c r="H81" i="12"/>
  <c r="H79" i="12"/>
  <c r="H83" i="12"/>
  <c r="H82" i="12"/>
  <c r="H76" i="12"/>
  <c r="H77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42" i="12"/>
  <c r="H46" i="12"/>
  <c r="H47" i="12"/>
  <c r="H39" i="12"/>
  <c r="H48" i="12"/>
  <c r="H36" i="12"/>
  <c r="H35" i="12"/>
  <c r="H37" i="12"/>
  <c r="H49" i="12"/>
  <c r="H45" i="12"/>
  <c r="H38" i="12"/>
  <c r="H44" i="12"/>
  <c r="H40" i="12"/>
  <c r="H41" i="12"/>
  <c r="H43" i="12"/>
  <c r="G84" i="19"/>
  <c r="H84" i="19" s="1"/>
  <c r="G85" i="19"/>
  <c r="H85" i="19" s="1"/>
  <c r="G86" i="19"/>
  <c r="H86" i="19" s="1"/>
  <c r="G87" i="19"/>
  <c r="H87" i="19" s="1"/>
  <c r="G88" i="19"/>
  <c r="H88" i="19" s="1"/>
  <c r="G89" i="19"/>
  <c r="H89" i="19" s="1"/>
  <c r="G90" i="19"/>
  <c r="H90" i="19" s="1"/>
  <c r="G91" i="19"/>
  <c r="H91" i="19" s="1"/>
  <c r="G92" i="19"/>
  <c r="H92" i="19" s="1"/>
  <c r="G63" i="19"/>
  <c r="H63" i="19" s="1"/>
  <c r="G64" i="19"/>
  <c r="H64" i="19" s="1"/>
  <c r="G65" i="19"/>
  <c r="H65" i="19" s="1"/>
  <c r="G66" i="19"/>
  <c r="H66" i="19" s="1"/>
  <c r="G67" i="19"/>
  <c r="H67" i="19" s="1"/>
  <c r="G68" i="19"/>
  <c r="H68" i="19" s="1"/>
  <c r="G69" i="19"/>
  <c r="H69" i="19" s="1"/>
  <c r="G70" i="19"/>
  <c r="H70" i="19" s="1"/>
  <c r="G71" i="19"/>
  <c r="H71" i="19" s="1"/>
  <c r="G72" i="19"/>
  <c r="H72" i="19" s="1"/>
  <c r="G73" i="19"/>
  <c r="H73" i="19" s="1"/>
  <c r="G74" i="19"/>
  <c r="H74" i="19" s="1"/>
  <c r="G47" i="19"/>
  <c r="H47" i="19" s="1"/>
  <c r="G48" i="19"/>
  <c r="H48" i="19" s="1"/>
  <c r="G49" i="19"/>
  <c r="H49" i="19" s="1"/>
  <c r="G50" i="19"/>
  <c r="H50" i="19" s="1"/>
  <c r="G51" i="19"/>
  <c r="H51" i="19" s="1"/>
  <c r="G52" i="19"/>
  <c r="H52" i="19" s="1"/>
  <c r="G53" i="19"/>
  <c r="H53" i="19" s="1"/>
  <c r="G54" i="19"/>
  <c r="H54" i="19" s="1"/>
  <c r="G55" i="19"/>
  <c r="H55" i="19" s="1"/>
  <c r="G56" i="19"/>
  <c r="H56" i="19" s="1"/>
  <c r="G57" i="19"/>
  <c r="H57" i="19" s="1"/>
  <c r="G58" i="19"/>
  <c r="H58" i="19" s="1"/>
  <c r="G77" i="16"/>
  <c r="H77" i="16" s="1"/>
  <c r="G78" i="16"/>
  <c r="H78" i="16" s="1"/>
  <c r="G79" i="16"/>
  <c r="H79" i="16" s="1"/>
  <c r="G80" i="16"/>
  <c r="H80" i="16" s="1"/>
  <c r="G81" i="16"/>
  <c r="H81" i="16" s="1"/>
  <c r="G65" i="16"/>
  <c r="H65" i="16" s="1"/>
  <c r="G66" i="16"/>
  <c r="H66" i="16" s="1"/>
  <c r="G67" i="16"/>
  <c r="H67" i="16" s="1"/>
  <c r="G68" i="16"/>
  <c r="H68" i="16" s="1"/>
  <c r="G69" i="16"/>
  <c r="H69" i="16" s="1"/>
  <c r="G51" i="16"/>
  <c r="H51" i="16" s="1"/>
  <c r="G52" i="16"/>
  <c r="H52" i="16" s="1"/>
  <c r="G53" i="16"/>
  <c r="H53" i="16" s="1"/>
  <c r="G54" i="16"/>
  <c r="H54" i="16" s="1"/>
  <c r="G55" i="16"/>
  <c r="H55" i="16" s="1"/>
  <c r="G56" i="16"/>
  <c r="H56" i="16" s="1"/>
  <c r="G57" i="16"/>
  <c r="H57" i="16" s="1"/>
  <c r="G58" i="16"/>
  <c r="H58" i="16" s="1"/>
  <c r="G27" i="16"/>
  <c r="H27" i="16" s="1"/>
  <c r="G28" i="16"/>
  <c r="H28" i="16" s="1"/>
  <c r="G29" i="16"/>
  <c r="H29" i="16" s="1"/>
  <c r="G30" i="16"/>
  <c r="H30" i="16" s="1"/>
  <c r="G31" i="16"/>
  <c r="H31" i="16" s="1"/>
  <c r="G32" i="16"/>
  <c r="H32" i="16" s="1"/>
  <c r="G33" i="16"/>
  <c r="H33" i="16" s="1"/>
  <c r="G34" i="16"/>
  <c r="H34" i="16" s="1"/>
  <c r="G35" i="16"/>
  <c r="H35" i="16" s="1"/>
  <c r="G36" i="16"/>
  <c r="H36" i="16" s="1"/>
  <c r="G37" i="16"/>
  <c r="H37" i="16" s="1"/>
  <c r="G38" i="16"/>
  <c r="H38" i="16" s="1"/>
  <c r="G39" i="16"/>
  <c r="H39" i="16" s="1"/>
  <c r="G40" i="16"/>
  <c r="H40" i="16" s="1"/>
  <c r="G41" i="16"/>
  <c r="H41" i="16" s="1"/>
  <c r="G42" i="16"/>
  <c r="H42" i="16" s="1"/>
  <c r="G43" i="16"/>
  <c r="H43" i="16" s="1"/>
  <c r="G9" i="16"/>
  <c r="H9" i="16" s="1"/>
  <c r="G10" i="16"/>
  <c r="H10" i="16" s="1"/>
  <c r="G11" i="16"/>
  <c r="H11" i="16" s="1"/>
  <c r="G12" i="16"/>
  <c r="H12" i="16" s="1"/>
  <c r="G13" i="16"/>
  <c r="H13" i="16" s="1"/>
  <c r="G14" i="16"/>
  <c r="H14" i="16" s="1"/>
  <c r="G15" i="16"/>
  <c r="H15" i="16" s="1"/>
  <c r="G16" i="16"/>
  <c r="H16" i="16" s="1"/>
  <c r="G17" i="16"/>
  <c r="H17" i="16" s="1"/>
  <c r="G18" i="16"/>
  <c r="H18" i="16" s="1"/>
  <c r="G19" i="16"/>
  <c r="H19" i="16" s="1"/>
  <c r="G20" i="16"/>
  <c r="H20" i="16" s="1"/>
  <c r="G21" i="16"/>
  <c r="H21" i="16" s="1"/>
  <c r="G22" i="16"/>
  <c r="H22" i="16" s="1"/>
  <c r="G94" i="17"/>
  <c r="H94" i="17" s="1"/>
  <c r="G102" i="17"/>
  <c r="H102" i="17" s="1"/>
  <c r="G97" i="17"/>
  <c r="H97" i="17" s="1"/>
  <c r="G96" i="17"/>
  <c r="H96" i="17" s="1"/>
  <c r="G103" i="17"/>
  <c r="H103" i="17" s="1"/>
  <c r="G99" i="17"/>
  <c r="H99" i="17" s="1"/>
  <c r="G90" i="17"/>
  <c r="H90" i="17" s="1"/>
  <c r="G100" i="17"/>
  <c r="H100" i="17" s="1"/>
  <c r="G95" i="17"/>
  <c r="H95" i="17" s="1"/>
  <c r="G88" i="17"/>
  <c r="H88" i="17" s="1"/>
  <c r="G89" i="17"/>
  <c r="H89" i="17" s="1"/>
  <c r="G87" i="17"/>
  <c r="H87" i="17" s="1"/>
  <c r="G91" i="17"/>
  <c r="H91" i="17" s="1"/>
  <c r="G92" i="17"/>
  <c r="H92" i="17" s="1"/>
  <c r="G101" i="17"/>
  <c r="H101" i="17" s="1"/>
  <c r="G93" i="17"/>
  <c r="H93" i="17" s="1"/>
  <c r="G98" i="17"/>
  <c r="H98" i="17" s="1"/>
  <c r="G68" i="17"/>
  <c r="H68" i="17" s="1"/>
  <c r="G69" i="17"/>
  <c r="H69" i="17" s="1"/>
  <c r="G70" i="17"/>
  <c r="H70" i="17" s="1"/>
  <c r="G71" i="17"/>
  <c r="H71" i="17" s="1"/>
  <c r="G59" i="17"/>
  <c r="H59" i="17" s="1"/>
  <c r="G61" i="17"/>
  <c r="H61" i="17" s="1"/>
  <c r="G60" i="17"/>
  <c r="H60" i="17" s="1"/>
  <c r="G58" i="17"/>
  <c r="H58" i="17" s="1"/>
  <c r="G62" i="17"/>
  <c r="H62" i="17" s="1"/>
  <c r="G63" i="17"/>
  <c r="H63" i="17" s="1"/>
  <c r="G53" i="17"/>
  <c r="H53" i="17" s="1"/>
  <c r="G57" i="17"/>
  <c r="H57" i="17" s="1"/>
  <c r="G30" i="17"/>
  <c r="H30" i="17" s="1"/>
  <c r="G31" i="17"/>
  <c r="H31" i="17" s="1"/>
  <c r="G32" i="17"/>
  <c r="H32" i="17" s="1"/>
  <c r="G33" i="17"/>
  <c r="H33" i="17" s="1"/>
  <c r="G34" i="17"/>
  <c r="H34" i="17" s="1"/>
  <c r="G35" i="17"/>
  <c r="H35" i="17" s="1"/>
  <c r="G36" i="17"/>
  <c r="H36" i="17" s="1"/>
  <c r="G37" i="17"/>
  <c r="H37" i="17" s="1"/>
  <c r="G38" i="17"/>
  <c r="H38" i="17" s="1"/>
  <c r="G39" i="17"/>
  <c r="H39" i="17" s="1"/>
  <c r="G21" i="17"/>
  <c r="H21" i="17" s="1"/>
  <c r="G22" i="17"/>
  <c r="H22" i="17" s="1"/>
  <c r="G19" i="17"/>
  <c r="H19" i="17" s="1"/>
  <c r="G13" i="17"/>
  <c r="H13" i="17" s="1"/>
  <c r="G14" i="17"/>
  <c r="H14" i="17" s="1"/>
  <c r="G23" i="17"/>
  <c r="H23" i="17" s="1"/>
  <c r="G20" i="17"/>
  <c r="H20" i="17" s="1"/>
  <c r="H18" i="17"/>
  <c r="G24" i="17"/>
  <c r="H24" i="17" s="1"/>
  <c r="G10" i="17"/>
  <c r="H10" i="17" s="1"/>
  <c r="H10" i="18"/>
  <c r="H13" i="18"/>
  <c r="H15" i="18"/>
  <c r="H12" i="18"/>
  <c r="H14" i="18"/>
  <c r="H17" i="18"/>
  <c r="H16" i="18"/>
  <c r="H9" i="18"/>
  <c r="K12" i="18"/>
  <c r="K13" i="18" s="1"/>
  <c r="H11" i="18"/>
  <c r="H110" i="19"/>
  <c r="H109" i="19"/>
  <c r="H108" i="19"/>
  <c r="H107" i="19"/>
  <c r="H106" i="19"/>
  <c r="H105" i="19"/>
  <c r="H104" i="19"/>
  <c r="H103" i="19"/>
  <c r="H102" i="19"/>
  <c r="K101" i="19"/>
  <c r="K102" i="19" s="1"/>
  <c r="H101" i="19"/>
  <c r="H100" i="19"/>
  <c r="H99" i="19"/>
  <c r="H98" i="19"/>
  <c r="K90" i="17"/>
  <c r="K91" i="17" s="1"/>
  <c r="K80" i="16"/>
  <c r="K81" i="16" s="1"/>
  <c r="K76" i="16"/>
  <c r="K77" i="16" s="1"/>
  <c r="K68" i="16"/>
  <c r="K69" i="16" s="1"/>
  <c r="K64" i="16"/>
  <c r="H59" i="16"/>
  <c r="K50" i="16" s="1"/>
  <c r="K54" i="16"/>
  <c r="K55" i="16" s="1"/>
  <c r="H22" i="12"/>
  <c r="H19" i="12"/>
  <c r="H13" i="12"/>
  <c r="H24" i="12"/>
  <c r="H27" i="12"/>
  <c r="H15" i="12"/>
  <c r="H9" i="12"/>
  <c r="H25" i="12"/>
  <c r="H21" i="12"/>
  <c r="H18" i="12"/>
  <c r="H10" i="12"/>
  <c r="H28" i="12"/>
  <c r="H23" i="12"/>
  <c r="H16" i="12"/>
  <c r="H20" i="12"/>
  <c r="H14" i="12"/>
  <c r="H17" i="12"/>
  <c r="H11" i="12"/>
  <c r="G22" i="21"/>
  <c r="H22" i="21" s="1"/>
  <c r="G27" i="21"/>
  <c r="H27" i="21" s="1"/>
  <c r="G28" i="21"/>
  <c r="H28" i="21" s="1"/>
  <c r="G24" i="21"/>
  <c r="H24" i="21" s="1"/>
  <c r="G23" i="21"/>
  <c r="H23" i="21" s="1"/>
  <c r="K25" i="21"/>
  <c r="K26" i="21" s="1"/>
  <c r="G11" i="21"/>
  <c r="H11" i="21" s="1"/>
  <c r="G12" i="21"/>
  <c r="H12" i="21" s="1"/>
  <c r="G13" i="21"/>
  <c r="H13" i="21" s="1"/>
  <c r="G14" i="21"/>
  <c r="H14" i="21" s="1"/>
  <c r="G10" i="21"/>
  <c r="H10" i="21" s="1"/>
  <c r="K13" i="21"/>
  <c r="K14" i="21" s="1"/>
  <c r="G43" i="22"/>
  <c r="H43" i="22" s="1"/>
  <c r="G44" i="22"/>
  <c r="H44" i="22" s="1"/>
  <c r="G45" i="22"/>
  <c r="H45" i="22" s="1"/>
  <c r="G46" i="22"/>
  <c r="H46" i="22" s="1"/>
  <c r="G47" i="22"/>
  <c r="H47" i="22" s="1"/>
  <c r="G48" i="22"/>
  <c r="H48" i="22" s="1"/>
  <c r="G49" i="22"/>
  <c r="H49" i="22" s="1"/>
  <c r="G50" i="22"/>
  <c r="H50" i="22" s="1"/>
  <c r="G42" i="22"/>
  <c r="H42" i="22" s="1"/>
  <c r="G25" i="22"/>
  <c r="H25" i="22" s="1"/>
  <c r="G31" i="22"/>
  <c r="H31" i="22" s="1"/>
  <c r="G11" i="22"/>
  <c r="H11" i="22" s="1"/>
  <c r="G28" i="22"/>
  <c r="H28" i="22" s="1"/>
  <c r="G13" i="22"/>
  <c r="H13" i="22" s="1"/>
  <c r="G27" i="22"/>
  <c r="H27" i="22" s="1"/>
  <c r="G9" i="22"/>
  <c r="H9" i="22" s="1"/>
  <c r="G20" i="22"/>
  <c r="H20" i="22" s="1"/>
  <c r="G14" i="22"/>
  <c r="H14" i="22" s="1"/>
  <c r="G33" i="22"/>
  <c r="H33" i="22" s="1"/>
  <c r="G23" i="22"/>
  <c r="H23" i="22" s="1"/>
  <c r="G16" i="22"/>
  <c r="H16" i="22" s="1"/>
  <c r="G19" i="22"/>
  <c r="H19" i="22" s="1"/>
  <c r="G12" i="22"/>
  <c r="H12" i="22" s="1"/>
  <c r="G18" i="22"/>
  <c r="H18" i="22" s="1"/>
  <c r="G32" i="22"/>
  <c r="H32" i="22" s="1"/>
  <c r="G24" i="22"/>
  <c r="H24" i="22" s="1"/>
  <c r="G30" i="22"/>
  <c r="H30" i="22" s="1"/>
  <c r="G10" i="22"/>
  <c r="H10" i="22" s="1"/>
  <c r="G29" i="22"/>
  <c r="H29" i="22" s="1"/>
  <c r="G22" i="22"/>
  <c r="H22" i="22" s="1"/>
  <c r="G15" i="22"/>
  <c r="H15" i="22" s="1"/>
  <c r="G26" i="22"/>
  <c r="H26" i="22" s="1"/>
  <c r="G21" i="22"/>
  <c r="H21" i="22" s="1"/>
  <c r="G17" i="22"/>
  <c r="H17" i="22" s="1"/>
  <c r="K98" i="13"/>
  <c r="K99" i="13" s="1"/>
  <c r="K30" i="13"/>
  <c r="K31" i="13" s="1"/>
  <c r="B447" i="6"/>
  <c r="B446" i="6"/>
  <c r="B445" i="6"/>
  <c r="B444" i="6"/>
  <c r="O447" i="6"/>
  <c r="P447" i="6" s="1"/>
  <c r="O446" i="6"/>
  <c r="P446" i="6" s="1"/>
  <c r="O445" i="6"/>
  <c r="P445" i="6" s="1"/>
  <c r="O444" i="6"/>
  <c r="P444" i="6" s="1"/>
  <c r="I55" i="60"/>
  <c r="I56" i="60" s="1"/>
  <c r="E52" i="60"/>
  <c r="F52" i="60" s="1"/>
  <c r="I41" i="60"/>
  <c r="I42" i="60" s="1"/>
  <c r="E38" i="60"/>
  <c r="F38" i="60" s="1"/>
  <c r="I25" i="60"/>
  <c r="I26" i="60" s="1"/>
  <c r="E22" i="60"/>
  <c r="F22" i="60" s="1"/>
  <c r="E6" i="60"/>
  <c r="F6" i="60" s="1"/>
  <c r="I9" i="60"/>
  <c r="I10" i="60" s="1"/>
  <c r="G138" i="4"/>
  <c r="H138" i="4" s="1"/>
  <c r="G143" i="4"/>
  <c r="H143" i="4" s="1"/>
  <c r="G147" i="4"/>
  <c r="H147" i="4" s="1"/>
  <c r="G145" i="4"/>
  <c r="H145" i="4" s="1"/>
  <c r="G139" i="4"/>
  <c r="H139" i="4" s="1"/>
  <c r="G146" i="4"/>
  <c r="H146" i="4" s="1"/>
  <c r="G142" i="4"/>
  <c r="H142" i="4" s="1"/>
  <c r="G137" i="4"/>
  <c r="H137" i="4" s="1"/>
  <c r="G140" i="4"/>
  <c r="H140" i="4" s="1"/>
  <c r="G144" i="4"/>
  <c r="H144" i="4" s="1"/>
  <c r="G141" i="4"/>
  <c r="H141" i="4" s="1"/>
  <c r="G115" i="4"/>
  <c r="H115" i="4" s="1"/>
  <c r="G116" i="4"/>
  <c r="H116" i="4" s="1"/>
  <c r="G117" i="4"/>
  <c r="H117" i="4" s="1"/>
  <c r="G118" i="4"/>
  <c r="H118" i="4" s="1"/>
  <c r="G119" i="4"/>
  <c r="H119" i="4" s="1"/>
  <c r="G120" i="4"/>
  <c r="H120" i="4" s="1"/>
  <c r="G121" i="4"/>
  <c r="H121" i="4" s="1"/>
  <c r="G122" i="4"/>
  <c r="H122" i="4" s="1"/>
  <c r="G123" i="4"/>
  <c r="H123" i="4" s="1"/>
  <c r="G124" i="4"/>
  <c r="H124" i="4" s="1"/>
  <c r="G125" i="4"/>
  <c r="H125" i="4" s="1"/>
  <c r="G126" i="4"/>
  <c r="H126" i="4" s="1"/>
  <c r="G127" i="4"/>
  <c r="H127" i="4" s="1"/>
  <c r="G114" i="4"/>
  <c r="H114" i="4" s="1"/>
  <c r="G104" i="4"/>
  <c r="H104" i="4" s="1"/>
  <c r="G102" i="4"/>
  <c r="H102" i="4" s="1"/>
  <c r="G103" i="4"/>
  <c r="H103" i="4" s="1"/>
  <c r="G97" i="4"/>
  <c r="H97" i="4" s="1"/>
  <c r="G105" i="4"/>
  <c r="H105" i="4" s="1"/>
  <c r="G96" i="4"/>
  <c r="H96" i="4" s="1"/>
  <c r="G100" i="4"/>
  <c r="H100" i="4" s="1"/>
  <c r="G95" i="4"/>
  <c r="H95" i="4" s="1"/>
  <c r="G99" i="4"/>
  <c r="H99" i="4" s="1"/>
  <c r="G101" i="4"/>
  <c r="H101" i="4" s="1"/>
  <c r="G106" i="4"/>
  <c r="H106" i="4" s="1"/>
  <c r="G98" i="4"/>
  <c r="H98" i="4" s="1"/>
  <c r="G78" i="4"/>
  <c r="H78" i="4" s="1"/>
  <c r="G79" i="4"/>
  <c r="H79" i="4" s="1"/>
  <c r="G80" i="4"/>
  <c r="H80" i="4" s="1"/>
  <c r="G81" i="4"/>
  <c r="H81" i="4" s="1"/>
  <c r="G82" i="4"/>
  <c r="H82" i="4" s="1"/>
  <c r="G83" i="4"/>
  <c r="H83" i="4" s="1"/>
  <c r="G84" i="4"/>
  <c r="H84" i="4" s="1"/>
  <c r="G85" i="4"/>
  <c r="H85" i="4" s="1"/>
  <c r="G86" i="4"/>
  <c r="H86" i="4" s="1"/>
  <c r="G87" i="4"/>
  <c r="H87" i="4" s="1"/>
  <c r="G88" i="4"/>
  <c r="H88" i="4" s="1"/>
  <c r="G77" i="4"/>
  <c r="H77" i="4" s="1"/>
  <c r="G48" i="4"/>
  <c r="H48" i="4" s="1"/>
  <c r="G33" i="4"/>
  <c r="H33" i="4" s="1"/>
  <c r="G43" i="4"/>
  <c r="H43" i="4" s="1"/>
  <c r="G44" i="4"/>
  <c r="H44" i="4" s="1"/>
  <c r="G49" i="4"/>
  <c r="H49" i="4" s="1"/>
  <c r="G47" i="4"/>
  <c r="H47" i="4" s="1"/>
  <c r="G46" i="4"/>
  <c r="H46" i="4" s="1"/>
  <c r="G35" i="4"/>
  <c r="H35" i="4" s="1"/>
  <c r="G37" i="4"/>
  <c r="H37" i="4" s="1"/>
  <c r="G40" i="4"/>
  <c r="H40" i="4" s="1"/>
  <c r="G34" i="4"/>
  <c r="H34" i="4" s="1"/>
  <c r="G41" i="4"/>
  <c r="H41" i="4" s="1"/>
  <c r="G42" i="4"/>
  <c r="H42" i="4" s="1"/>
  <c r="G38" i="4"/>
  <c r="H38" i="4" s="1"/>
  <c r="G39" i="4"/>
  <c r="H39" i="4" s="1"/>
  <c r="G36" i="4"/>
  <c r="H36" i="4" s="1"/>
  <c r="G32" i="4"/>
  <c r="H32" i="4" s="1"/>
  <c r="G45" i="4"/>
  <c r="H45" i="4" s="1"/>
  <c r="G10" i="4"/>
  <c r="H10" i="4" s="1"/>
  <c r="G18" i="4"/>
  <c r="H18" i="4" s="1"/>
  <c r="G13" i="4"/>
  <c r="H13" i="4" s="1"/>
  <c r="G19" i="4"/>
  <c r="H19" i="4" s="1"/>
  <c r="G11" i="4"/>
  <c r="H11" i="4" s="1"/>
  <c r="G26" i="4"/>
  <c r="H26" i="4" s="1"/>
  <c r="G17" i="4"/>
  <c r="H17" i="4" s="1"/>
  <c r="G14" i="4"/>
  <c r="H14" i="4" s="1"/>
  <c r="G20" i="4"/>
  <c r="H20" i="4" s="1"/>
  <c r="G15" i="4"/>
  <c r="H15" i="4" s="1"/>
  <c r="G12" i="4"/>
  <c r="H12" i="4" s="1"/>
  <c r="G9" i="4"/>
  <c r="H9" i="4" s="1"/>
  <c r="G8" i="4"/>
  <c r="H8" i="4" s="1"/>
  <c r="G21" i="4"/>
  <c r="H21" i="4" s="1"/>
  <c r="G16" i="4"/>
  <c r="H16" i="4" s="1"/>
  <c r="G29" i="19"/>
  <c r="H29" i="19" s="1"/>
  <c r="G32" i="19"/>
  <c r="H32" i="19" s="1"/>
  <c r="G27" i="19"/>
  <c r="H27" i="19" s="1"/>
  <c r="G31" i="19"/>
  <c r="H31" i="19" s="1"/>
  <c r="G34" i="19"/>
  <c r="H34" i="19" s="1"/>
  <c r="H24" i="19"/>
  <c r="G30" i="19"/>
  <c r="H30" i="19" s="1"/>
  <c r="G33" i="19"/>
  <c r="H33" i="19" s="1"/>
  <c r="G36" i="19"/>
  <c r="H36" i="19" s="1"/>
  <c r="G25" i="19"/>
  <c r="H25" i="19" s="1"/>
  <c r="G28" i="19"/>
  <c r="H28" i="19" s="1"/>
  <c r="G26" i="19"/>
  <c r="H26" i="19" s="1"/>
  <c r="G35" i="19"/>
  <c r="H35" i="19" s="1"/>
  <c r="G8" i="19"/>
  <c r="H8" i="19" s="1"/>
  <c r="G9" i="19"/>
  <c r="H9" i="19" s="1"/>
  <c r="G10" i="19"/>
  <c r="H10" i="19" s="1"/>
  <c r="G11" i="19"/>
  <c r="H11" i="19" s="1"/>
  <c r="G12" i="19"/>
  <c r="H12" i="19" s="1"/>
  <c r="G13" i="19"/>
  <c r="H13" i="19" s="1"/>
  <c r="G14" i="19"/>
  <c r="H14" i="19" s="1"/>
  <c r="G15" i="19"/>
  <c r="H15" i="19" s="1"/>
  <c r="G16" i="19"/>
  <c r="H16" i="19" s="1"/>
  <c r="G17" i="19"/>
  <c r="H17" i="19" s="1"/>
  <c r="G18" i="19"/>
  <c r="H18" i="19" s="1"/>
  <c r="G26" i="24"/>
  <c r="H26" i="24" s="1"/>
  <c r="G29" i="24"/>
  <c r="H29" i="24" s="1"/>
  <c r="G32" i="24"/>
  <c r="H32" i="24" s="1"/>
  <c r="G33" i="24"/>
  <c r="H33" i="24" s="1"/>
  <c r="G34" i="24"/>
  <c r="H34" i="24" s="1"/>
  <c r="G38" i="24"/>
  <c r="H38" i="24" s="1"/>
  <c r="G43" i="24"/>
  <c r="H43" i="24" s="1"/>
  <c r="G44" i="24"/>
  <c r="H44" i="24" s="1"/>
  <c r="G30" i="24"/>
  <c r="H30" i="24" s="1"/>
  <c r="G31" i="24"/>
  <c r="H31" i="24" s="1"/>
  <c r="G36" i="24"/>
  <c r="H36" i="24" s="1"/>
  <c r="G27" i="24"/>
  <c r="H27" i="24" s="1"/>
  <c r="G40" i="24"/>
  <c r="H40" i="24" s="1"/>
  <c r="G39" i="24"/>
  <c r="H39" i="24" s="1"/>
  <c r="G37" i="24"/>
  <c r="H37" i="24" s="1"/>
  <c r="G41" i="24"/>
  <c r="H41" i="24" s="1"/>
  <c r="G8" i="24"/>
  <c r="H8" i="24" s="1"/>
  <c r="G9" i="24"/>
  <c r="H9" i="24" s="1"/>
  <c r="G10" i="24"/>
  <c r="H10" i="24" s="1"/>
  <c r="G11" i="24"/>
  <c r="H11" i="24" s="1"/>
  <c r="G12" i="24"/>
  <c r="H12" i="24" s="1"/>
  <c r="G13" i="24"/>
  <c r="H13" i="24" s="1"/>
  <c r="G14" i="24"/>
  <c r="H14" i="24" s="1"/>
  <c r="G15" i="24"/>
  <c r="H15" i="24" s="1"/>
  <c r="G16" i="24"/>
  <c r="H16" i="24" s="1"/>
  <c r="G17" i="24"/>
  <c r="H17" i="24" s="1"/>
  <c r="G18" i="24"/>
  <c r="H18" i="24" s="1"/>
  <c r="G19" i="24"/>
  <c r="H19" i="24" s="1"/>
  <c r="G131" i="13"/>
  <c r="H131" i="13" s="1"/>
  <c r="G132" i="13"/>
  <c r="H132" i="13" s="1"/>
  <c r="G133" i="13"/>
  <c r="H133" i="13" s="1"/>
  <c r="G134" i="13"/>
  <c r="H134" i="13" s="1"/>
  <c r="G119" i="13"/>
  <c r="H119" i="13" s="1"/>
  <c r="G120" i="13"/>
  <c r="H120" i="13" s="1"/>
  <c r="G121" i="13"/>
  <c r="H121" i="13" s="1"/>
  <c r="G122" i="13"/>
  <c r="H122" i="13" s="1"/>
  <c r="G123" i="13"/>
  <c r="H123" i="13" s="1"/>
  <c r="G124" i="13"/>
  <c r="H124" i="13" s="1"/>
  <c r="G125" i="13"/>
  <c r="H125" i="13" s="1"/>
  <c r="G107" i="13"/>
  <c r="H107" i="13" s="1"/>
  <c r="G108" i="13"/>
  <c r="H108" i="13" s="1"/>
  <c r="G109" i="13"/>
  <c r="H109" i="13" s="1"/>
  <c r="G95" i="13"/>
  <c r="H95" i="13" s="1"/>
  <c r="G96" i="13"/>
  <c r="H96" i="13" s="1"/>
  <c r="G84" i="13"/>
  <c r="H84" i="13" s="1"/>
  <c r="G85" i="13"/>
  <c r="H85" i="13" s="1"/>
  <c r="G86" i="13"/>
  <c r="H86" i="13" s="1"/>
  <c r="G87" i="13"/>
  <c r="H87" i="13" s="1"/>
  <c r="G71" i="13"/>
  <c r="H71" i="13" s="1"/>
  <c r="G72" i="13"/>
  <c r="H72" i="13" s="1"/>
  <c r="G73" i="13"/>
  <c r="H73" i="13" s="1"/>
  <c r="G74" i="13"/>
  <c r="H74" i="13" s="1"/>
  <c r="G75" i="13"/>
  <c r="H75" i="13" s="1"/>
  <c r="G76" i="13"/>
  <c r="H76" i="13" s="1"/>
  <c r="G77" i="13"/>
  <c r="H77" i="13" s="1"/>
  <c r="G78" i="13"/>
  <c r="H78" i="13" s="1"/>
  <c r="G55" i="13"/>
  <c r="H55" i="13" s="1"/>
  <c r="G56" i="13"/>
  <c r="H56" i="13" s="1"/>
  <c r="G57" i="13"/>
  <c r="H57" i="13" s="1"/>
  <c r="G58" i="13"/>
  <c r="H58" i="13" s="1"/>
  <c r="G59" i="13"/>
  <c r="H59" i="13" s="1"/>
  <c r="G60" i="13"/>
  <c r="H60" i="13" s="1"/>
  <c r="G61" i="13"/>
  <c r="H61" i="13" s="1"/>
  <c r="G62" i="13"/>
  <c r="H62" i="13" s="1"/>
  <c r="G63" i="13"/>
  <c r="H63" i="13" s="1"/>
  <c r="G64" i="13"/>
  <c r="H64" i="13" s="1"/>
  <c r="G65" i="13"/>
  <c r="H65" i="13" s="1"/>
  <c r="G38" i="13"/>
  <c r="H38" i="13" s="1"/>
  <c r="G39" i="13"/>
  <c r="H39" i="13" s="1"/>
  <c r="G40" i="13"/>
  <c r="H40" i="13" s="1"/>
  <c r="G41" i="13"/>
  <c r="H41" i="13" s="1"/>
  <c r="G42" i="13"/>
  <c r="H42" i="13" s="1"/>
  <c r="G43" i="13"/>
  <c r="H43" i="13" s="1"/>
  <c r="G27" i="13"/>
  <c r="H27" i="13" s="1"/>
  <c r="G28" i="13"/>
  <c r="H28" i="13" s="1"/>
  <c r="G29" i="13"/>
  <c r="H29" i="13" s="1"/>
  <c r="G30" i="13"/>
  <c r="H30" i="13" s="1"/>
  <c r="G14" i="13"/>
  <c r="H14" i="13" s="1"/>
  <c r="G16" i="13"/>
  <c r="H16" i="13" s="1"/>
  <c r="G17" i="13"/>
  <c r="H17" i="13" s="1"/>
  <c r="G11" i="13"/>
  <c r="H11" i="13" s="1"/>
  <c r="G12" i="13"/>
  <c r="H12" i="13" s="1"/>
  <c r="G18" i="13"/>
  <c r="H18" i="13" s="1"/>
  <c r="G19" i="13"/>
  <c r="H19" i="13" s="1"/>
  <c r="G15" i="13"/>
  <c r="H15" i="13" s="1"/>
  <c r="G9" i="13"/>
  <c r="H9" i="13" s="1"/>
  <c r="G13" i="13"/>
  <c r="H13" i="13" s="1"/>
  <c r="G10" i="13"/>
  <c r="H10" i="13" s="1"/>
  <c r="G8" i="13"/>
  <c r="H8" i="13" s="1"/>
  <c r="H60" i="50" l="1"/>
  <c r="D402" i="6"/>
  <c r="H135" i="13"/>
  <c r="O295" i="6"/>
  <c r="P295" i="6" s="1"/>
  <c r="O292" i="6"/>
  <c r="P292" i="6" s="1"/>
  <c r="O296" i="6"/>
  <c r="P296" i="6" s="1"/>
  <c r="L90" i="6"/>
  <c r="M90" i="6" s="1"/>
  <c r="L46" i="6"/>
  <c r="M46" i="6" s="1"/>
  <c r="K98" i="12"/>
  <c r="K99" i="12" s="1"/>
  <c r="D102" i="6" s="1"/>
  <c r="Q102" i="6" s="1"/>
  <c r="K52" i="24"/>
  <c r="K53" i="24" s="1"/>
  <c r="D68" i="6" s="1"/>
  <c r="Q68" i="6" s="1"/>
  <c r="K110" i="17"/>
  <c r="K111" i="17" s="1"/>
  <c r="D127" i="6" s="1"/>
  <c r="H61" i="50"/>
  <c r="H62" i="50" s="1"/>
  <c r="G299" i="6"/>
  <c r="G297" i="6"/>
  <c r="H104" i="53"/>
  <c r="H106" i="53" s="1"/>
  <c r="E106" i="53"/>
  <c r="H93" i="53"/>
  <c r="H95" i="53" s="1"/>
  <c r="E95" i="53"/>
  <c r="E80" i="53"/>
  <c r="H78" i="53"/>
  <c r="H80" i="53" s="1"/>
  <c r="E69" i="53"/>
  <c r="H67" i="53"/>
  <c r="H69" i="53" s="1"/>
  <c r="F43" i="6"/>
  <c r="G43" i="6" s="1"/>
  <c r="J189" i="54"/>
  <c r="J191" i="54" s="1"/>
  <c r="G191" i="54"/>
  <c r="J177" i="54"/>
  <c r="J179" i="54" s="1"/>
  <c r="G179" i="54"/>
  <c r="G167" i="54"/>
  <c r="J165" i="54"/>
  <c r="J167" i="54" s="1"/>
  <c r="J152" i="54"/>
  <c r="J154" i="54" s="1"/>
  <c r="G154" i="54"/>
  <c r="J140" i="54"/>
  <c r="J142" i="54" s="1"/>
  <c r="G142" i="54"/>
  <c r="J127" i="54"/>
  <c r="J129" i="54" s="1"/>
  <c r="G129" i="54"/>
  <c r="G116" i="54"/>
  <c r="J114" i="54"/>
  <c r="J116" i="54" s="1"/>
  <c r="J102" i="54"/>
  <c r="J104" i="54" s="1"/>
  <c r="G104" i="54"/>
  <c r="G93" i="54"/>
  <c r="J91" i="54"/>
  <c r="J93" i="54" s="1"/>
  <c r="J79" i="54"/>
  <c r="J81" i="54" s="1"/>
  <c r="G81" i="54"/>
  <c r="J67" i="54"/>
  <c r="J69" i="54" s="1"/>
  <c r="G69" i="54"/>
  <c r="J56" i="54"/>
  <c r="J58" i="54" s="1"/>
  <c r="G58" i="54"/>
  <c r="G46" i="54"/>
  <c r="J44" i="54"/>
  <c r="J46" i="54" s="1"/>
  <c r="G34" i="54"/>
  <c r="J32" i="54"/>
  <c r="J34" i="54" s="1"/>
  <c r="G22" i="54"/>
  <c r="J20" i="54"/>
  <c r="J22" i="54" s="1"/>
  <c r="G9" i="54"/>
  <c r="J7" i="54"/>
  <c r="J9" i="54" s="1"/>
  <c r="H9" i="61"/>
  <c r="H21" i="61"/>
  <c r="K19" i="61"/>
  <c r="K7" i="61"/>
  <c r="G45" i="6"/>
  <c r="G44" i="6"/>
  <c r="G33" i="6"/>
  <c r="G34" i="6"/>
  <c r="G26" i="6"/>
  <c r="G30" i="6"/>
  <c r="G487" i="27"/>
  <c r="J480" i="27"/>
  <c r="J469" i="27"/>
  <c r="G471" i="27"/>
  <c r="G460" i="27"/>
  <c r="J458" i="27"/>
  <c r="G448" i="27"/>
  <c r="J446" i="27"/>
  <c r="G434" i="27"/>
  <c r="J432" i="27"/>
  <c r="G422" i="27"/>
  <c r="J420" i="27"/>
  <c r="G408" i="27"/>
  <c r="J406" i="27"/>
  <c r="G396" i="27"/>
  <c r="J394" i="27"/>
  <c r="G383" i="27"/>
  <c r="J381" i="27"/>
  <c r="G370" i="27"/>
  <c r="J368" i="27"/>
  <c r="G357" i="27"/>
  <c r="J355" i="27"/>
  <c r="G344" i="27"/>
  <c r="J342" i="27"/>
  <c r="G331" i="27"/>
  <c r="J329" i="27"/>
  <c r="G319" i="27"/>
  <c r="J317" i="27"/>
  <c r="G308" i="27"/>
  <c r="J306" i="27"/>
  <c r="G295" i="27"/>
  <c r="J293" i="27"/>
  <c r="G282" i="27"/>
  <c r="J280" i="27"/>
  <c r="G271" i="27"/>
  <c r="J269" i="27"/>
  <c r="J258" i="27"/>
  <c r="G260" i="27"/>
  <c r="G248" i="27"/>
  <c r="J246" i="27"/>
  <c r="H51" i="43"/>
  <c r="H156" i="13"/>
  <c r="K143" i="13"/>
  <c r="K116" i="19"/>
  <c r="K117" i="19" s="1"/>
  <c r="H129" i="19"/>
  <c r="H18" i="18"/>
  <c r="K8" i="18"/>
  <c r="H112" i="19"/>
  <c r="K97" i="19" s="1"/>
  <c r="K98" i="19" s="1"/>
  <c r="K99" i="19" s="1"/>
  <c r="D80" i="6" s="1"/>
  <c r="K86" i="17"/>
  <c r="H104" i="17"/>
  <c r="K78" i="16"/>
  <c r="K82" i="16" s="1"/>
  <c r="K65" i="16"/>
  <c r="K66" i="16" s="1"/>
  <c r="I51" i="60"/>
  <c r="F53" i="60"/>
  <c r="F39" i="60"/>
  <c r="I37" i="60"/>
  <c r="F23" i="60"/>
  <c r="I21" i="60"/>
  <c r="I5" i="60"/>
  <c r="F7" i="60"/>
  <c r="I121" i="59"/>
  <c r="I122" i="59" s="1"/>
  <c r="I94" i="59"/>
  <c r="I95" i="59" s="1"/>
  <c r="I70" i="59"/>
  <c r="I71" i="59" s="1"/>
  <c r="I49" i="59"/>
  <c r="I50" i="59" s="1"/>
  <c r="E39" i="59"/>
  <c r="F39" i="59" s="1"/>
  <c r="E38" i="59"/>
  <c r="F38" i="59" s="1"/>
  <c r="E37" i="59"/>
  <c r="F37" i="59" s="1"/>
  <c r="I36" i="59"/>
  <c r="I37" i="59" s="1"/>
  <c r="E36" i="59"/>
  <c r="F36" i="59" s="1"/>
  <c r="E35" i="59"/>
  <c r="F35" i="59" s="1"/>
  <c r="E34" i="59"/>
  <c r="F34" i="59" s="1"/>
  <c r="E22" i="59"/>
  <c r="F22" i="59" s="1"/>
  <c r="E23" i="59"/>
  <c r="F23" i="59" s="1"/>
  <c r="E24" i="59"/>
  <c r="F24" i="59" s="1"/>
  <c r="E25" i="59"/>
  <c r="F25" i="59" s="1"/>
  <c r="E26" i="59"/>
  <c r="F26" i="59" s="1"/>
  <c r="E27" i="59"/>
  <c r="F27" i="59" s="1"/>
  <c r="E10" i="59"/>
  <c r="E11" i="59"/>
  <c r="E12" i="59"/>
  <c r="E13" i="59"/>
  <c r="E14" i="59"/>
  <c r="E15" i="59"/>
  <c r="K402" i="6" l="1"/>
  <c r="H402" i="6"/>
  <c r="R402" i="6"/>
  <c r="Q402" i="6"/>
  <c r="I402" i="6"/>
  <c r="Q127" i="6"/>
  <c r="K127" i="6"/>
  <c r="L127" i="6" s="1"/>
  <c r="M127" i="6" s="1"/>
  <c r="K80" i="6"/>
  <c r="L80" i="6" s="1"/>
  <c r="M80" i="6" s="1"/>
  <c r="Q80" i="6"/>
  <c r="R102" i="6"/>
  <c r="K102" i="6"/>
  <c r="H102" i="6"/>
  <c r="I102" i="6"/>
  <c r="K103" i="12"/>
  <c r="K104" i="12"/>
  <c r="K105" i="12" s="1"/>
  <c r="K104" i="19"/>
  <c r="K105" i="19" s="1"/>
  <c r="K103" i="19"/>
  <c r="I80" i="6"/>
  <c r="H80" i="6"/>
  <c r="R80" i="6"/>
  <c r="H68" i="6"/>
  <c r="I68" i="6"/>
  <c r="K68" i="6"/>
  <c r="R68" i="6"/>
  <c r="R127" i="6"/>
  <c r="I127" i="6"/>
  <c r="H127" i="6"/>
  <c r="K57" i="24"/>
  <c r="K58" i="24"/>
  <c r="K59" i="24" s="1"/>
  <c r="K115" i="17"/>
  <c r="K116" i="17"/>
  <c r="K117" i="17" s="1"/>
  <c r="K83" i="16"/>
  <c r="K84" i="16" s="1"/>
  <c r="H110" i="53"/>
  <c r="D300" i="6"/>
  <c r="K118" i="19"/>
  <c r="H99" i="53"/>
  <c r="D299" i="6"/>
  <c r="H73" i="53"/>
  <c r="D297" i="6"/>
  <c r="H84" i="53"/>
  <c r="D298" i="6"/>
  <c r="H111" i="53"/>
  <c r="H112" i="53" s="1"/>
  <c r="H100" i="53"/>
  <c r="H101" i="53" s="1"/>
  <c r="H85" i="53"/>
  <c r="H86" i="53" s="1"/>
  <c r="H74" i="53"/>
  <c r="H75" i="53" s="1"/>
  <c r="J133" i="54"/>
  <c r="J73" i="54"/>
  <c r="J97" i="54"/>
  <c r="D318" i="6"/>
  <c r="Q318" i="6" s="1"/>
  <c r="J38" i="54"/>
  <c r="J108" i="54"/>
  <c r="J183" i="54"/>
  <c r="D320" i="6"/>
  <c r="Q320" i="6" s="1"/>
  <c r="J195" i="54"/>
  <c r="D321" i="6"/>
  <c r="Q321" i="6" s="1"/>
  <c r="J62" i="54"/>
  <c r="D316" i="6"/>
  <c r="Q316" i="6" s="1"/>
  <c r="J146" i="54"/>
  <c r="J13" i="54"/>
  <c r="D313" i="6"/>
  <c r="Q313" i="6" s="1"/>
  <c r="J85" i="54"/>
  <c r="D317" i="6"/>
  <c r="Q317" i="6" s="1"/>
  <c r="J26" i="54"/>
  <c r="D314" i="6"/>
  <c r="Q314" i="6" s="1"/>
  <c r="J171" i="54"/>
  <c r="J50" i="54"/>
  <c r="D315" i="6"/>
  <c r="Q315" i="6" s="1"/>
  <c r="J120" i="54"/>
  <c r="D319" i="6"/>
  <c r="Q319" i="6" s="1"/>
  <c r="J196" i="54"/>
  <c r="J197" i="54" s="1"/>
  <c r="J109" i="54"/>
  <c r="J110" i="54" s="1"/>
  <c r="J172" i="54"/>
  <c r="J173" i="54" s="1"/>
  <c r="J27" i="54"/>
  <c r="J28" i="54" s="1"/>
  <c r="J147" i="54"/>
  <c r="J148" i="54" s="1"/>
  <c r="J134" i="54"/>
  <c r="J135" i="54" s="1"/>
  <c r="J121" i="54"/>
  <c r="J122" i="54" s="1"/>
  <c r="J86" i="54"/>
  <c r="J87" i="54" s="1"/>
  <c r="J184" i="54"/>
  <c r="J185" i="54" s="1"/>
  <c r="J159" i="54"/>
  <c r="J160" i="54" s="1"/>
  <c r="J158" i="54"/>
  <c r="J98" i="54"/>
  <c r="J99" i="54" s="1"/>
  <c r="J74" i="54"/>
  <c r="J75" i="54" s="1"/>
  <c r="J63" i="54"/>
  <c r="J64" i="54" s="1"/>
  <c r="J51" i="54"/>
  <c r="J52" i="54" s="1"/>
  <c r="J39" i="54"/>
  <c r="J40" i="54" s="1"/>
  <c r="J14" i="54"/>
  <c r="J15" i="54" s="1"/>
  <c r="K21" i="61"/>
  <c r="D307" i="6" s="1"/>
  <c r="K9" i="61"/>
  <c r="D306" i="6" s="1"/>
  <c r="J481" i="27"/>
  <c r="J482" i="27" s="1"/>
  <c r="D45" i="6" s="1"/>
  <c r="J470" i="27"/>
  <c r="J471" i="27" s="1"/>
  <c r="D44" i="6" s="1"/>
  <c r="J459" i="27"/>
  <c r="J460" i="27" s="1"/>
  <c r="D43" i="6" s="1"/>
  <c r="Q43" i="6" s="1"/>
  <c r="J447" i="27"/>
  <c r="J448" i="27" s="1"/>
  <c r="D42" i="6" s="1"/>
  <c r="Q42" i="6" s="1"/>
  <c r="J433" i="27"/>
  <c r="J434" i="27" s="1"/>
  <c r="D41" i="6" s="1"/>
  <c r="Q41" i="6" s="1"/>
  <c r="J421" i="27"/>
  <c r="J422" i="27" s="1"/>
  <c r="D40" i="6" s="1"/>
  <c r="Q40" i="6" s="1"/>
  <c r="J407" i="27"/>
  <c r="J408" i="27" s="1"/>
  <c r="D39" i="6" s="1"/>
  <c r="Q39" i="6" s="1"/>
  <c r="J395" i="27"/>
  <c r="J396" i="27" s="1"/>
  <c r="D38" i="6" s="1"/>
  <c r="Q38" i="6" s="1"/>
  <c r="J382" i="27"/>
  <c r="J383" i="27" s="1"/>
  <c r="D37" i="6" s="1"/>
  <c r="Q37" i="6" s="1"/>
  <c r="J369" i="27"/>
  <c r="J370" i="27" s="1"/>
  <c r="D36" i="6" s="1"/>
  <c r="Q36" i="6" s="1"/>
  <c r="J356" i="27"/>
  <c r="J357" i="27" s="1"/>
  <c r="D35" i="6" s="1"/>
  <c r="Q35" i="6" s="1"/>
  <c r="J343" i="27"/>
  <c r="J344" i="27" s="1"/>
  <c r="D34" i="6" s="1"/>
  <c r="Q34" i="6" s="1"/>
  <c r="J330" i="27"/>
  <c r="J331" i="27" s="1"/>
  <c r="D33" i="6" s="1"/>
  <c r="Q33" i="6" s="1"/>
  <c r="J318" i="27"/>
  <c r="J319" i="27" s="1"/>
  <c r="D32" i="6" s="1"/>
  <c r="Q32" i="6" s="1"/>
  <c r="J307" i="27"/>
  <c r="J308" i="27" s="1"/>
  <c r="D31" i="6" s="1"/>
  <c r="Q31" i="6" s="1"/>
  <c r="J294" i="27"/>
  <c r="J295" i="27" s="1"/>
  <c r="D30" i="6" s="1"/>
  <c r="J281" i="27"/>
  <c r="J282" i="27" s="1"/>
  <c r="D29" i="6" s="1"/>
  <c r="Q29" i="6" s="1"/>
  <c r="J270" i="27"/>
  <c r="J271" i="27" s="1"/>
  <c r="D28" i="6" s="1"/>
  <c r="Q28" i="6" s="1"/>
  <c r="J259" i="27"/>
  <c r="J260" i="27" s="1"/>
  <c r="D27" i="6" s="1"/>
  <c r="Q27" i="6" s="1"/>
  <c r="J247" i="27"/>
  <c r="J248" i="27" s="1"/>
  <c r="D26" i="6" s="1"/>
  <c r="Q26" i="6" s="1"/>
  <c r="K144" i="13"/>
  <c r="K145" i="13" s="1"/>
  <c r="D61" i="6" s="1"/>
  <c r="K9" i="18"/>
  <c r="K10" i="18" s="1"/>
  <c r="D89" i="6" s="1"/>
  <c r="Q89" i="6" s="1"/>
  <c r="K87" i="17"/>
  <c r="K88" i="17" s="1"/>
  <c r="D126" i="6" s="1"/>
  <c r="K70" i="16"/>
  <c r="K71" i="16"/>
  <c r="K72" i="16" s="1"/>
  <c r="K51" i="16"/>
  <c r="K52" i="16" s="1"/>
  <c r="I52" i="60"/>
  <c r="I53" i="60" s="1"/>
  <c r="D447" i="6" s="1"/>
  <c r="H447" i="6" s="1"/>
  <c r="I38" i="60"/>
  <c r="I39" i="60" s="1"/>
  <c r="D446" i="6" s="1"/>
  <c r="H446" i="6" s="1"/>
  <c r="I22" i="60"/>
  <c r="I23" i="60" s="1"/>
  <c r="D445" i="6" s="1"/>
  <c r="H445" i="6" s="1"/>
  <c r="I6" i="60"/>
  <c r="I7" i="60" s="1"/>
  <c r="D444" i="6" s="1"/>
  <c r="H444" i="6" s="1"/>
  <c r="E60" i="59"/>
  <c r="F60" i="59" s="1"/>
  <c r="E54" i="59"/>
  <c r="F54" i="59" s="1"/>
  <c r="E68" i="59"/>
  <c r="F68" i="59" s="1"/>
  <c r="E83" i="59"/>
  <c r="F83" i="59" s="1"/>
  <c r="E120" i="59"/>
  <c r="F120" i="59" s="1"/>
  <c r="E70" i="59"/>
  <c r="F70" i="59" s="1"/>
  <c r="E71" i="59"/>
  <c r="F71" i="59" s="1"/>
  <c r="E72" i="59"/>
  <c r="F72" i="59" s="1"/>
  <c r="E82" i="59"/>
  <c r="F82" i="59" s="1"/>
  <c r="E67" i="59"/>
  <c r="F67" i="59" s="1"/>
  <c r="E51" i="59"/>
  <c r="F51" i="59" s="1"/>
  <c r="E84" i="59"/>
  <c r="F84" i="59" s="1"/>
  <c r="E97" i="59"/>
  <c r="F97" i="59" s="1"/>
  <c r="E95" i="59"/>
  <c r="F95" i="59" s="1"/>
  <c r="E100" i="59"/>
  <c r="F100" i="59" s="1"/>
  <c r="E55" i="59"/>
  <c r="F55" i="59" s="1"/>
  <c r="E56" i="59"/>
  <c r="F56" i="59" s="1"/>
  <c r="E61" i="59"/>
  <c r="F61" i="59" s="1"/>
  <c r="E121" i="59"/>
  <c r="F121" i="59" s="1"/>
  <c r="E69" i="59"/>
  <c r="F69" i="59" s="1"/>
  <c r="E53" i="59"/>
  <c r="F53" i="59" s="1"/>
  <c r="E81" i="59"/>
  <c r="F81" i="59" s="1"/>
  <c r="E59" i="59"/>
  <c r="F59" i="59" s="1"/>
  <c r="E46" i="59"/>
  <c r="F46" i="59" s="1"/>
  <c r="E94" i="59"/>
  <c r="F94" i="59" s="1"/>
  <c r="E58" i="59"/>
  <c r="F58" i="59" s="1"/>
  <c r="E48" i="59"/>
  <c r="F48" i="59" s="1"/>
  <c r="E99" i="59"/>
  <c r="F99" i="59" s="1"/>
  <c r="E77" i="59"/>
  <c r="F77" i="59" s="1"/>
  <c r="E96" i="59"/>
  <c r="F96" i="59" s="1"/>
  <c r="E47" i="59"/>
  <c r="F47" i="59" s="1"/>
  <c r="E50" i="59"/>
  <c r="F50" i="59" s="1"/>
  <c r="E91" i="59"/>
  <c r="F91" i="59" s="1"/>
  <c r="E76" i="59"/>
  <c r="F76" i="59" s="1"/>
  <c r="E93" i="59"/>
  <c r="F93" i="59" s="1"/>
  <c r="E75" i="59"/>
  <c r="F75" i="59" s="1"/>
  <c r="E49" i="59"/>
  <c r="F49" i="59" s="1"/>
  <c r="E98" i="59"/>
  <c r="F98" i="59" s="1"/>
  <c r="E80" i="59"/>
  <c r="F80" i="59" s="1"/>
  <c r="E73" i="59"/>
  <c r="F73" i="59" s="1"/>
  <c r="E57" i="59"/>
  <c r="F57" i="59" s="1"/>
  <c r="E118" i="59"/>
  <c r="F118" i="59" s="1"/>
  <c r="E78" i="59"/>
  <c r="F78" i="59" s="1"/>
  <c r="E74" i="59"/>
  <c r="F74" i="59" s="1"/>
  <c r="E52" i="59"/>
  <c r="F52" i="59" s="1"/>
  <c r="E119" i="59"/>
  <c r="F119" i="59" s="1"/>
  <c r="E79" i="59"/>
  <c r="F79" i="59" s="1"/>
  <c r="E92" i="59"/>
  <c r="F92" i="59" s="1"/>
  <c r="I24" i="59"/>
  <c r="I25" i="59" s="1"/>
  <c r="I12" i="59"/>
  <c r="I13" i="59" s="1"/>
  <c r="H448" i="6" l="1"/>
  <c r="H459" i="6"/>
  <c r="L402" i="6"/>
  <c r="M402" i="6" s="1"/>
  <c r="K447" i="6"/>
  <c r="L447" i="6" s="1"/>
  <c r="M447" i="6" s="1"/>
  <c r="I447" i="6"/>
  <c r="K446" i="6"/>
  <c r="L446" i="6" s="1"/>
  <c r="M446" i="6" s="1"/>
  <c r="I446" i="6"/>
  <c r="K445" i="6"/>
  <c r="I445" i="6"/>
  <c r="K444" i="6"/>
  <c r="L444" i="6" s="1"/>
  <c r="M444" i="6" s="1"/>
  <c r="I444" i="6"/>
  <c r="I297" i="6"/>
  <c r="Q297" i="6"/>
  <c r="K297" i="6"/>
  <c r="L297" i="6" s="1"/>
  <c r="M297" i="6" s="1"/>
  <c r="K300" i="6"/>
  <c r="L300" i="6" s="1"/>
  <c r="M300" i="6" s="1"/>
  <c r="Q300" i="6"/>
  <c r="K307" i="6"/>
  <c r="Q307" i="6"/>
  <c r="K306" i="6"/>
  <c r="Q306" i="6"/>
  <c r="I299" i="6"/>
  <c r="Q299" i="6"/>
  <c r="K299" i="6"/>
  <c r="L299" i="6" s="1"/>
  <c r="M299" i="6" s="1"/>
  <c r="K298" i="6"/>
  <c r="L298" i="6" s="1"/>
  <c r="M298" i="6" s="1"/>
  <c r="Q298" i="6"/>
  <c r="R61" i="6"/>
  <c r="K61" i="6"/>
  <c r="Q61" i="6"/>
  <c r="H61" i="6"/>
  <c r="I61" i="6"/>
  <c r="Q126" i="6"/>
  <c r="K126" i="6"/>
  <c r="L126" i="6" s="1"/>
  <c r="M126" i="6" s="1"/>
  <c r="H30" i="6"/>
  <c r="Q30" i="6"/>
  <c r="I44" i="6"/>
  <c r="Q44" i="6"/>
  <c r="I45" i="6"/>
  <c r="Q45" i="6"/>
  <c r="L102" i="6"/>
  <c r="M102" i="6" s="1"/>
  <c r="R89" i="6"/>
  <c r="K89" i="6"/>
  <c r="H89" i="6"/>
  <c r="I89" i="6"/>
  <c r="K123" i="19"/>
  <c r="K124" i="19" s="1"/>
  <c r="D79" i="6"/>
  <c r="R126" i="6"/>
  <c r="H126" i="6"/>
  <c r="I126" i="6"/>
  <c r="L68" i="6"/>
  <c r="M68" i="6" s="1"/>
  <c r="H297" i="6"/>
  <c r="H299" i="6"/>
  <c r="K122" i="19"/>
  <c r="R298" i="6"/>
  <c r="H298" i="6"/>
  <c r="I298" i="6"/>
  <c r="R299" i="6"/>
  <c r="R300" i="6"/>
  <c r="H300" i="6"/>
  <c r="I300" i="6"/>
  <c r="R297" i="6"/>
  <c r="I30" i="6"/>
  <c r="R321" i="6"/>
  <c r="K321" i="6"/>
  <c r="L321" i="6" s="1"/>
  <c r="M321" i="6" s="1"/>
  <c r="I321" i="6"/>
  <c r="H321" i="6"/>
  <c r="R320" i="6"/>
  <c r="K320" i="6"/>
  <c r="H320" i="6"/>
  <c r="I320" i="6"/>
  <c r="K32" i="6"/>
  <c r="H32" i="6"/>
  <c r="I32" i="6"/>
  <c r="R32" i="6"/>
  <c r="K33" i="6"/>
  <c r="R33" i="6"/>
  <c r="K34" i="6"/>
  <c r="R34" i="6"/>
  <c r="H44" i="6"/>
  <c r="K35" i="6"/>
  <c r="L35" i="6" s="1"/>
  <c r="M35" i="6" s="1"/>
  <c r="I35" i="6"/>
  <c r="R35" i="6"/>
  <c r="H35" i="6"/>
  <c r="K36" i="6"/>
  <c r="R36" i="6"/>
  <c r="H36" i="6"/>
  <c r="I36" i="6"/>
  <c r="K26" i="6"/>
  <c r="L26" i="6" s="1"/>
  <c r="M26" i="6" s="1"/>
  <c r="R26" i="6"/>
  <c r="H26" i="6"/>
  <c r="K27" i="6"/>
  <c r="L27" i="6" s="1"/>
  <c r="M27" i="6" s="1"/>
  <c r="R27" i="6"/>
  <c r="I27" i="6"/>
  <c r="H27" i="6"/>
  <c r="I33" i="6"/>
  <c r="H34" i="6"/>
  <c r="R28" i="6"/>
  <c r="I28" i="6"/>
  <c r="K28" i="6"/>
  <c r="H28" i="6"/>
  <c r="R39" i="6"/>
  <c r="I39" i="6"/>
  <c r="K39" i="6"/>
  <c r="H39" i="6"/>
  <c r="K29" i="6"/>
  <c r="L29" i="6" s="1"/>
  <c r="M29" i="6" s="1"/>
  <c r="H29" i="6"/>
  <c r="I29" i="6"/>
  <c r="R29" i="6"/>
  <c r="K40" i="6"/>
  <c r="R40" i="6"/>
  <c r="I40" i="6"/>
  <c r="H40" i="6"/>
  <c r="I26" i="6"/>
  <c r="K30" i="6"/>
  <c r="R30" i="6"/>
  <c r="R41" i="6"/>
  <c r="K41" i="6"/>
  <c r="H41" i="6"/>
  <c r="I41" i="6"/>
  <c r="I31" i="6"/>
  <c r="H31" i="6"/>
  <c r="K31" i="6"/>
  <c r="L31" i="6" s="1"/>
  <c r="M31" i="6" s="1"/>
  <c r="R31" i="6"/>
  <c r="H42" i="6"/>
  <c r="I42" i="6"/>
  <c r="K42" i="6"/>
  <c r="L42" i="6" s="1"/>
  <c r="M42" i="6" s="1"/>
  <c r="R42" i="6"/>
  <c r="I34" i="6"/>
  <c r="R43" i="6"/>
  <c r="K43" i="6"/>
  <c r="H43" i="6"/>
  <c r="I43" i="6"/>
  <c r="K44" i="6"/>
  <c r="R44" i="6"/>
  <c r="K45" i="6"/>
  <c r="L45" i="6" s="1"/>
  <c r="M45" i="6" s="1"/>
  <c r="R45" i="6"/>
  <c r="H33" i="6"/>
  <c r="H45" i="6"/>
  <c r="K37" i="6"/>
  <c r="L37" i="6" s="1"/>
  <c r="M37" i="6" s="1"/>
  <c r="I37" i="6"/>
  <c r="H37" i="6"/>
  <c r="R37" i="6"/>
  <c r="K38" i="6"/>
  <c r="L38" i="6" s="1"/>
  <c r="M38" i="6" s="1"/>
  <c r="I38" i="6"/>
  <c r="H38" i="6"/>
  <c r="R38" i="6"/>
  <c r="K25" i="61"/>
  <c r="K26" i="61"/>
  <c r="K27" i="61" s="1"/>
  <c r="K14" i="61"/>
  <c r="K15" i="61" s="1"/>
  <c r="K13" i="61"/>
  <c r="J486" i="27"/>
  <c r="J487" i="27"/>
  <c r="J488" i="27" s="1"/>
  <c r="J475" i="27"/>
  <c r="J476" i="27"/>
  <c r="J477" i="27" s="1"/>
  <c r="J464" i="27"/>
  <c r="J465" i="27"/>
  <c r="J466" i="27" s="1"/>
  <c r="J452" i="27"/>
  <c r="J453" i="27"/>
  <c r="J454" i="27" s="1"/>
  <c r="J438" i="27"/>
  <c r="J439" i="27"/>
  <c r="J440" i="27" s="1"/>
  <c r="J426" i="27"/>
  <c r="J427" i="27"/>
  <c r="J428" i="27" s="1"/>
  <c r="J412" i="27"/>
  <c r="J413" i="27"/>
  <c r="J414" i="27" s="1"/>
  <c r="J400" i="27"/>
  <c r="J401" i="27"/>
  <c r="J402" i="27" s="1"/>
  <c r="J387" i="27"/>
  <c r="J388" i="27"/>
  <c r="J389" i="27" s="1"/>
  <c r="J374" i="27"/>
  <c r="J375" i="27"/>
  <c r="J376" i="27" s="1"/>
  <c r="J361" i="27"/>
  <c r="J362" i="27"/>
  <c r="J363" i="27" s="1"/>
  <c r="J348" i="27"/>
  <c r="J349" i="27"/>
  <c r="J350" i="27" s="1"/>
  <c r="J335" i="27"/>
  <c r="J336" i="27"/>
  <c r="J337" i="27" s="1"/>
  <c r="J323" i="27"/>
  <c r="J324" i="27"/>
  <c r="J325" i="27" s="1"/>
  <c r="J312" i="27"/>
  <c r="J313" i="27"/>
  <c r="J314" i="27" s="1"/>
  <c r="J299" i="27"/>
  <c r="J300" i="27"/>
  <c r="J301" i="27" s="1"/>
  <c r="J286" i="27"/>
  <c r="J287" i="27"/>
  <c r="J288" i="27" s="1"/>
  <c r="J275" i="27"/>
  <c r="J276" i="27"/>
  <c r="J277" i="27" s="1"/>
  <c r="J264" i="27"/>
  <c r="J265" i="27"/>
  <c r="J266" i="27" s="1"/>
  <c r="J252" i="27"/>
  <c r="J253" i="27"/>
  <c r="J254" i="27" s="1"/>
  <c r="K149" i="13"/>
  <c r="K150" i="13"/>
  <c r="K151" i="13" s="1"/>
  <c r="K14" i="18"/>
  <c r="K15" i="18"/>
  <c r="K16" i="18" s="1"/>
  <c r="K93" i="17"/>
  <c r="K94" i="17" s="1"/>
  <c r="K92" i="17"/>
  <c r="K56" i="16"/>
  <c r="K57" i="16"/>
  <c r="K58" i="16" s="1"/>
  <c r="R447" i="6"/>
  <c r="Q447" i="6"/>
  <c r="R446" i="6"/>
  <c r="Q446" i="6"/>
  <c r="Q444" i="6"/>
  <c r="R444" i="6"/>
  <c r="R445" i="6"/>
  <c r="Q445" i="6"/>
  <c r="I57" i="60"/>
  <c r="I58" i="60"/>
  <c r="I59" i="60" s="1"/>
  <c r="I43" i="60"/>
  <c r="I44" i="60"/>
  <c r="I45" i="60" s="1"/>
  <c r="I27" i="60"/>
  <c r="I28" i="60"/>
  <c r="I29" i="60" s="1"/>
  <c r="I11" i="60"/>
  <c r="I12" i="60"/>
  <c r="I13" i="60" s="1"/>
  <c r="F122" i="59"/>
  <c r="E102" i="59"/>
  <c r="F102" i="59" s="1"/>
  <c r="F85" i="59"/>
  <c r="F62" i="59"/>
  <c r="I45" i="59"/>
  <c r="I46" i="59" s="1"/>
  <c r="I47" i="59" s="1"/>
  <c r="I66" i="59"/>
  <c r="I67" i="59" s="1"/>
  <c r="I68" i="59" s="1"/>
  <c r="I117" i="59"/>
  <c r="I119" i="59" s="1"/>
  <c r="F79" i="6"/>
  <c r="G79" i="6" s="1"/>
  <c r="Q79" i="6" l="1"/>
  <c r="C5" i="63"/>
  <c r="L61" i="6"/>
  <c r="M61" i="6" s="1"/>
  <c r="L89" i="6"/>
  <c r="M89" i="6" s="1"/>
  <c r="L320" i="6"/>
  <c r="M320" i="6" s="1"/>
  <c r="L39" i="6"/>
  <c r="M39" i="6" s="1"/>
  <c r="L33" i="6"/>
  <c r="M33" i="6" s="1"/>
  <c r="L43" i="6"/>
  <c r="M43" i="6" s="1"/>
  <c r="L40" i="6"/>
  <c r="M40" i="6" s="1"/>
  <c r="L28" i="6"/>
  <c r="M28" i="6" s="1"/>
  <c r="L32" i="6"/>
  <c r="M32" i="6" s="1"/>
  <c r="L41" i="6"/>
  <c r="M41" i="6" s="1"/>
  <c r="L34" i="6"/>
  <c r="M34" i="6" s="1"/>
  <c r="L44" i="6"/>
  <c r="M44" i="6" s="1"/>
  <c r="L30" i="6"/>
  <c r="M30" i="6" s="1"/>
  <c r="L36" i="6"/>
  <c r="M36" i="6" s="1"/>
  <c r="R448" i="6"/>
  <c r="L445" i="6"/>
  <c r="M445" i="6" s="1"/>
  <c r="E101" i="59"/>
  <c r="F101" i="59" s="1"/>
  <c r="I123" i="59"/>
  <c r="I124" i="59"/>
  <c r="I125" i="59" s="1"/>
  <c r="I72" i="59"/>
  <c r="I73" i="59"/>
  <c r="I74" i="59" s="1"/>
  <c r="I51" i="59"/>
  <c r="I52" i="59"/>
  <c r="I53" i="59" s="1"/>
  <c r="F14" i="59"/>
  <c r="F10" i="59"/>
  <c r="F12" i="59"/>
  <c r="F13" i="59"/>
  <c r="F15" i="59"/>
  <c r="F11" i="59"/>
  <c r="E103" i="59" l="1"/>
  <c r="F103" i="59" s="1"/>
  <c r="F104" i="59" s="1"/>
  <c r="E9" i="59"/>
  <c r="F9" i="59" s="1"/>
  <c r="F16" i="59" s="1"/>
  <c r="I90" i="59" l="1"/>
  <c r="I91" i="59" s="1"/>
  <c r="I92" i="59" s="1"/>
  <c r="I8" i="59"/>
  <c r="I9" i="59" s="1"/>
  <c r="I10" i="59" s="1"/>
  <c r="E33" i="59"/>
  <c r="F33" i="59" s="1"/>
  <c r="E21" i="59"/>
  <c r="F21" i="59" s="1"/>
  <c r="E176" i="6"/>
  <c r="B176" i="6"/>
  <c r="J176" i="6" s="1"/>
  <c r="K135" i="14"/>
  <c r="K136" i="14" s="1"/>
  <c r="F176" i="6" l="1"/>
  <c r="G176" i="6" s="1"/>
  <c r="O176" i="6"/>
  <c r="P176" i="6" s="1"/>
  <c r="I96" i="59"/>
  <c r="I97" i="59"/>
  <c r="I98" i="59" s="1"/>
  <c r="I32" i="59"/>
  <c r="I33" i="59" s="1"/>
  <c r="I34" i="59" s="1"/>
  <c r="F40" i="59"/>
  <c r="F28" i="59"/>
  <c r="I20" i="59"/>
  <c r="I21" i="59" s="1"/>
  <c r="I22" i="59" s="1"/>
  <c r="I14" i="59"/>
  <c r="I15" i="59"/>
  <c r="I16" i="59" s="1"/>
  <c r="E171" i="6"/>
  <c r="E174" i="6"/>
  <c r="I27" i="59" l="1"/>
  <c r="I28" i="59" s="1"/>
  <c r="I26" i="59"/>
  <c r="I38" i="59"/>
  <c r="I39" i="59"/>
  <c r="I40" i="59" s="1"/>
  <c r="B115" i="6"/>
  <c r="J115" i="6" s="1"/>
  <c r="E202" i="6" l="1"/>
  <c r="B202" i="6"/>
  <c r="J202" i="6" s="1"/>
  <c r="K184" i="25"/>
  <c r="K185" i="25" s="1"/>
  <c r="E201" i="6"/>
  <c r="E199" i="6"/>
  <c r="E193" i="6"/>
  <c r="F202" i="6" l="1"/>
  <c r="G202" i="6" s="1"/>
  <c r="E190" i="6" l="1"/>
  <c r="F190" i="6" s="1"/>
  <c r="G190" i="6" s="1"/>
  <c r="B190" i="6"/>
  <c r="J190" i="6" s="1"/>
  <c r="B327" i="6" l="1"/>
  <c r="J327" i="6" s="1"/>
  <c r="F12" i="6"/>
  <c r="F9" i="6"/>
  <c r="F19" i="6"/>
  <c r="G19" i="6" s="1"/>
  <c r="F16" i="6"/>
  <c r="G16" i="6" s="1"/>
  <c r="F8" i="6"/>
  <c r="G8" i="6" s="1"/>
  <c r="F23" i="6"/>
  <c r="F18" i="6"/>
  <c r="F20" i="6"/>
  <c r="F22" i="6"/>
  <c r="G22" i="6" s="1"/>
  <c r="F7" i="6"/>
  <c r="F21" i="6"/>
  <c r="G21" i="6" s="1"/>
  <c r="F24" i="6"/>
  <c r="G24" i="6" s="1"/>
  <c r="F15" i="6"/>
  <c r="G15" i="6" s="1"/>
  <c r="F11" i="6"/>
  <c r="G11" i="6" s="1"/>
  <c r="F14" i="6"/>
  <c r="H58" i="53"/>
  <c r="H59" i="53" s="1"/>
  <c r="E55" i="53"/>
  <c r="H46" i="53"/>
  <c r="H47" i="53" s="1"/>
  <c r="E43" i="53"/>
  <c r="H34" i="53"/>
  <c r="H35" i="53" s="1"/>
  <c r="E31" i="53"/>
  <c r="H23" i="53"/>
  <c r="H24" i="53" s="1"/>
  <c r="K68" i="31"/>
  <c r="K69" i="31" s="1"/>
  <c r="E426" i="6"/>
  <c r="B426" i="6"/>
  <c r="J426" i="6" s="1"/>
  <c r="E425" i="6"/>
  <c r="B425" i="6"/>
  <c r="J425" i="6" s="1"/>
  <c r="E424" i="6"/>
  <c r="B424" i="6"/>
  <c r="J424" i="6" s="1"/>
  <c r="E423" i="6"/>
  <c r="B423" i="6"/>
  <c r="J423" i="6" s="1"/>
  <c r="E422" i="6"/>
  <c r="B422" i="6"/>
  <c r="J422" i="6" s="1"/>
  <c r="E421" i="6"/>
  <c r="B421" i="6"/>
  <c r="J421" i="6" s="1"/>
  <c r="E420" i="6"/>
  <c r="B420" i="6"/>
  <c r="J420" i="6" s="1"/>
  <c r="E419" i="6"/>
  <c r="B419" i="6"/>
  <c r="J419" i="6" s="1"/>
  <c r="H97" i="52"/>
  <c r="H98" i="52" s="1"/>
  <c r="H85" i="52"/>
  <c r="H86" i="52" s="1"/>
  <c r="H74" i="52"/>
  <c r="H75" i="52" s="1"/>
  <c r="H61" i="52"/>
  <c r="H62" i="52" s="1"/>
  <c r="E58" i="52"/>
  <c r="H47" i="52"/>
  <c r="H48" i="52" s="1"/>
  <c r="H35" i="52"/>
  <c r="H36" i="52" s="1"/>
  <c r="H23" i="52"/>
  <c r="H24" i="52" s="1"/>
  <c r="H11" i="53"/>
  <c r="H12" i="53" s="1"/>
  <c r="E414" i="6"/>
  <c r="B414" i="6"/>
  <c r="J414" i="6" s="1"/>
  <c r="E413" i="6"/>
  <c r="B413" i="6"/>
  <c r="J413" i="6" s="1"/>
  <c r="E412" i="6"/>
  <c r="B412" i="6"/>
  <c r="J412" i="6" s="1"/>
  <c r="E411" i="6"/>
  <c r="B411" i="6"/>
  <c r="J411" i="6" s="1"/>
  <c r="E410" i="6"/>
  <c r="B410" i="6"/>
  <c r="J410" i="6" s="1"/>
  <c r="E409" i="6"/>
  <c r="B409" i="6"/>
  <c r="J409" i="6" s="1"/>
  <c r="H67" i="51"/>
  <c r="H68" i="51" s="1"/>
  <c r="H56" i="51"/>
  <c r="H57" i="51" s="1"/>
  <c r="H45" i="51"/>
  <c r="H46" i="51" s="1"/>
  <c r="H34" i="51"/>
  <c r="H35" i="51" s="1"/>
  <c r="H23" i="51"/>
  <c r="H24" i="51" s="1"/>
  <c r="E401" i="6"/>
  <c r="B401" i="6"/>
  <c r="J401" i="6" s="1"/>
  <c r="E400" i="6"/>
  <c r="B400" i="6"/>
  <c r="J400" i="6" s="1"/>
  <c r="E399" i="6"/>
  <c r="B399" i="6"/>
  <c r="J399" i="6" s="1"/>
  <c r="E398" i="6"/>
  <c r="B398" i="6"/>
  <c r="J398" i="6" s="1"/>
  <c r="H47" i="50"/>
  <c r="H48" i="50" s="1"/>
  <c r="H34" i="50"/>
  <c r="H35" i="50" s="1"/>
  <c r="H23" i="50"/>
  <c r="H24" i="50" s="1"/>
  <c r="H11" i="52"/>
  <c r="H12" i="52" s="1"/>
  <c r="E8" i="52"/>
  <c r="H7" i="52" s="1"/>
  <c r="H9" i="52" s="1"/>
  <c r="D419" i="6" s="1"/>
  <c r="H11" i="51"/>
  <c r="H12" i="51" s="1"/>
  <c r="H11" i="50"/>
  <c r="H12" i="50" s="1"/>
  <c r="E391" i="6"/>
  <c r="F391" i="6" s="1"/>
  <c r="B391" i="6"/>
  <c r="J391" i="6" s="1"/>
  <c r="E390" i="6"/>
  <c r="F390" i="6" s="1"/>
  <c r="G390" i="6" s="1"/>
  <c r="B390" i="6"/>
  <c r="J390" i="6" s="1"/>
  <c r="E389" i="6"/>
  <c r="B389" i="6"/>
  <c r="J389" i="6" s="1"/>
  <c r="E388" i="6"/>
  <c r="B388" i="6"/>
  <c r="J388" i="6" s="1"/>
  <c r="E387" i="6"/>
  <c r="B387" i="6"/>
  <c r="J387" i="6" s="1"/>
  <c r="E386" i="6"/>
  <c r="B386" i="6"/>
  <c r="J386" i="6" s="1"/>
  <c r="E385" i="6"/>
  <c r="B385" i="6"/>
  <c r="J385" i="6" s="1"/>
  <c r="E384" i="6"/>
  <c r="B384" i="6"/>
  <c r="J384" i="6" s="1"/>
  <c r="E383" i="6"/>
  <c r="B383" i="6"/>
  <c r="J383" i="6" s="1"/>
  <c r="E382" i="6"/>
  <c r="B382" i="6"/>
  <c r="J382" i="6" s="1"/>
  <c r="E381" i="6"/>
  <c r="B381" i="6"/>
  <c r="J381" i="6" s="1"/>
  <c r="E380" i="6"/>
  <c r="B380" i="6"/>
  <c r="J380" i="6" s="1"/>
  <c r="I145" i="49"/>
  <c r="I146" i="49" s="1"/>
  <c r="I133" i="49"/>
  <c r="I134" i="49" s="1"/>
  <c r="I120" i="49"/>
  <c r="I121" i="49" s="1"/>
  <c r="I108" i="49"/>
  <c r="I109" i="49" s="1"/>
  <c r="I95" i="49"/>
  <c r="I96" i="49" s="1"/>
  <c r="F92" i="49"/>
  <c r="I83" i="49"/>
  <c r="I84" i="49" s="1"/>
  <c r="I72" i="49"/>
  <c r="I73" i="49" s="1"/>
  <c r="I59" i="49"/>
  <c r="I60" i="49" s="1"/>
  <c r="I47" i="49"/>
  <c r="I48" i="49" s="1"/>
  <c r="I35" i="49"/>
  <c r="I36" i="49" s="1"/>
  <c r="I23" i="49"/>
  <c r="I24" i="49" s="1"/>
  <c r="F20" i="49"/>
  <c r="F117" i="49"/>
  <c r="F32" i="49"/>
  <c r="F44" i="49"/>
  <c r="E44" i="50"/>
  <c r="E372" i="6"/>
  <c r="B372" i="6"/>
  <c r="J372" i="6" s="1"/>
  <c r="E371" i="6"/>
  <c r="B371" i="6"/>
  <c r="J371" i="6" s="1"/>
  <c r="E370" i="6"/>
  <c r="B370" i="6"/>
  <c r="J370" i="6" s="1"/>
  <c r="E369" i="6"/>
  <c r="B369" i="6"/>
  <c r="J369" i="6" s="1"/>
  <c r="E367" i="6"/>
  <c r="B367" i="6"/>
  <c r="J367" i="6" s="1"/>
  <c r="E366" i="6"/>
  <c r="B366" i="6"/>
  <c r="J366" i="6" s="1"/>
  <c r="E365" i="6"/>
  <c r="B365" i="6"/>
  <c r="J365" i="6" s="1"/>
  <c r="E364" i="6"/>
  <c r="B364" i="6"/>
  <c r="J364" i="6" s="1"/>
  <c r="E363" i="6"/>
  <c r="B363" i="6"/>
  <c r="J363" i="6" s="1"/>
  <c r="E362" i="6"/>
  <c r="B362" i="6"/>
  <c r="J362" i="6" s="1"/>
  <c r="I149" i="48"/>
  <c r="I150" i="48" s="1"/>
  <c r="I138" i="48"/>
  <c r="I139" i="48" s="1"/>
  <c r="I125" i="48"/>
  <c r="I126" i="48" s="1"/>
  <c r="I112" i="48"/>
  <c r="I113" i="48" s="1"/>
  <c r="I99" i="48"/>
  <c r="I100" i="48" s="1"/>
  <c r="I86" i="48"/>
  <c r="I87" i="48" s="1"/>
  <c r="I73" i="48"/>
  <c r="I74" i="48" s="1"/>
  <c r="I59" i="48"/>
  <c r="I60" i="48" s="1"/>
  <c r="I47" i="48"/>
  <c r="I48" i="48" s="1"/>
  <c r="I35" i="48"/>
  <c r="I36" i="48" s="1"/>
  <c r="I22" i="48"/>
  <c r="I23" i="48" s="1"/>
  <c r="E356" i="6"/>
  <c r="B356" i="6"/>
  <c r="J356" i="6" s="1"/>
  <c r="E355" i="6"/>
  <c r="B355" i="6"/>
  <c r="J355" i="6" s="1"/>
  <c r="E354" i="6"/>
  <c r="B354" i="6"/>
  <c r="J354" i="6" s="1"/>
  <c r="E353" i="6"/>
  <c r="B353" i="6"/>
  <c r="J353" i="6" s="1"/>
  <c r="E352" i="6"/>
  <c r="B352" i="6"/>
  <c r="J352" i="6" s="1"/>
  <c r="E351" i="6"/>
  <c r="B351" i="6"/>
  <c r="J351" i="6" s="1"/>
  <c r="E350" i="6"/>
  <c r="B350" i="6"/>
  <c r="J350" i="6" s="1"/>
  <c r="I84" i="47"/>
  <c r="I85" i="47" s="1"/>
  <c r="F81" i="47"/>
  <c r="F109" i="48"/>
  <c r="F122" i="48"/>
  <c r="F135" i="48"/>
  <c r="E20" i="52"/>
  <c r="K419" i="6" l="1"/>
  <c r="Q419" i="6"/>
  <c r="E71" i="52"/>
  <c r="E72" i="52" s="1"/>
  <c r="G12" i="6"/>
  <c r="G9" i="6"/>
  <c r="G23" i="6"/>
  <c r="G7" i="6"/>
  <c r="F17" i="6"/>
  <c r="G17" i="6" s="1"/>
  <c r="G20" i="6"/>
  <c r="G18" i="6"/>
  <c r="F13" i="6"/>
  <c r="G13" i="6" s="1"/>
  <c r="G14" i="6"/>
  <c r="F10" i="6"/>
  <c r="G10" i="6" s="1"/>
  <c r="F44" i="48"/>
  <c r="I43" i="48" s="1"/>
  <c r="H54" i="53"/>
  <c r="H56" i="53" s="1"/>
  <c r="D296" i="6" s="1"/>
  <c r="E56" i="53"/>
  <c r="H42" i="53"/>
  <c r="H44" i="53" s="1"/>
  <c r="E44" i="53"/>
  <c r="E32" i="53"/>
  <c r="H30" i="53"/>
  <c r="H32" i="53" s="1"/>
  <c r="D294" i="6" s="1"/>
  <c r="F32" i="48"/>
  <c r="F33" i="48" s="1"/>
  <c r="F56" i="48"/>
  <c r="F57" i="48" s="1"/>
  <c r="E20" i="50"/>
  <c r="H19" i="50" s="1"/>
  <c r="H21" i="50" s="1"/>
  <c r="D399" i="6" s="1"/>
  <c r="H13" i="52"/>
  <c r="H57" i="52"/>
  <c r="H59" i="52" s="1"/>
  <c r="E59" i="52"/>
  <c r="H19" i="52"/>
  <c r="H21" i="52" s="1"/>
  <c r="E21" i="52"/>
  <c r="G391" i="6"/>
  <c r="F105" i="49"/>
  <c r="F106" i="49" s="1"/>
  <c r="F56" i="49"/>
  <c r="F57" i="49" s="1"/>
  <c r="E9" i="52"/>
  <c r="E45" i="50"/>
  <c r="H43" i="50"/>
  <c r="H45" i="50" s="1"/>
  <c r="D401" i="6" s="1"/>
  <c r="H14" i="52"/>
  <c r="H15" i="52" s="1"/>
  <c r="F118" i="49"/>
  <c r="I116" i="49"/>
  <c r="I118" i="49" s="1"/>
  <c r="F93" i="49"/>
  <c r="I91" i="49"/>
  <c r="I93" i="49" s="1"/>
  <c r="F45" i="49"/>
  <c r="I43" i="49"/>
  <c r="I45" i="49" s="1"/>
  <c r="F33" i="49"/>
  <c r="I31" i="49"/>
  <c r="I33" i="49" s="1"/>
  <c r="F21" i="49"/>
  <c r="I19" i="49"/>
  <c r="I21" i="49" s="1"/>
  <c r="F136" i="48"/>
  <c r="I134" i="48"/>
  <c r="I121" i="48"/>
  <c r="F123" i="48"/>
  <c r="I108" i="48"/>
  <c r="F110" i="48"/>
  <c r="F82" i="47"/>
  <c r="I80" i="47"/>
  <c r="I82" i="47" s="1"/>
  <c r="Q399" i="6" l="1"/>
  <c r="K399" i="6"/>
  <c r="K401" i="6"/>
  <c r="Q401" i="6"/>
  <c r="K294" i="6"/>
  <c r="Q294" i="6"/>
  <c r="K296" i="6"/>
  <c r="Q296" i="6"/>
  <c r="D295" i="6"/>
  <c r="H70" i="52"/>
  <c r="H72" i="52" s="1"/>
  <c r="H77" i="52" s="1"/>
  <c r="H78" i="52" s="1"/>
  <c r="H60" i="53"/>
  <c r="H36" i="53"/>
  <c r="F45" i="48"/>
  <c r="H37" i="53"/>
  <c r="H38" i="53" s="1"/>
  <c r="H61" i="53"/>
  <c r="H62" i="53" s="1"/>
  <c r="H48" i="53"/>
  <c r="H49" i="53"/>
  <c r="H50" i="53" s="1"/>
  <c r="H63" i="52"/>
  <c r="D423" i="6"/>
  <c r="H25" i="52"/>
  <c r="D420" i="6"/>
  <c r="I31" i="48"/>
  <c r="I33" i="48" s="1"/>
  <c r="D364" i="6" s="1"/>
  <c r="I55" i="48"/>
  <c r="I57" i="48" s="1"/>
  <c r="D366" i="6" s="1"/>
  <c r="E21" i="50"/>
  <c r="H64" i="52"/>
  <c r="H65" i="52" s="1"/>
  <c r="H26" i="52"/>
  <c r="H27" i="52" s="1"/>
  <c r="I104" i="49"/>
  <c r="I106" i="49" s="1"/>
  <c r="I111" i="49" s="1"/>
  <c r="I112" i="49" s="1"/>
  <c r="H25" i="50"/>
  <c r="H49" i="50"/>
  <c r="I55" i="49"/>
  <c r="I57" i="49" s="1"/>
  <c r="I61" i="49" s="1"/>
  <c r="H50" i="50"/>
  <c r="H51" i="50" s="1"/>
  <c r="H26" i="50"/>
  <c r="H27" i="50" s="1"/>
  <c r="I25" i="49"/>
  <c r="D381" i="6"/>
  <c r="I122" i="49"/>
  <c r="D389" i="6"/>
  <c r="I97" i="49"/>
  <c r="D387" i="6"/>
  <c r="I37" i="49"/>
  <c r="D382" i="6"/>
  <c r="I49" i="49"/>
  <c r="D383" i="6"/>
  <c r="I123" i="49"/>
  <c r="I124" i="49" s="1"/>
  <c r="I38" i="49"/>
  <c r="I39" i="49" s="1"/>
  <c r="I98" i="49"/>
  <c r="I99" i="49" s="1"/>
  <c r="I50" i="49"/>
  <c r="I51" i="49" s="1"/>
  <c r="I26" i="49"/>
  <c r="I27" i="49" s="1"/>
  <c r="I136" i="48"/>
  <c r="D373" i="6" s="1"/>
  <c r="I123" i="48"/>
  <c r="D372" i="6" s="1"/>
  <c r="I110" i="48"/>
  <c r="D371" i="6" s="1"/>
  <c r="I45" i="48"/>
  <c r="D365" i="6" s="1"/>
  <c r="I86" i="47"/>
  <c r="D356" i="6"/>
  <c r="K356" i="6" s="1"/>
  <c r="I87" i="47"/>
  <c r="I88" i="47" s="1"/>
  <c r="K373" i="6" l="1"/>
  <c r="H373" i="6"/>
  <c r="I373" i="6"/>
  <c r="R373" i="6"/>
  <c r="Q373" i="6"/>
  <c r="K381" i="6"/>
  <c r="Q381" i="6"/>
  <c r="K364" i="6"/>
  <c r="Q364" i="6"/>
  <c r="K420" i="6"/>
  <c r="Q420" i="6"/>
  <c r="K423" i="6"/>
  <c r="Q423" i="6"/>
  <c r="K383" i="6"/>
  <c r="Q383" i="6"/>
  <c r="K382" i="6"/>
  <c r="Q382" i="6"/>
  <c r="K365" i="6"/>
  <c r="Q365" i="6"/>
  <c r="K371" i="6"/>
  <c r="Q371" i="6"/>
  <c r="K387" i="6"/>
  <c r="Q387" i="6"/>
  <c r="K372" i="6"/>
  <c r="Q372" i="6"/>
  <c r="K389" i="6"/>
  <c r="Q389" i="6"/>
  <c r="K366" i="6"/>
  <c r="Q366" i="6"/>
  <c r="Q356" i="6"/>
  <c r="K295" i="6"/>
  <c r="Q295" i="6"/>
  <c r="H76" i="52"/>
  <c r="D424" i="6"/>
  <c r="D388" i="6"/>
  <c r="I110" i="49"/>
  <c r="D384" i="6"/>
  <c r="I62" i="49"/>
  <c r="I63" i="49" s="1"/>
  <c r="I140" i="48"/>
  <c r="I141" i="48"/>
  <c r="I142" i="48" s="1"/>
  <c r="I127" i="48"/>
  <c r="I128" i="48"/>
  <c r="I129" i="48" s="1"/>
  <c r="I114" i="48"/>
  <c r="I115" i="48"/>
  <c r="I116" i="48" s="1"/>
  <c r="I61" i="48"/>
  <c r="I62" i="48"/>
  <c r="I63" i="48" s="1"/>
  <c r="I49" i="48"/>
  <c r="I50" i="48"/>
  <c r="I51" i="48" s="1"/>
  <c r="I37" i="48"/>
  <c r="I38" i="48"/>
  <c r="I39" i="48" s="1"/>
  <c r="L373" i="6" l="1"/>
  <c r="M373" i="6" s="1"/>
  <c r="K384" i="6"/>
  <c r="Q384" i="6"/>
  <c r="K388" i="6"/>
  <c r="L388" i="6" s="1"/>
  <c r="Q388" i="6"/>
  <c r="K424" i="6"/>
  <c r="Q424" i="6"/>
  <c r="I73" i="47"/>
  <c r="I74" i="47" s="1"/>
  <c r="F70" i="47"/>
  <c r="I61" i="47"/>
  <c r="I62" i="47" s="1"/>
  <c r="I49" i="47"/>
  <c r="I50" i="47" s="1"/>
  <c r="F46" i="47"/>
  <c r="I37" i="47"/>
  <c r="I38" i="47" s="1"/>
  <c r="F34" i="47"/>
  <c r="I23" i="47"/>
  <c r="I24" i="47" s="1"/>
  <c r="I11" i="49"/>
  <c r="I12" i="49" s="1"/>
  <c r="F8" i="49"/>
  <c r="F9" i="49" s="1"/>
  <c r="I11" i="48"/>
  <c r="I12" i="48" s="1"/>
  <c r="E342" i="6"/>
  <c r="F342" i="6" s="1"/>
  <c r="G342" i="6" s="1"/>
  <c r="B342" i="6"/>
  <c r="J342" i="6" s="1"/>
  <c r="E341" i="6"/>
  <c r="F341" i="6" s="1"/>
  <c r="G341" i="6" s="1"/>
  <c r="B341" i="6"/>
  <c r="J341" i="6" s="1"/>
  <c r="E340" i="6"/>
  <c r="F340" i="6" s="1"/>
  <c r="G340" i="6" s="1"/>
  <c r="B340" i="6"/>
  <c r="J340" i="6" s="1"/>
  <c r="I35" i="46"/>
  <c r="I36" i="46" s="1"/>
  <c r="I24" i="46"/>
  <c r="I25" i="46" s="1"/>
  <c r="E332" i="6"/>
  <c r="F332" i="6" s="1"/>
  <c r="G332" i="6" s="1"/>
  <c r="B332" i="6"/>
  <c r="J332" i="6" s="1"/>
  <c r="E331" i="6"/>
  <c r="F331" i="6" s="1"/>
  <c r="G331" i="6" s="1"/>
  <c r="B331" i="6"/>
  <c r="J331" i="6" s="1"/>
  <c r="E330" i="6"/>
  <c r="F330" i="6" s="1"/>
  <c r="G330" i="6" s="1"/>
  <c r="B330" i="6"/>
  <c r="J330" i="6" s="1"/>
  <c r="E329" i="6"/>
  <c r="F329" i="6" s="1"/>
  <c r="G329" i="6" s="1"/>
  <c r="B329" i="6"/>
  <c r="J329" i="6" s="1"/>
  <c r="E328" i="6"/>
  <c r="F328" i="6" s="1"/>
  <c r="G328" i="6" s="1"/>
  <c r="E327" i="6"/>
  <c r="F327" i="6" s="1"/>
  <c r="G327" i="6" s="1"/>
  <c r="B328" i="6"/>
  <c r="J328" i="6" s="1"/>
  <c r="F426" i="6"/>
  <c r="G426" i="6" s="1"/>
  <c r="F425" i="6"/>
  <c r="G425" i="6" s="1"/>
  <c r="R424" i="6"/>
  <c r="F424" i="6"/>
  <c r="G424" i="6" s="1"/>
  <c r="R423" i="6"/>
  <c r="F423" i="6"/>
  <c r="G423" i="6" s="1"/>
  <c r="F422" i="6"/>
  <c r="G422" i="6" s="1"/>
  <c r="F421" i="6"/>
  <c r="G421" i="6" s="1"/>
  <c r="R420" i="6"/>
  <c r="L420" i="6"/>
  <c r="M420" i="6" s="1"/>
  <c r="F420" i="6"/>
  <c r="G420" i="6" s="1"/>
  <c r="R419" i="6"/>
  <c r="F419" i="6"/>
  <c r="G419" i="6" s="1"/>
  <c r="F414" i="6"/>
  <c r="G414" i="6" s="1"/>
  <c r="F413" i="6"/>
  <c r="G413" i="6" s="1"/>
  <c r="F412" i="6"/>
  <c r="G412" i="6" s="1"/>
  <c r="F411" i="6"/>
  <c r="G411" i="6" s="1"/>
  <c r="F410" i="6"/>
  <c r="G410" i="6" s="1"/>
  <c r="F409" i="6"/>
  <c r="G409" i="6" s="1"/>
  <c r="R401" i="6"/>
  <c r="F401" i="6"/>
  <c r="G401" i="6" s="1"/>
  <c r="F400" i="6"/>
  <c r="G400" i="6" s="1"/>
  <c r="R399" i="6"/>
  <c r="F399" i="6"/>
  <c r="G399" i="6" s="1"/>
  <c r="I399" i="6" s="1"/>
  <c r="F398" i="6"/>
  <c r="G398" i="6" s="1"/>
  <c r="R389" i="6"/>
  <c r="L389" i="6"/>
  <c r="F389" i="6"/>
  <c r="G389" i="6" s="1"/>
  <c r="R388" i="6"/>
  <c r="F388" i="6"/>
  <c r="G388" i="6" s="1"/>
  <c r="H388" i="6" s="1"/>
  <c r="R387" i="6"/>
  <c r="L387" i="6"/>
  <c r="F387" i="6"/>
  <c r="G387" i="6" s="1"/>
  <c r="F386" i="6"/>
  <c r="G386" i="6" s="1"/>
  <c r="F385" i="6"/>
  <c r="G385" i="6" s="1"/>
  <c r="R384" i="6"/>
  <c r="F384" i="6"/>
  <c r="G384" i="6" s="1"/>
  <c r="R383" i="6"/>
  <c r="L383" i="6"/>
  <c r="F383" i="6"/>
  <c r="G383" i="6" s="1"/>
  <c r="R382" i="6"/>
  <c r="L382" i="6"/>
  <c r="F382" i="6"/>
  <c r="G382" i="6" s="1"/>
  <c r="R381" i="6"/>
  <c r="L381" i="6"/>
  <c r="M381" i="6" s="1"/>
  <c r="F381" i="6"/>
  <c r="G381" i="6" s="1"/>
  <c r="F380" i="6"/>
  <c r="G380" i="6" s="1"/>
  <c r="R372" i="6"/>
  <c r="F372" i="6"/>
  <c r="G372" i="6" s="1"/>
  <c r="I372" i="6" s="1"/>
  <c r="R371" i="6"/>
  <c r="F371" i="6"/>
  <c r="G371" i="6" s="1"/>
  <c r="F370" i="6"/>
  <c r="G370" i="6" s="1"/>
  <c r="F369" i="6"/>
  <c r="G369" i="6" s="1"/>
  <c r="F367" i="6"/>
  <c r="G367" i="6" s="1"/>
  <c r="R366" i="6"/>
  <c r="L366" i="6"/>
  <c r="F366" i="6"/>
  <c r="G366" i="6" s="1"/>
  <c r="R365" i="6"/>
  <c r="F365" i="6"/>
  <c r="G365" i="6" s="1"/>
  <c r="R364" i="6"/>
  <c r="F364" i="6"/>
  <c r="G364" i="6" s="1"/>
  <c r="F363" i="6"/>
  <c r="G363" i="6" s="1"/>
  <c r="F362" i="6"/>
  <c r="G362" i="6" s="1"/>
  <c r="R356" i="6"/>
  <c r="F356" i="6"/>
  <c r="G356" i="6" s="1"/>
  <c r="F355" i="6"/>
  <c r="G355" i="6" s="1"/>
  <c r="F354" i="6"/>
  <c r="G354" i="6" s="1"/>
  <c r="F353" i="6"/>
  <c r="G353" i="6" s="1"/>
  <c r="F352" i="6"/>
  <c r="G352" i="6" s="1"/>
  <c r="F351" i="6"/>
  <c r="G351" i="6" s="1"/>
  <c r="F350" i="6"/>
  <c r="G350" i="6" s="1"/>
  <c r="R319" i="6"/>
  <c r="K319" i="6"/>
  <c r="L319" i="6" s="1"/>
  <c r="F319" i="6"/>
  <c r="G319" i="6" s="1"/>
  <c r="R318" i="6"/>
  <c r="K318" i="6"/>
  <c r="F318" i="6"/>
  <c r="G318" i="6" s="1"/>
  <c r="R317" i="6"/>
  <c r="K317" i="6"/>
  <c r="F317" i="6"/>
  <c r="G317" i="6" s="1"/>
  <c r="R316" i="6"/>
  <c r="K316" i="6"/>
  <c r="L316" i="6" s="1"/>
  <c r="M316" i="6" s="1"/>
  <c r="F316" i="6"/>
  <c r="G316" i="6" s="1"/>
  <c r="R315" i="6"/>
  <c r="K315" i="6"/>
  <c r="L315" i="6" s="1"/>
  <c r="M315" i="6" s="1"/>
  <c r="F315" i="6"/>
  <c r="G315" i="6" s="1"/>
  <c r="R314" i="6"/>
  <c r="K314" i="6"/>
  <c r="L314" i="6" s="1"/>
  <c r="M314" i="6" s="1"/>
  <c r="F314" i="6"/>
  <c r="G314" i="6" s="1"/>
  <c r="R313" i="6"/>
  <c r="K313" i="6"/>
  <c r="L313" i="6" s="1"/>
  <c r="M313" i="6" s="1"/>
  <c r="F313" i="6"/>
  <c r="G313" i="6" s="1"/>
  <c r="R307" i="6"/>
  <c r="F307" i="6"/>
  <c r="G307" i="6" s="1"/>
  <c r="R306" i="6"/>
  <c r="L306" i="6"/>
  <c r="M306" i="6" s="1"/>
  <c r="F306" i="6"/>
  <c r="G306" i="6" s="1"/>
  <c r="I74" i="45"/>
  <c r="I75" i="45" s="1"/>
  <c r="I62" i="45"/>
  <c r="I63" i="45" s="1"/>
  <c r="I50" i="45"/>
  <c r="I51" i="45" s="1"/>
  <c r="I38" i="45"/>
  <c r="I39" i="45" s="1"/>
  <c r="I25" i="45"/>
  <c r="I26" i="45" s="1"/>
  <c r="I11" i="47"/>
  <c r="I12" i="47" s="1"/>
  <c r="I11" i="46"/>
  <c r="I12" i="46" s="1"/>
  <c r="E286" i="6"/>
  <c r="F286" i="6" s="1"/>
  <c r="G286" i="6" s="1"/>
  <c r="B286" i="6"/>
  <c r="J286" i="6" s="1"/>
  <c r="E285" i="6"/>
  <c r="F285" i="6" s="1"/>
  <c r="G285" i="6" s="1"/>
  <c r="B285" i="6"/>
  <c r="J285" i="6" s="1"/>
  <c r="E284" i="6"/>
  <c r="F284" i="6" s="1"/>
  <c r="G284" i="6" s="1"/>
  <c r="B284" i="6"/>
  <c r="J284" i="6" s="1"/>
  <c r="E283" i="6"/>
  <c r="F283" i="6" s="1"/>
  <c r="G283" i="6" s="1"/>
  <c r="B283" i="6"/>
  <c r="J283" i="6" s="1"/>
  <c r="E282" i="6"/>
  <c r="F282" i="6" s="1"/>
  <c r="G282" i="6" s="1"/>
  <c r="B282" i="6"/>
  <c r="J282" i="6" s="1"/>
  <c r="E281" i="6"/>
  <c r="F281" i="6" s="1"/>
  <c r="G281" i="6" s="1"/>
  <c r="B281" i="6"/>
  <c r="J281" i="6" s="1"/>
  <c r="E280" i="6"/>
  <c r="F280" i="6" s="1"/>
  <c r="G280" i="6" s="1"/>
  <c r="B280" i="6"/>
  <c r="J280" i="6" s="1"/>
  <c r="I84" i="42"/>
  <c r="I85" i="42" s="1"/>
  <c r="F81" i="42"/>
  <c r="I73" i="42"/>
  <c r="I74" i="42" s="1"/>
  <c r="F70" i="42"/>
  <c r="I62" i="42"/>
  <c r="I63" i="42" s="1"/>
  <c r="I49" i="42"/>
  <c r="I50" i="42" s="1"/>
  <c r="F46" i="42"/>
  <c r="I37" i="42"/>
  <c r="I38" i="42" s="1"/>
  <c r="F34" i="42"/>
  <c r="E273" i="6"/>
  <c r="F273" i="6" s="1"/>
  <c r="G273" i="6" s="1"/>
  <c r="B273" i="6"/>
  <c r="J273" i="6" s="1"/>
  <c r="E272" i="6"/>
  <c r="B272" i="6"/>
  <c r="J272" i="6" s="1"/>
  <c r="E271" i="6"/>
  <c r="B271" i="6"/>
  <c r="J271" i="6" s="1"/>
  <c r="E270" i="6"/>
  <c r="F270" i="6" s="1"/>
  <c r="G270" i="6" s="1"/>
  <c r="B270" i="6"/>
  <c r="J270" i="6" s="1"/>
  <c r="E269" i="6"/>
  <c r="F269" i="6" s="1"/>
  <c r="G269" i="6" s="1"/>
  <c r="B269" i="6"/>
  <c r="J269" i="6" s="1"/>
  <c r="E268" i="6"/>
  <c r="F268" i="6" s="1"/>
  <c r="G268" i="6" s="1"/>
  <c r="B268" i="6"/>
  <c r="J268" i="6" s="1"/>
  <c r="F32" i="44"/>
  <c r="F20" i="47"/>
  <c r="I74" i="44"/>
  <c r="I75" i="44" s="1"/>
  <c r="I61" i="44"/>
  <c r="I62" i="44" s="1"/>
  <c r="I48" i="44"/>
  <c r="I49" i="44" s="1"/>
  <c r="I35" i="44"/>
  <c r="I36" i="44" s="1"/>
  <c r="I23" i="44"/>
  <c r="I24" i="44" s="1"/>
  <c r="E261" i="6"/>
  <c r="B261" i="6"/>
  <c r="J261" i="6" s="1"/>
  <c r="E260" i="6"/>
  <c r="B260" i="6"/>
  <c r="J260" i="6" s="1"/>
  <c r="E259" i="6"/>
  <c r="B259" i="6"/>
  <c r="J259" i="6" s="1"/>
  <c r="E258" i="6"/>
  <c r="B258" i="6"/>
  <c r="J258" i="6" s="1"/>
  <c r="E257" i="6"/>
  <c r="B257" i="6"/>
  <c r="J257" i="6" s="1"/>
  <c r="E256" i="6"/>
  <c r="B256" i="6"/>
  <c r="J256" i="6" s="1"/>
  <c r="E255" i="6"/>
  <c r="B255" i="6"/>
  <c r="J255" i="6" s="1"/>
  <c r="E254" i="6"/>
  <c r="B254" i="6"/>
  <c r="J254" i="6" s="1"/>
  <c r="E253" i="6"/>
  <c r="B253" i="6"/>
  <c r="J253" i="6" s="1"/>
  <c r="R296" i="6"/>
  <c r="F296" i="6"/>
  <c r="G296" i="6" s="1"/>
  <c r="R295" i="6"/>
  <c r="F295" i="6"/>
  <c r="G295" i="6" s="1"/>
  <c r="H295" i="6" s="1"/>
  <c r="R294" i="6"/>
  <c r="L294" i="6"/>
  <c r="F294" i="6"/>
  <c r="G294" i="6" s="1"/>
  <c r="F293" i="6"/>
  <c r="G293" i="6" s="1"/>
  <c r="F292" i="6"/>
  <c r="G292" i="6" s="1"/>
  <c r="O260" i="6" l="1"/>
  <c r="P260" i="6" s="1"/>
  <c r="O256" i="6"/>
  <c r="P256" i="6" s="1"/>
  <c r="O253" i="6"/>
  <c r="P253" i="6" s="1"/>
  <c r="O259" i="6"/>
  <c r="P259" i="6" s="1"/>
  <c r="O254" i="6"/>
  <c r="P254" i="6" s="1"/>
  <c r="O261" i="6"/>
  <c r="P261" i="6" s="1"/>
  <c r="O255" i="6"/>
  <c r="P255" i="6" s="1"/>
  <c r="O257" i="6"/>
  <c r="P257" i="6" s="1"/>
  <c r="O258" i="6"/>
  <c r="P258" i="6" s="1"/>
  <c r="R322" i="6"/>
  <c r="R308" i="6"/>
  <c r="L384" i="6"/>
  <c r="M384" i="6" s="1"/>
  <c r="I69" i="47"/>
  <c r="I71" i="47" s="1"/>
  <c r="F71" i="47"/>
  <c r="I45" i="47"/>
  <c r="I47" i="47" s="1"/>
  <c r="F47" i="47"/>
  <c r="I33" i="47"/>
  <c r="I35" i="47" s="1"/>
  <c r="F35" i="47"/>
  <c r="I19" i="47"/>
  <c r="I21" i="47" s="1"/>
  <c r="D351" i="6" s="1"/>
  <c r="F21" i="47"/>
  <c r="I7" i="49"/>
  <c r="L364" i="6"/>
  <c r="M364" i="6" s="1"/>
  <c r="M383" i="6"/>
  <c r="I419" i="6"/>
  <c r="H419" i="6"/>
  <c r="I423" i="6"/>
  <c r="H423" i="6"/>
  <c r="I420" i="6"/>
  <c r="H420" i="6"/>
  <c r="I424" i="6"/>
  <c r="H424" i="6"/>
  <c r="L419" i="6"/>
  <c r="M419" i="6" s="1"/>
  <c r="L424" i="6"/>
  <c r="M424" i="6" s="1"/>
  <c r="L423" i="6"/>
  <c r="M423" i="6" s="1"/>
  <c r="I401" i="6"/>
  <c r="H401" i="6"/>
  <c r="L399" i="6"/>
  <c r="M399" i="6" s="1"/>
  <c r="H399" i="6"/>
  <c r="L401" i="6"/>
  <c r="M401" i="6" s="1"/>
  <c r="I382" i="6"/>
  <c r="H382" i="6"/>
  <c r="I384" i="6"/>
  <c r="H384" i="6"/>
  <c r="I383" i="6"/>
  <c r="H383" i="6"/>
  <c r="H387" i="6"/>
  <c r="I387" i="6"/>
  <c r="I389" i="6"/>
  <c r="H389" i="6"/>
  <c r="H381" i="6"/>
  <c r="I381" i="6"/>
  <c r="M382" i="6"/>
  <c r="M389" i="6"/>
  <c r="M388" i="6"/>
  <c r="M387" i="6"/>
  <c r="I388" i="6"/>
  <c r="I365" i="6"/>
  <c r="H365" i="6"/>
  <c r="H371" i="6"/>
  <c r="I371" i="6"/>
  <c r="I366" i="6"/>
  <c r="H366" i="6"/>
  <c r="I364" i="6"/>
  <c r="H364" i="6"/>
  <c r="L372" i="6"/>
  <c r="M372" i="6" s="1"/>
  <c r="L371" i="6"/>
  <c r="M371" i="6" s="1"/>
  <c r="H372" i="6"/>
  <c r="L365" i="6"/>
  <c r="M365" i="6" s="1"/>
  <c r="M366" i="6"/>
  <c r="I356" i="6"/>
  <c r="H356" i="6"/>
  <c r="L356" i="6"/>
  <c r="M356" i="6" s="1"/>
  <c r="I315" i="6"/>
  <c r="H315" i="6"/>
  <c r="H314" i="6"/>
  <c r="I314" i="6"/>
  <c r="I317" i="6"/>
  <c r="H317" i="6"/>
  <c r="I313" i="6"/>
  <c r="H313" i="6"/>
  <c r="I316" i="6"/>
  <c r="H316" i="6"/>
  <c r="H319" i="6"/>
  <c r="I319" i="6"/>
  <c r="H318" i="6"/>
  <c r="I318" i="6"/>
  <c r="M319" i="6"/>
  <c r="L318" i="6"/>
  <c r="M318" i="6" s="1"/>
  <c r="L317" i="6"/>
  <c r="M317" i="6" s="1"/>
  <c r="H307" i="6"/>
  <c r="I307" i="6"/>
  <c r="I306" i="6"/>
  <c r="H306" i="6"/>
  <c r="L307" i="6"/>
  <c r="M307" i="6" s="1"/>
  <c r="I80" i="42"/>
  <c r="I82" i="42" s="1"/>
  <c r="F82" i="42"/>
  <c r="I69" i="42"/>
  <c r="I71" i="42" s="1"/>
  <c r="F71" i="42"/>
  <c r="F47" i="42"/>
  <c r="I45" i="42"/>
  <c r="I47" i="42" s="1"/>
  <c r="I33" i="42"/>
  <c r="I35" i="42" s="1"/>
  <c r="F35" i="42"/>
  <c r="F271" i="6"/>
  <c r="G271" i="6" s="1"/>
  <c r="F272" i="6"/>
  <c r="G272" i="6" s="1"/>
  <c r="F33" i="44"/>
  <c r="I31" i="44"/>
  <c r="I294" i="6"/>
  <c r="H294" i="6"/>
  <c r="I296" i="6"/>
  <c r="H296" i="6"/>
  <c r="I295" i="6"/>
  <c r="L296" i="6"/>
  <c r="M296" i="6" s="1"/>
  <c r="L295" i="6"/>
  <c r="M295" i="6" s="1"/>
  <c r="M294" i="6"/>
  <c r="F91" i="40"/>
  <c r="F103" i="40"/>
  <c r="I118" i="40"/>
  <c r="I119" i="40" s="1"/>
  <c r="F115" i="40"/>
  <c r="I106" i="40"/>
  <c r="I107" i="40" s="1"/>
  <c r="I94" i="40"/>
  <c r="I95" i="40" s="1"/>
  <c r="I81" i="40"/>
  <c r="I82" i="40" s="1"/>
  <c r="I70" i="40"/>
  <c r="I71" i="40" s="1"/>
  <c r="I59" i="40"/>
  <c r="I60" i="40" s="1"/>
  <c r="I47" i="40"/>
  <c r="I48" i="40" s="1"/>
  <c r="I36" i="40"/>
  <c r="I37" i="40" s="1"/>
  <c r="I24" i="40"/>
  <c r="I25" i="40" s="1"/>
  <c r="I11" i="45"/>
  <c r="I12" i="45" s="1"/>
  <c r="I11" i="44"/>
  <c r="I12" i="44" s="1"/>
  <c r="E246" i="6"/>
  <c r="B246" i="6"/>
  <c r="J246" i="6" s="1"/>
  <c r="E245" i="6"/>
  <c r="B245" i="6"/>
  <c r="J245" i="6" s="1"/>
  <c r="E244" i="6"/>
  <c r="B244" i="6"/>
  <c r="J244" i="6" s="1"/>
  <c r="E243" i="6"/>
  <c r="B243" i="6"/>
  <c r="J243" i="6" s="1"/>
  <c r="E236" i="6"/>
  <c r="B236" i="6"/>
  <c r="J236" i="6" s="1"/>
  <c r="E235" i="6"/>
  <c r="B235" i="6"/>
  <c r="J235" i="6" s="1"/>
  <c r="K57" i="31"/>
  <c r="K58" i="31" s="1"/>
  <c r="K44" i="31"/>
  <c r="K45" i="31" s="1"/>
  <c r="E234" i="6"/>
  <c r="B234" i="6"/>
  <c r="J234" i="6" s="1"/>
  <c r="E233" i="6"/>
  <c r="B233" i="6"/>
  <c r="J233" i="6" s="1"/>
  <c r="E232" i="6"/>
  <c r="B232" i="6"/>
  <c r="J232" i="6" s="1"/>
  <c r="K50" i="43"/>
  <c r="K51" i="43" s="1"/>
  <c r="K37" i="43"/>
  <c r="K38" i="43" s="1"/>
  <c r="K23" i="43"/>
  <c r="K24" i="43" s="1"/>
  <c r="K11" i="43"/>
  <c r="K12" i="43" s="1"/>
  <c r="E226" i="6"/>
  <c r="B226" i="6"/>
  <c r="J226" i="6" s="1"/>
  <c r="E225" i="6"/>
  <c r="E224" i="6"/>
  <c r="B225" i="6"/>
  <c r="J225" i="6" s="1"/>
  <c r="B224" i="6"/>
  <c r="J224" i="6" s="1"/>
  <c r="E223" i="6"/>
  <c r="B223" i="6"/>
  <c r="J223" i="6" s="1"/>
  <c r="E222" i="6"/>
  <c r="B222" i="6"/>
  <c r="J222" i="6" s="1"/>
  <c r="E221" i="6"/>
  <c r="B221" i="6"/>
  <c r="J221" i="6" s="1"/>
  <c r="E220" i="6"/>
  <c r="B220" i="6"/>
  <c r="J220" i="6" s="1"/>
  <c r="E219" i="6"/>
  <c r="B219" i="6"/>
  <c r="J219" i="6" s="1"/>
  <c r="H90" i="32"/>
  <c r="H91" i="32" s="1"/>
  <c r="F78" i="40"/>
  <c r="H78" i="32"/>
  <c r="H79" i="32" s="1"/>
  <c r="H67" i="32"/>
  <c r="H68" i="32" s="1"/>
  <c r="H55" i="32"/>
  <c r="H56" i="32" s="1"/>
  <c r="H44" i="32"/>
  <c r="H45" i="32" s="1"/>
  <c r="F261" i="6"/>
  <c r="G261" i="6" s="1"/>
  <c r="F260" i="6"/>
  <c r="G260" i="6" s="1"/>
  <c r="F259" i="6"/>
  <c r="G259" i="6" s="1"/>
  <c r="F258" i="6"/>
  <c r="G258" i="6" s="1"/>
  <c r="F257" i="6"/>
  <c r="G257" i="6" s="1"/>
  <c r="F256" i="6"/>
  <c r="G256" i="6" s="1"/>
  <c r="F255" i="6"/>
  <c r="G255" i="6" s="1"/>
  <c r="F254" i="6"/>
  <c r="G254" i="6" s="1"/>
  <c r="F253" i="6"/>
  <c r="G253" i="6" s="1"/>
  <c r="E175" i="6"/>
  <c r="B175" i="6"/>
  <c r="J175" i="6" s="1"/>
  <c r="F174" i="6"/>
  <c r="G174" i="6" s="1"/>
  <c r="B174" i="6"/>
  <c r="J174" i="6" s="1"/>
  <c r="E173" i="6"/>
  <c r="B173" i="6"/>
  <c r="J173" i="6" s="1"/>
  <c r="E172" i="6"/>
  <c r="B172" i="6"/>
  <c r="J172" i="6" s="1"/>
  <c r="F171" i="6"/>
  <c r="B171" i="6"/>
  <c r="J171" i="6" s="1"/>
  <c r="E170" i="6"/>
  <c r="O170" i="6" s="1"/>
  <c r="P170" i="6" s="1"/>
  <c r="B170" i="6"/>
  <c r="J170" i="6" s="1"/>
  <c r="K121" i="14"/>
  <c r="K122" i="14" s="1"/>
  <c r="K108" i="14"/>
  <c r="K109" i="14" s="1"/>
  <c r="H108" i="14"/>
  <c r="K94" i="14"/>
  <c r="K95" i="14" s="1"/>
  <c r="K82" i="14"/>
  <c r="K83" i="14" s="1"/>
  <c r="K71" i="14"/>
  <c r="K72" i="14" s="1"/>
  <c r="K60" i="14"/>
  <c r="K61" i="14" s="1"/>
  <c r="F244" i="6" l="1"/>
  <c r="G244" i="6" s="1"/>
  <c r="F235" i="6"/>
  <c r="G235" i="6" s="1"/>
  <c r="F232" i="6"/>
  <c r="G232" i="6" s="1"/>
  <c r="F234" i="6"/>
  <c r="G234" i="6" s="1"/>
  <c r="F245" i="6"/>
  <c r="G245" i="6" s="1"/>
  <c r="Q351" i="6"/>
  <c r="K351" i="6"/>
  <c r="L351" i="6" s="1"/>
  <c r="M351" i="6" s="1"/>
  <c r="O233" i="6"/>
  <c r="P233" i="6" s="1"/>
  <c r="F246" i="6"/>
  <c r="G246" i="6" s="1"/>
  <c r="F236" i="6"/>
  <c r="G236" i="6" s="1"/>
  <c r="F243" i="6"/>
  <c r="G243" i="6" s="1"/>
  <c r="O219" i="6"/>
  <c r="P219" i="6" s="1"/>
  <c r="O221" i="6"/>
  <c r="P221" i="6" s="1"/>
  <c r="F172" i="6"/>
  <c r="G172" i="6" s="1"/>
  <c r="O172" i="6"/>
  <c r="P172" i="6" s="1"/>
  <c r="O222" i="6"/>
  <c r="P222" i="6" s="1"/>
  <c r="O220" i="6"/>
  <c r="P220" i="6" s="1"/>
  <c r="F175" i="6"/>
  <c r="G175" i="6" s="1"/>
  <c r="O175" i="6"/>
  <c r="P175" i="6" s="1"/>
  <c r="O223" i="6"/>
  <c r="P223" i="6" s="1"/>
  <c r="O224" i="6"/>
  <c r="P224" i="6" s="1"/>
  <c r="O225" i="6"/>
  <c r="P225" i="6" s="1"/>
  <c r="O226" i="6"/>
  <c r="P226" i="6" s="1"/>
  <c r="H322" i="6"/>
  <c r="H308" i="6"/>
  <c r="I351" i="6"/>
  <c r="H351" i="6"/>
  <c r="I51" i="47"/>
  <c r="D353" i="6"/>
  <c r="K353" i="6" s="1"/>
  <c r="I75" i="47"/>
  <c r="D355" i="6"/>
  <c r="K355" i="6" s="1"/>
  <c r="I39" i="47"/>
  <c r="D352" i="6"/>
  <c r="K352" i="6" s="1"/>
  <c r="R351" i="6"/>
  <c r="I76" i="47"/>
  <c r="I77" i="47" s="1"/>
  <c r="I52" i="47"/>
  <c r="I53" i="47" s="1"/>
  <c r="I40" i="47"/>
  <c r="I41" i="47" s="1"/>
  <c r="I26" i="47"/>
  <c r="I27" i="47" s="1"/>
  <c r="I25" i="47"/>
  <c r="I9" i="49"/>
  <c r="D380" i="6" s="1"/>
  <c r="I39" i="42"/>
  <c r="D282" i="6"/>
  <c r="I51" i="42"/>
  <c r="D283" i="6"/>
  <c r="I75" i="42"/>
  <c r="D285" i="6"/>
  <c r="I86" i="42"/>
  <c r="D286" i="6"/>
  <c r="I87" i="42"/>
  <c r="I88" i="42" s="1"/>
  <c r="I76" i="42"/>
  <c r="I77" i="42" s="1"/>
  <c r="I40" i="42"/>
  <c r="I41" i="42" s="1"/>
  <c r="I52" i="42"/>
  <c r="I53" i="42" s="1"/>
  <c r="I32" i="44"/>
  <c r="I33" i="44" s="1"/>
  <c r="D270" i="6" s="1"/>
  <c r="I114" i="40"/>
  <c r="I116" i="40" s="1"/>
  <c r="F116" i="40"/>
  <c r="I102" i="40"/>
  <c r="I104" i="40" s="1"/>
  <c r="F104" i="40"/>
  <c r="F92" i="40"/>
  <c r="I90" i="40"/>
  <c r="I92" i="40" s="1"/>
  <c r="I77" i="40"/>
  <c r="I79" i="40" s="1"/>
  <c r="F79" i="40"/>
  <c r="F233" i="6"/>
  <c r="G233" i="6" s="1"/>
  <c r="F173" i="6"/>
  <c r="G173" i="6" s="1"/>
  <c r="G171" i="6"/>
  <c r="F170" i="6"/>
  <c r="G170" i="6" s="1"/>
  <c r="O245" i="6" l="1"/>
  <c r="P245" i="6" s="1"/>
  <c r="K380" i="6"/>
  <c r="L380" i="6" s="1"/>
  <c r="M380" i="6" s="1"/>
  <c r="Q380" i="6"/>
  <c r="O243" i="6"/>
  <c r="P243" i="6" s="1"/>
  <c r="O234" i="6"/>
  <c r="P234" i="6" s="1"/>
  <c r="O236" i="6"/>
  <c r="P236" i="6" s="1"/>
  <c r="O232" i="6"/>
  <c r="P232" i="6" s="1"/>
  <c r="O246" i="6"/>
  <c r="P246" i="6" s="1"/>
  <c r="O235" i="6"/>
  <c r="P235" i="6" s="1"/>
  <c r="O244" i="6"/>
  <c r="P244" i="6" s="1"/>
  <c r="K286" i="6"/>
  <c r="L286" i="6" s="1"/>
  <c r="M286" i="6" s="1"/>
  <c r="Q286" i="6"/>
  <c r="K285" i="6"/>
  <c r="L285" i="6" s="1"/>
  <c r="M285" i="6" s="1"/>
  <c r="Q285" i="6"/>
  <c r="L352" i="6"/>
  <c r="M352" i="6" s="1"/>
  <c r="Q352" i="6"/>
  <c r="K283" i="6"/>
  <c r="L283" i="6" s="1"/>
  <c r="M283" i="6" s="1"/>
  <c r="Q283" i="6"/>
  <c r="L355" i="6"/>
  <c r="M355" i="6" s="1"/>
  <c r="Q355" i="6"/>
  <c r="K282" i="6"/>
  <c r="L282" i="6" s="1"/>
  <c r="M282" i="6" s="1"/>
  <c r="Q282" i="6"/>
  <c r="L353" i="6"/>
  <c r="M353" i="6" s="1"/>
  <c r="Q353" i="6"/>
  <c r="K270" i="6"/>
  <c r="L270" i="6" s="1"/>
  <c r="M270" i="6" s="1"/>
  <c r="Q270" i="6"/>
  <c r="R380" i="6"/>
  <c r="H380" i="6"/>
  <c r="I380" i="6"/>
  <c r="R352" i="6"/>
  <c r="H352" i="6"/>
  <c r="I352" i="6"/>
  <c r="R355" i="6"/>
  <c r="I355" i="6"/>
  <c r="H355" i="6"/>
  <c r="R353" i="6"/>
  <c r="I353" i="6"/>
  <c r="H353" i="6"/>
  <c r="I13" i="49"/>
  <c r="I14" i="49"/>
  <c r="I15" i="49" s="1"/>
  <c r="R282" i="6"/>
  <c r="H282" i="6"/>
  <c r="I282" i="6"/>
  <c r="R285" i="6"/>
  <c r="H285" i="6"/>
  <c r="I285" i="6"/>
  <c r="R283" i="6"/>
  <c r="I283" i="6"/>
  <c r="H283" i="6"/>
  <c r="I286" i="6"/>
  <c r="R286" i="6"/>
  <c r="H286" i="6"/>
  <c r="R270" i="6"/>
  <c r="I270" i="6"/>
  <c r="H270" i="6"/>
  <c r="I37" i="44"/>
  <c r="I38" i="44"/>
  <c r="I39" i="44" s="1"/>
  <c r="I108" i="40"/>
  <c r="D260" i="6"/>
  <c r="I120" i="40"/>
  <c r="D261" i="6"/>
  <c r="I83" i="40"/>
  <c r="D258" i="6"/>
  <c r="I96" i="40"/>
  <c r="D259" i="6"/>
  <c r="I121" i="40"/>
  <c r="I122" i="40" s="1"/>
  <c r="I97" i="40"/>
  <c r="I98" i="40" s="1"/>
  <c r="I109" i="40"/>
  <c r="I110" i="40" s="1"/>
  <c r="I84" i="40"/>
  <c r="I85" i="40" s="1"/>
  <c r="K258" i="6" l="1"/>
  <c r="L258" i="6" s="1"/>
  <c r="M258" i="6" s="1"/>
  <c r="Q258" i="6"/>
  <c r="K261" i="6"/>
  <c r="L261" i="6" s="1"/>
  <c r="M261" i="6" s="1"/>
  <c r="Q261" i="6"/>
  <c r="K260" i="6"/>
  <c r="L260" i="6" s="1"/>
  <c r="M260" i="6" s="1"/>
  <c r="Q260" i="6"/>
  <c r="K259" i="6"/>
  <c r="L259" i="6" s="1"/>
  <c r="M259" i="6" s="1"/>
  <c r="Q259" i="6"/>
  <c r="R259" i="6"/>
  <c r="I259" i="6"/>
  <c r="H259" i="6"/>
  <c r="R258" i="6"/>
  <c r="I258" i="6"/>
  <c r="H258" i="6"/>
  <c r="R261" i="6"/>
  <c r="H261" i="6"/>
  <c r="I261" i="6"/>
  <c r="R260" i="6"/>
  <c r="H260" i="6"/>
  <c r="I260" i="6"/>
  <c r="B51" i="6" l="1"/>
  <c r="J51" i="6" s="1"/>
  <c r="E51" i="6"/>
  <c r="B60" i="6"/>
  <c r="J60" i="6" s="1"/>
  <c r="E60" i="6"/>
  <c r="B54" i="6"/>
  <c r="J54" i="6" s="1"/>
  <c r="E54" i="6"/>
  <c r="B56" i="6"/>
  <c r="J56" i="6" s="1"/>
  <c r="E56" i="6"/>
  <c r="B55" i="6"/>
  <c r="J55" i="6" s="1"/>
  <c r="E55" i="6"/>
  <c r="B58" i="6"/>
  <c r="J58" i="6" s="1"/>
  <c r="E58" i="6"/>
  <c r="B59" i="6"/>
  <c r="J59" i="6" s="1"/>
  <c r="E59" i="6"/>
  <c r="B57" i="6"/>
  <c r="J57" i="6" s="1"/>
  <c r="E57" i="6"/>
  <c r="B53" i="6"/>
  <c r="J53" i="6" s="1"/>
  <c r="E53" i="6"/>
  <c r="J52" i="6"/>
  <c r="E52" i="6"/>
  <c r="F59" i="42" l="1"/>
  <c r="F60" i="42" l="1"/>
  <c r="I58" i="42"/>
  <c r="I60" i="42" s="1"/>
  <c r="D284" i="6" s="1"/>
  <c r="E101" i="6"/>
  <c r="F101" i="6" s="1"/>
  <c r="B101" i="6"/>
  <c r="J101" i="6" s="1"/>
  <c r="E100" i="6"/>
  <c r="F100" i="6" s="1"/>
  <c r="G100" i="6" s="1"/>
  <c r="E99" i="6"/>
  <c r="F99" i="6" s="1"/>
  <c r="G99" i="6" s="1"/>
  <c r="B100" i="6"/>
  <c r="J100" i="6" s="1"/>
  <c r="B99" i="6"/>
  <c r="J99" i="6" s="1"/>
  <c r="K284" i="6" l="1"/>
  <c r="L284" i="6" s="1"/>
  <c r="M284" i="6" s="1"/>
  <c r="Q284" i="6"/>
  <c r="R284" i="6"/>
  <c r="I284" i="6"/>
  <c r="H284" i="6"/>
  <c r="I64" i="42"/>
  <c r="I65" i="42"/>
  <c r="I66" i="42" s="1"/>
  <c r="G101" i="6"/>
  <c r="I24" i="42"/>
  <c r="I25" i="42" s="1"/>
  <c r="I11" i="42" l="1"/>
  <c r="I12" i="42" s="1"/>
  <c r="J237" i="27" l="1"/>
  <c r="J238" i="27" s="1"/>
  <c r="J226" i="27"/>
  <c r="J227" i="27" s="1"/>
  <c r="J212" i="27"/>
  <c r="J213" i="27" s="1"/>
  <c r="J199" i="27"/>
  <c r="J200" i="27" s="1"/>
  <c r="J187" i="27"/>
  <c r="J188" i="27" s="1"/>
  <c r="J175" i="27"/>
  <c r="J176" i="27" s="1"/>
  <c r="J163" i="27"/>
  <c r="J164" i="27" s="1"/>
  <c r="J151" i="27"/>
  <c r="J152" i="27" s="1"/>
  <c r="J139" i="27"/>
  <c r="J140" i="27" s="1"/>
  <c r="J125" i="27"/>
  <c r="J126" i="27" s="1"/>
  <c r="J113" i="27"/>
  <c r="J114" i="27" s="1"/>
  <c r="K33" i="25"/>
  <c r="K34" i="25" s="1"/>
  <c r="H109" i="14"/>
  <c r="F67" i="40" l="1"/>
  <c r="J97" i="27"/>
  <c r="J98" i="27" s="1"/>
  <c r="I66" i="40" l="1"/>
  <c r="I68" i="40" s="1"/>
  <c r="F68" i="40"/>
  <c r="I72" i="40" l="1"/>
  <c r="D257" i="6"/>
  <c r="I73" i="40"/>
  <c r="I74" i="40" s="1"/>
  <c r="I11" i="40"/>
  <c r="I12" i="40" s="1"/>
  <c r="K257" i="6" l="1"/>
  <c r="L257" i="6" s="1"/>
  <c r="M257" i="6" s="1"/>
  <c r="Q257" i="6"/>
  <c r="R257" i="6"/>
  <c r="I257" i="6"/>
  <c r="H257" i="6"/>
  <c r="K78" i="12"/>
  <c r="K79" i="12" s="1"/>
  <c r="K59" i="12"/>
  <c r="K60" i="12" s="1"/>
  <c r="E32" i="52" l="1"/>
  <c r="H31" i="52" s="1"/>
  <c r="H33" i="52" s="1"/>
  <c r="D421" i="6" s="1"/>
  <c r="E82" i="52"/>
  <c r="K421" i="6" l="1"/>
  <c r="L421" i="6" s="1"/>
  <c r="M421" i="6" s="1"/>
  <c r="Q421" i="6"/>
  <c r="R421" i="6"/>
  <c r="H421" i="6"/>
  <c r="I421" i="6"/>
  <c r="E33" i="52"/>
  <c r="E83" i="52"/>
  <c r="H81" i="52"/>
  <c r="H83" i="52" s="1"/>
  <c r="H37" i="52"/>
  <c r="H38" i="52"/>
  <c r="H39" i="52" s="1"/>
  <c r="E213" i="6"/>
  <c r="F213" i="6" s="1"/>
  <c r="G213" i="6" s="1"/>
  <c r="B213" i="6"/>
  <c r="J213" i="6" s="1"/>
  <c r="E212" i="6"/>
  <c r="F212" i="6" s="1"/>
  <c r="G212" i="6" s="1"/>
  <c r="B212" i="6"/>
  <c r="J212" i="6" s="1"/>
  <c r="E211" i="6"/>
  <c r="F211" i="6" s="1"/>
  <c r="G211" i="6" s="1"/>
  <c r="B211" i="6"/>
  <c r="J211" i="6" s="1"/>
  <c r="E210" i="6"/>
  <c r="F210" i="6" s="1"/>
  <c r="G210" i="6" s="1"/>
  <c r="B210" i="6"/>
  <c r="J210" i="6" s="1"/>
  <c r="E209" i="6"/>
  <c r="F209" i="6" s="1"/>
  <c r="G209" i="6" s="1"/>
  <c r="B209" i="6"/>
  <c r="J209" i="6" s="1"/>
  <c r="B201" i="6"/>
  <c r="J201" i="6" s="1"/>
  <c r="E200" i="6"/>
  <c r="F200" i="6" s="1"/>
  <c r="G200" i="6" s="1"/>
  <c r="B200" i="6"/>
  <c r="J200" i="6" s="1"/>
  <c r="F199" i="6"/>
  <c r="G199" i="6" s="1"/>
  <c r="B199" i="6"/>
  <c r="J199" i="6" s="1"/>
  <c r="E198" i="6"/>
  <c r="F198" i="6" s="1"/>
  <c r="G198" i="6" s="1"/>
  <c r="B198" i="6"/>
  <c r="J198" i="6" s="1"/>
  <c r="E197" i="6"/>
  <c r="F197" i="6" s="1"/>
  <c r="G197" i="6" s="1"/>
  <c r="B197" i="6"/>
  <c r="J197" i="6" s="1"/>
  <c r="E196" i="6"/>
  <c r="F196" i="6" s="1"/>
  <c r="G196" i="6" s="1"/>
  <c r="B196" i="6"/>
  <c r="J196" i="6" s="1"/>
  <c r="E195" i="6"/>
  <c r="F195" i="6" s="1"/>
  <c r="G195" i="6" s="1"/>
  <c r="B195" i="6"/>
  <c r="J195" i="6" s="1"/>
  <c r="E194" i="6"/>
  <c r="F194" i="6" s="1"/>
  <c r="G194" i="6" s="1"/>
  <c r="B194" i="6"/>
  <c r="J194" i="6" s="1"/>
  <c r="F193" i="6"/>
  <c r="G193" i="6" s="1"/>
  <c r="B193" i="6"/>
  <c r="J193" i="6" s="1"/>
  <c r="E192" i="6"/>
  <c r="F192" i="6" s="1"/>
  <c r="G192" i="6" s="1"/>
  <c r="B192" i="6"/>
  <c r="J192" i="6" s="1"/>
  <c r="E191" i="6"/>
  <c r="F191" i="6" s="1"/>
  <c r="G191" i="6" s="1"/>
  <c r="B191" i="6"/>
  <c r="J191" i="6" s="1"/>
  <c r="E189" i="6"/>
  <c r="F189" i="6" s="1"/>
  <c r="G189" i="6" s="1"/>
  <c r="B189" i="6"/>
  <c r="J189" i="6" s="1"/>
  <c r="E188" i="6"/>
  <c r="F188" i="6" s="1"/>
  <c r="G188" i="6" s="1"/>
  <c r="B188" i="6"/>
  <c r="J188" i="6" s="1"/>
  <c r="K171" i="25"/>
  <c r="K172" i="25" s="1"/>
  <c r="E169" i="6"/>
  <c r="B169" i="6"/>
  <c r="J169" i="6" s="1"/>
  <c r="E168" i="6"/>
  <c r="B168" i="6"/>
  <c r="J168" i="6" s="1"/>
  <c r="E167" i="6"/>
  <c r="F167" i="6" s="1"/>
  <c r="G167" i="6" s="1"/>
  <c r="B167" i="6"/>
  <c r="J167" i="6" s="1"/>
  <c r="K48" i="14"/>
  <c r="K49" i="14" s="1"/>
  <c r="K12" i="14"/>
  <c r="E166" i="6"/>
  <c r="B166" i="6"/>
  <c r="J166" i="6" s="1"/>
  <c r="E155" i="6"/>
  <c r="O155" i="6" s="1"/>
  <c r="P155" i="6" s="1"/>
  <c r="B155" i="6"/>
  <c r="J155" i="6" s="1"/>
  <c r="E158" i="6"/>
  <c r="O158" i="6" s="1"/>
  <c r="P158" i="6" s="1"/>
  <c r="B158" i="6"/>
  <c r="J158" i="6" s="1"/>
  <c r="E156" i="6"/>
  <c r="O156" i="6" s="1"/>
  <c r="P156" i="6" s="1"/>
  <c r="B156" i="6"/>
  <c r="J156" i="6" s="1"/>
  <c r="E159" i="6"/>
  <c r="O159" i="6" s="1"/>
  <c r="P159" i="6" s="1"/>
  <c r="B159" i="6"/>
  <c r="J159" i="6" s="1"/>
  <c r="E157" i="6"/>
  <c r="O157" i="6" s="1"/>
  <c r="P157" i="6" s="1"/>
  <c r="B157" i="6"/>
  <c r="J157" i="6" s="1"/>
  <c r="E160" i="6"/>
  <c r="O160" i="6" s="1"/>
  <c r="P160" i="6" s="1"/>
  <c r="B160" i="6"/>
  <c r="J160" i="6" s="1"/>
  <c r="F226" i="6"/>
  <c r="G226" i="6" s="1"/>
  <c r="F225" i="6"/>
  <c r="G225" i="6" s="1"/>
  <c r="F224" i="6"/>
  <c r="G224" i="6" s="1"/>
  <c r="F223" i="6"/>
  <c r="G223" i="6" s="1"/>
  <c r="F222" i="6"/>
  <c r="G222" i="6" s="1"/>
  <c r="F221" i="6"/>
  <c r="G221" i="6" s="1"/>
  <c r="F220" i="6"/>
  <c r="G220" i="6" s="1"/>
  <c r="F219" i="6"/>
  <c r="G219" i="6" s="1"/>
  <c r="E149" i="6"/>
  <c r="B149" i="6"/>
  <c r="J149" i="6" s="1"/>
  <c r="E148" i="6"/>
  <c r="B148" i="6"/>
  <c r="J148" i="6" s="1"/>
  <c r="E147" i="6"/>
  <c r="B147" i="6"/>
  <c r="J147" i="6" s="1"/>
  <c r="F168" i="6" l="1"/>
  <c r="G168" i="6" s="1"/>
  <c r="O168" i="6"/>
  <c r="P168" i="6" s="1"/>
  <c r="F166" i="6"/>
  <c r="G166" i="6" s="1"/>
  <c r="O166" i="6"/>
  <c r="P166" i="6" s="1"/>
  <c r="H87" i="52"/>
  <c r="D425" i="6"/>
  <c r="H88" i="52"/>
  <c r="H89" i="52" s="1"/>
  <c r="F201" i="6"/>
  <c r="G201" i="6" s="1"/>
  <c r="F169" i="6"/>
  <c r="G169" i="6" s="1"/>
  <c r="K425" i="6" l="1"/>
  <c r="L425" i="6" s="1"/>
  <c r="M425" i="6" s="1"/>
  <c r="Q425" i="6"/>
  <c r="R425" i="6"/>
  <c r="H425" i="6"/>
  <c r="I425" i="6"/>
  <c r="K35" i="36"/>
  <c r="K36" i="36" s="1"/>
  <c r="K23" i="36"/>
  <c r="K24" i="36" s="1"/>
  <c r="K11" i="36"/>
  <c r="K12" i="36" s="1"/>
  <c r="E140" i="6"/>
  <c r="B140" i="6"/>
  <c r="J140" i="6" s="1"/>
  <c r="E141" i="6"/>
  <c r="B141" i="6"/>
  <c r="J141" i="6" s="1"/>
  <c r="E110" i="6"/>
  <c r="B110" i="6"/>
  <c r="J110" i="6" s="1"/>
  <c r="K208" i="4"/>
  <c r="K209" i="4" s="1"/>
  <c r="E135" i="6"/>
  <c r="B135" i="6"/>
  <c r="J135" i="6" s="1"/>
  <c r="E134" i="6"/>
  <c r="B134" i="6"/>
  <c r="J134" i="6" s="1"/>
  <c r="E125" i="6"/>
  <c r="F125" i="6" s="1"/>
  <c r="G125" i="6" s="1"/>
  <c r="B125" i="6"/>
  <c r="J125" i="6" s="1"/>
  <c r="K193" i="4"/>
  <c r="K194" i="4" s="1"/>
  <c r="E88" i="6"/>
  <c r="J88" i="6"/>
  <c r="E78" i="6"/>
  <c r="F78" i="6" s="1"/>
  <c r="G78" i="6" s="1"/>
  <c r="B78" i="6"/>
  <c r="J78" i="6" s="1"/>
  <c r="E77" i="6"/>
  <c r="F77" i="6" s="1"/>
  <c r="G77" i="6" s="1"/>
  <c r="B77" i="6"/>
  <c r="J77" i="6" s="1"/>
  <c r="E76" i="6"/>
  <c r="B76" i="6"/>
  <c r="J76" i="6" s="1"/>
  <c r="E75" i="6"/>
  <c r="B75" i="6"/>
  <c r="J75" i="6" s="1"/>
  <c r="F110" i="6" l="1"/>
  <c r="G110" i="6" s="1"/>
  <c r="F88" i="6"/>
  <c r="G88" i="6" s="1"/>
  <c r="F76" i="6"/>
  <c r="G76" i="6" s="1"/>
  <c r="F75" i="6"/>
  <c r="G75" i="6" s="1"/>
  <c r="I85" i="33"/>
  <c r="I86" i="33" s="1"/>
  <c r="I67" i="33"/>
  <c r="I68" i="33" s="1"/>
  <c r="I56" i="33"/>
  <c r="I57" i="33" s="1"/>
  <c r="I45" i="33"/>
  <c r="I46" i="33" s="1"/>
  <c r="I33" i="33"/>
  <c r="I34" i="33" s="1"/>
  <c r="I22" i="33"/>
  <c r="I23" i="33" s="1"/>
  <c r="I11" i="33"/>
  <c r="I12" i="33" s="1"/>
  <c r="H32" i="32"/>
  <c r="H33" i="32" s="1"/>
  <c r="H21" i="32"/>
  <c r="H22" i="32" s="1"/>
  <c r="H8" i="32"/>
  <c r="H9" i="32" s="1"/>
  <c r="K33" i="31"/>
  <c r="K34" i="31" s="1"/>
  <c r="K22" i="31"/>
  <c r="K23" i="31" s="1"/>
  <c r="K11" i="31"/>
  <c r="K12" i="31" s="1"/>
  <c r="F130" i="49" l="1"/>
  <c r="E31" i="50"/>
  <c r="F69" i="49"/>
  <c r="K59" i="29"/>
  <c r="K60" i="29" s="1"/>
  <c r="K45" i="29"/>
  <c r="K46" i="29" s="1"/>
  <c r="K34" i="29"/>
  <c r="K35" i="29" s="1"/>
  <c r="K23" i="29"/>
  <c r="K24" i="29" s="1"/>
  <c r="K11" i="29"/>
  <c r="K12" i="29" s="1"/>
  <c r="K158" i="25"/>
  <c r="K159" i="25" s="1"/>
  <c r="F70" i="49" l="1"/>
  <c r="I68" i="49"/>
  <c r="I70" i="49" s="1"/>
  <c r="F131" i="49"/>
  <c r="I129" i="49"/>
  <c r="I131" i="49" s="1"/>
  <c r="H30" i="50"/>
  <c r="H32" i="50" s="1"/>
  <c r="D400" i="6" s="1"/>
  <c r="E32" i="50"/>
  <c r="Q400" i="6" l="1"/>
  <c r="K400" i="6"/>
  <c r="H37" i="50"/>
  <c r="H38" i="50" s="1"/>
  <c r="H36" i="50"/>
  <c r="I74" i="49"/>
  <c r="D385" i="6"/>
  <c r="I75" i="49"/>
  <c r="I76" i="49" s="1"/>
  <c r="I136" i="49"/>
  <c r="I137" i="49" s="1"/>
  <c r="I135" i="49"/>
  <c r="D390" i="6"/>
  <c r="K390" i="6" l="1"/>
  <c r="L390" i="6" s="1"/>
  <c r="M390" i="6" s="1"/>
  <c r="Q390" i="6"/>
  <c r="K385" i="6"/>
  <c r="L385" i="6" s="1"/>
  <c r="M385" i="6" s="1"/>
  <c r="Q385" i="6"/>
  <c r="L400" i="6"/>
  <c r="M400" i="6" s="1"/>
  <c r="R400" i="6"/>
  <c r="I400" i="6"/>
  <c r="H400" i="6"/>
  <c r="H390" i="6"/>
  <c r="I390" i="6"/>
  <c r="R390" i="6"/>
  <c r="R385" i="6"/>
  <c r="I385" i="6"/>
  <c r="H385" i="6"/>
  <c r="E8" i="33"/>
  <c r="F8" i="33" s="1"/>
  <c r="E64" i="33"/>
  <c r="F64" i="33" s="1"/>
  <c r="F48" i="33"/>
  <c r="E44" i="33"/>
  <c r="F44" i="33" s="1"/>
  <c r="E53" i="33"/>
  <c r="F53" i="33" s="1"/>
  <c r="K145" i="25"/>
  <c r="K146" i="25" s="1"/>
  <c r="K132" i="25"/>
  <c r="K133" i="25" s="1"/>
  <c r="K120" i="25"/>
  <c r="K121" i="25" s="1"/>
  <c r="K108" i="25"/>
  <c r="K109" i="25" s="1"/>
  <c r="K95" i="25"/>
  <c r="K96" i="25" s="1"/>
  <c r="E31" i="33" l="1"/>
  <c r="F31" i="33" s="1"/>
  <c r="E47" i="33" l="1"/>
  <c r="F47" i="33" s="1"/>
  <c r="H23" i="25"/>
  <c r="E94" i="52"/>
  <c r="H93" i="52" l="1"/>
  <c r="H95" i="52" s="1"/>
  <c r="E95" i="52"/>
  <c r="E44" i="52"/>
  <c r="H99" i="52" l="1"/>
  <c r="D426" i="6"/>
  <c r="H100" i="52"/>
  <c r="H101" i="52" s="1"/>
  <c r="H43" i="52"/>
  <c r="H45" i="52" s="1"/>
  <c r="D422" i="6" s="1"/>
  <c r="E45" i="52"/>
  <c r="K422" i="6" l="1"/>
  <c r="Q422" i="6"/>
  <c r="K426" i="6"/>
  <c r="L426" i="6" s="1"/>
  <c r="M426" i="6" s="1"/>
  <c r="Q426" i="6"/>
  <c r="R422" i="6"/>
  <c r="I422" i="6"/>
  <c r="H422" i="6"/>
  <c r="R426" i="6"/>
  <c r="H426" i="6"/>
  <c r="I426" i="6"/>
  <c r="H49" i="52"/>
  <c r="H50" i="52"/>
  <c r="H51" i="52" s="1"/>
  <c r="J85" i="27"/>
  <c r="J86" i="27" s="1"/>
  <c r="J71" i="27"/>
  <c r="J72" i="27" s="1"/>
  <c r="J59" i="27"/>
  <c r="J60" i="27" s="1"/>
  <c r="J46" i="27"/>
  <c r="J47" i="27" s="1"/>
  <c r="J35" i="27"/>
  <c r="J36" i="27" s="1"/>
  <c r="J23" i="27"/>
  <c r="J24" i="27" s="1"/>
  <c r="J11" i="27"/>
  <c r="J12" i="27" s="1"/>
  <c r="H427" i="6" l="1"/>
  <c r="L422" i="6"/>
  <c r="M422" i="6" s="1"/>
  <c r="R427" i="6"/>
  <c r="K37" i="14" l="1"/>
  <c r="K38" i="14" s="1"/>
  <c r="K26" i="14" l="1"/>
  <c r="K27" i="14" s="1"/>
  <c r="E124" i="6" l="1"/>
  <c r="B124" i="6"/>
  <c r="E123" i="6"/>
  <c r="B123" i="6"/>
  <c r="J123" i="6" s="1"/>
  <c r="E122" i="6"/>
  <c r="B122" i="6"/>
  <c r="J122" i="6" s="1"/>
  <c r="J124" i="6" l="1"/>
  <c r="B10" i="63"/>
  <c r="K73" i="26"/>
  <c r="K74" i="26" s="1"/>
  <c r="K61" i="26"/>
  <c r="K62" i="26" s="1"/>
  <c r="K50" i="26"/>
  <c r="K51" i="26" s="1"/>
  <c r="K39" i="26"/>
  <c r="K40" i="26" s="1"/>
  <c r="K25" i="26"/>
  <c r="K26" i="26" s="1"/>
  <c r="K11" i="26"/>
  <c r="K12" i="26" s="1"/>
  <c r="K84" i="25"/>
  <c r="K85" i="25" s="1"/>
  <c r="K72" i="25"/>
  <c r="K73" i="25" s="1"/>
  <c r="K59" i="25"/>
  <c r="K60" i="25" s="1"/>
  <c r="K47" i="25"/>
  <c r="K48" i="25" s="1"/>
  <c r="K22" i="25"/>
  <c r="K23" i="25" s="1"/>
  <c r="K11" i="25"/>
  <c r="K12" i="25" s="1"/>
  <c r="F33" i="40" l="1"/>
  <c r="F44" i="40"/>
  <c r="I32" i="40" l="1"/>
  <c r="I34" i="40" s="1"/>
  <c r="F34" i="40"/>
  <c r="F45" i="40"/>
  <c r="I43" i="40"/>
  <c r="I45" i="40" s="1"/>
  <c r="E67" i="6"/>
  <c r="F67" i="6" s="1"/>
  <c r="G67" i="6" s="1"/>
  <c r="E66" i="6"/>
  <c r="F66" i="6" s="1"/>
  <c r="G66" i="6" s="1"/>
  <c r="B67" i="6"/>
  <c r="J67" i="6" s="1"/>
  <c r="B66" i="6"/>
  <c r="J66" i="6" s="1"/>
  <c r="K28" i="24"/>
  <c r="K29" i="24" s="1"/>
  <c r="K11" i="24"/>
  <c r="K12" i="24" s="1"/>
  <c r="I49" i="40" l="1"/>
  <c r="D256" i="6"/>
  <c r="I50" i="40"/>
  <c r="I51" i="40" s="1"/>
  <c r="I38" i="40"/>
  <c r="D255" i="6"/>
  <c r="I39" i="40"/>
  <c r="I40" i="40" s="1"/>
  <c r="K256" i="6" l="1"/>
  <c r="L256" i="6" s="1"/>
  <c r="M256" i="6" s="1"/>
  <c r="Q256" i="6"/>
  <c r="K255" i="6"/>
  <c r="Q255" i="6"/>
  <c r="R255" i="6"/>
  <c r="H255" i="6"/>
  <c r="I255" i="6"/>
  <c r="R256" i="6"/>
  <c r="I256" i="6"/>
  <c r="H256" i="6"/>
  <c r="K45" i="22"/>
  <c r="K46" i="22" s="1"/>
  <c r="K12" i="22"/>
  <c r="K13" i="22" s="1"/>
  <c r="K87" i="19"/>
  <c r="K88" i="19" s="1"/>
  <c r="K66" i="19"/>
  <c r="K67" i="19" s="1"/>
  <c r="K50" i="19"/>
  <c r="K51" i="19" s="1"/>
  <c r="K26" i="19"/>
  <c r="K27" i="19" s="1"/>
  <c r="K11" i="19"/>
  <c r="K12" i="19" s="1"/>
  <c r="K71" i="17"/>
  <c r="K72" i="17" s="1"/>
  <c r="K56" i="17"/>
  <c r="K57" i="17" s="1"/>
  <c r="K33" i="17"/>
  <c r="K34" i="17" s="1"/>
  <c r="K11" i="17"/>
  <c r="K12" i="17" s="1"/>
  <c r="L255" i="6" l="1"/>
  <c r="M255" i="6" s="1"/>
  <c r="K30" i="16" l="1"/>
  <c r="K31" i="16" s="1"/>
  <c r="K12" i="16"/>
  <c r="K13" i="16" s="1"/>
  <c r="E98" i="6"/>
  <c r="B98" i="6"/>
  <c r="J98" i="6" s="1"/>
  <c r="K13" i="14"/>
  <c r="K38" i="12"/>
  <c r="K39" i="12" s="1"/>
  <c r="K12" i="12"/>
  <c r="K13" i="12" s="1"/>
  <c r="F52" i="6"/>
  <c r="F57" i="6"/>
  <c r="G57" i="6" s="1"/>
  <c r="F59" i="6"/>
  <c r="F98" i="6" l="1"/>
  <c r="G98" i="6" s="1"/>
  <c r="G52" i="6"/>
  <c r="G59" i="6"/>
  <c r="K134" i="13" l="1"/>
  <c r="K135" i="13" s="1"/>
  <c r="K122" i="13"/>
  <c r="K123" i="13" s="1"/>
  <c r="K110" i="13"/>
  <c r="K111" i="13" s="1"/>
  <c r="K87" i="13"/>
  <c r="K88" i="13" s="1"/>
  <c r="K74" i="13"/>
  <c r="K75" i="13" s="1"/>
  <c r="K58" i="13"/>
  <c r="K59" i="13" s="1"/>
  <c r="K41" i="13"/>
  <c r="K42" i="13" s="1"/>
  <c r="F51" i="6" l="1"/>
  <c r="G51" i="6" s="1"/>
  <c r="F60" i="6"/>
  <c r="G60" i="6" s="1"/>
  <c r="F54" i="6"/>
  <c r="G54" i="6" s="1"/>
  <c r="F56" i="6"/>
  <c r="G56" i="6" s="1"/>
  <c r="F55" i="6"/>
  <c r="G55" i="6" s="1"/>
  <c r="F58" i="6"/>
  <c r="G58" i="6" s="1"/>
  <c r="F53" i="6"/>
  <c r="G53" i="6" s="1"/>
  <c r="K11" i="13"/>
  <c r="K12" i="13" s="1"/>
  <c r="F155" i="6"/>
  <c r="G155" i="6" s="1"/>
  <c r="F158" i="6"/>
  <c r="G158" i="6" s="1"/>
  <c r="F156" i="6"/>
  <c r="G156" i="6" s="1"/>
  <c r="F159" i="6"/>
  <c r="G159" i="6" s="1"/>
  <c r="F157" i="6"/>
  <c r="G157" i="6" s="1"/>
  <c r="F160" i="6"/>
  <c r="G160" i="6" s="1"/>
  <c r="F149" i="6"/>
  <c r="G149" i="6" s="1"/>
  <c r="F148" i="6"/>
  <c r="G148" i="6" s="1"/>
  <c r="F147" i="6"/>
  <c r="G147" i="6" s="1"/>
  <c r="F140" i="6"/>
  <c r="G140" i="6" s="1"/>
  <c r="F141" i="6"/>
  <c r="G141" i="6" s="1"/>
  <c r="F135" i="6"/>
  <c r="G135" i="6" s="1"/>
  <c r="F134" i="6"/>
  <c r="G134" i="6" s="1"/>
  <c r="F124" i="6"/>
  <c r="G124" i="6" s="1"/>
  <c r="F123" i="6"/>
  <c r="G123" i="6" s="1"/>
  <c r="F122" i="6"/>
  <c r="G122" i="6" s="1"/>
  <c r="E109" i="6"/>
  <c r="F109" i="6" s="1"/>
  <c r="E108" i="6"/>
  <c r="F108" i="6" s="1"/>
  <c r="G108" i="6" s="1"/>
  <c r="B109" i="6"/>
  <c r="J109" i="6" s="1"/>
  <c r="B108" i="6"/>
  <c r="J108" i="6" s="1"/>
  <c r="E107" i="6"/>
  <c r="F107" i="6" s="1"/>
  <c r="G107" i="6" s="1"/>
  <c r="B107" i="6"/>
  <c r="J107" i="6" s="1"/>
  <c r="E112" i="6"/>
  <c r="E114" i="6"/>
  <c r="J112" i="6"/>
  <c r="B114" i="6"/>
  <c r="J114" i="6" s="1"/>
  <c r="E115" i="6"/>
  <c r="E111" i="6"/>
  <c r="E113" i="6"/>
  <c r="B111" i="6"/>
  <c r="J111" i="6" s="1"/>
  <c r="B113" i="6"/>
  <c r="J113" i="6" s="1"/>
  <c r="G109" i="6" l="1"/>
  <c r="G185" i="27" l="1"/>
  <c r="H107" i="14"/>
  <c r="G110" i="27"/>
  <c r="G111" i="27" s="1"/>
  <c r="G196" i="27"/>
  <c r="G197" i="27" s="1"/>
  <c r="J135" i="27"/>
  <c r="G234" i="27"/>
  <c r="G209" i="27"/>
  <c r="E19" i="33"/>
  <c r="F19" i="33" s="1"/>
  <c r="E56" i="33"/>
  <c r="F56" i="33" s="1"/>
  <c r="E10" i="33"/>
  <c r="F10" i="33" s="1"/>
  <c r="F111" i="6"/>
  <c r="G111" i="6" s="1"/>
  <c r="F115" i="6"/>
  <c r="G115" i="6" s="1"/>
  <c r="F114" i="6"/>
  <c r="G114" i="6" s="1"/>
  <c r="J183" i="27" l="1"/>
  <c r="J184" i="27" s="1"/>
  <c r="J185" i="27" s="1"/>
  <c r="D21" i="6" s="1"/>
  <c r="Q21" i="6" s="1"/>
  <c r="J136" i="27"/>
  <c r="J137" i="27" s="1"/>
  <c r="D17" i="6" s="1"/>
  <c r="Q17" i="6" s="1"/>
  <c r="H98" i="13"/>
  <c r="K94" i="13" s="1"/>
  <c r="K95" i="13" s="1"/>
  <c r="K96" i="13" s="1"/>
  <c r="J109" i="27"/>
  <c r="J195" i="27"/>
  <c r="G138" i="27"/>
  <c r="G210" i="27"/>
  <c r="J208" i="27"/>
  <c r="G127" i="27"/>
  <c r="J121" i="27"/>
  <c r="G235" i="27"/>
  <c r="J233" i="27"/>
  <c r="E24" i="33"/>
  <c r="F24" i="33" s="1"/>
  <c r="E46" i="33"/>
  <c r="F46" i="33" s="1"/>
  <c r="H11" i="31"/>
  <c r="H31" i="13"/>
  <c r="K26" i="13" s="1"/>
  <c r="K27" i="13" s="1"/>
  <c r="K28" i="13" s="1"/>
  <c r="K101" i="13" l="1"/>
  <c r="K102" i="13" s="1"/>
  <c r="K100" i="13"/>
  <c r="K33" i="13"/>
  <c r="K34" i="13" s="1"/>
  <c r="K32" i="13"/>
  <c r="J189" i="27"/>
  <c r="J190" i="27"/>
  <c r="J191" i="27" s="1"/>
  <c r="J141" i="27"/>
  <c r="J142" i="27"/>
  <c r="J143" i="27" s="1"/>
  <c r="J234" i="27"/>
  <c r="J235" i="27" s="1"/>
  <c r="D25" i="6" s="1"/>
  <c r="Q25" i="6" s="1"/>
  <c r="J122" i="27"/>
  <c r="J123" i="27" s="1"/>
  <c r="D16" i="6" s="1"/>
  <c r="Q16" i="6" s="1"/>
  <c r="J110" i="27"/>
  <c r="J111" i="27" s="1"/>
  <c r="D15" i="6" s="1"/>
  <c r="Q15" i="6" s="1"/>
  <c r="J196" i="27"/>
  <c r="J197" i="27" s="1"/>
  <c r="D22" i="6" s="1"/>
  <c r="Q22" i="6" s="1"/>
  <c r="J209" i="27"/>
  <c r="J210" i="27" s="1"/>
  <c r="D23" i="6" s="1"/>
  <c r="Q23" i="6" s="1"/>
  <c r="D59" i="6"/>
  <c r="Q59" i="6" s="1"/>
  <c r="D60" i="6"/>
  <c r="Q60" i="6" s="1"/>
  <c r="K60" i="6" l="1"/>
  <c r="L60" i="6" s="1"/>
  <c r="M60" i="6" s="1"/>
  <c r="H59" i="6"/>
  <c r="R25" i="6"/>
  <c r="I25" i="6"/>
  <c r="K25" i="6"/>
  <c r="L25" i="6" s="1"/>
  <c r="M25" i="6" s="1"/>
  <c r="H25" i="6"/>
  <c r="J214" i="27"/>
  <c r="J215" i="27"/>
  <c r="J216" i="27" s="1"/>
  <c r="J115" i="27"/>
  <c r="J116" i="27"/>
  <c r="J117" i="27" s="1"/>
  <c r="J127" i="27"/>
  <c r="J128" i="27"/>
  <c r="J129" i="27" s="1"/>
  <c r="J239" i="27"/>
  <c r="J240" i="27"/>
  <c r="J241" i="27" s="1"/>
  <c r="J201" i="27"/>
  <c r="J202" i="27"/>
  <c r="J203" i="27" s="1"/>
  <c r="I60" i="6"/>
  <c r="H60" i="6"/>
  <c r="R60" i="6"/>
  <c r="I59" i="6"/>
  <c r="R59" i="6"/>
  <c r="K59" i="6"/>
  <c r="L59" i="6" s="1"/>
  <c r="M59" i="6" s="1"/>
  <c r="K22" i="6" l="1"/>
  <c r="L22" i="6" s="1"/>
  <c r="M22" i="6" s="1"/>
  <c r="H22" i="6"/>
  <c r="I22" i="6"/>
  <c r="R22" i="6"/>
  <c r="R16" i="6"/>
  <c r="K16" i="6"/>
  <c r="I16" i="6"/>
  <c r="H16" i="6"/>
  <c r="L16" i="6" l="1"/>
  <c r="M16" i="6" s="1"/>
  <c r="E34" i="33"/>
  <c r="F34" i="33" s="1"/>
  <c r="E5" i="32"/>
  <c r="E52" i="32"/>
  <c r="E8" i="53"/>
  <c r="F58" i="44"/>
  <c r="G94" i="27"/>
  <c r="E41" i="32"/>
  <c r="F8" i="44"/>
  <c r="E13" i="33"/>
  <c r="F13" i="33" s="1"/>
  <c r="F21" i="46"/>
  <c r="E42" i="51"/>
  <c r="E87" i="32"/>
  <c r="E64" i="32"/>
  <c r="F21" i="40"/>
  <c r="E29" i="32" l="1"/>
  <c r="G8" i="27"/>
  <c r="G9" i="27" s="1"/>
  <c r="G20" i="27"/>
  <c r="J19" i="27" s="1"/>
  <c r="J20" i="27" s="1"/>
  <c r="J21" i="27" s="1"/>
  <c r="D8" i="6" s="1"/>
  <c r="Q8" i="6" s="1"/>
  <c r="F20" i="44"/>
  <c r="I19" i="44" s="1"/>
  <c r="I20" i="44" s="1"/>
  <c r="I21" i="44" s="1"/>
  <c r="D269" i="6" s="1"/>
  <c r="E20" i="53"/>
  <c r="H7" i="53"/>
  <c r="H9" i="53" s="1"/>
  <c r="E9" i="53"/>
  <c r="E43" i="51"/>
  <c r="H41" i="51"/>
  <c r="H43" i="51" s="1"/>
  <c r="E64" i="51"/>
  <c r="E31" i="51"/>
  <c r="E8" i="51"/>
  <c r="E8" i="50"/>
  <c r="E9" i="50" s="1"/>
  <c r="F142" i="49"/>
  <c r="F80" i="49"/>
  <c r="I20" i="46"/>
  <c r="I22" i="46" s="1"/>
  <c r="F22" i="46"/>
  <c r="F8" i="46"/>
  <c r="F32" i="46"/>
  <c r="F59" i="45"/>
  <c r="F22" i="45"/>
  <c r="F8" i="42"/>
  <c r="I7" i="42" s="1"/>
  <c r="I9" i="42" s="1"/>
  <c r="D280" i="6" s="1"/>
  <c r="F45" i="44"/>
  <c r="F71" i="44"/>
  <c r="F59" i="44"/>
  <c r="I57" i="44"/>
  <c r="I58" i="44" s="1"/>
  <c r="I59" i="44" s="1"/>
  <c r="I7" i="44"/>
  <c r="I8" i="44" s="1"/>
  <c r="I9" i="44" s="1"/>
  <c r="D268" i="6" s="1"/>
  <c r="F9" i="44"/>
  <c r="H9" i="31"/>
  <c r="F56" i="40"/>
  <c r="F22" i="40"/>
  <c r="I20" i="40"/>
  <c r="I22" i="40" s="1"/>
  <c r="H86" i="32"/>
  <c r="H88" i="32" s="1"/>
  <c r="E88" i="32"/>
  <c r="F21" i="42"/>
  <c r="F22" i="42" s="1"/>
  <c r="E75" i="32"/>
  <c r="E22" i="33"/>
  <c r="F22" i="33" s="1"/>
  <c r="H106" i="14"/>
  <c r="H21" i="25"/>
  <c r="H111" i="14"/>
  <c r="E65" i="32"/>
  <c r="H63" i="32"/>
  <c r="H65" i="32" s="1"/>
  <c r="D224" i="6" s="1"/>
  <c r="H51" i="32"/>
  <c r="H53" i="32" s="1"/>
  <c r="D223" i="6" s="1"/>
  <c r="E53" i="32"/>
  <c r="H4" i="32"/>
  <c r="H6" i="32" s="1"/>
  <c r="D219" i="6" s="1"/>
  <c r="E6" i="32"/>
  <c r="H40" i="32"/>
  <c r="H42" i="32" s="1"/>
  <c r="D222" i="6" s="1"/>
  <c r="E42" i="32"/>
  <c r="G223" i="27"/>
  <c r="J93" i="27"/>
  <c r="G95" i="27"/>
  <c r="E66" i="33"/>
  <c r="F66" i="33" s="1"/>
  <c r="E57" i="33"/>
  <c r="F57" i="33" s="1"/>
  <c r="E45" i="33"/>
  <c r="F45" i="33" s="1"/>
  <c r="E43" i="33"/>
  <c r="F43" i="33" s="1"/>
  <c r="E11" i="33"/>
  <c r="F11" i="33" s="1"/>
  <c r="E55" i="33"/>
  <c r="F55" i="33" s="1"/>
  <c r="E33" i="33"/>
  <c r="F33" i="33" s="1"/>
  <c r="E18" i="32"/>
  <c r="H19" i="25"/>
  <c r="H20" i="25"/>
  <c r="K280" i="6" l="1"/>
  <c r="Q280" i="6"/>
  <c r="K222" i="6"/>
  <c r="Q222" i="6"/>
  <c r="K219" i="6"/>
  <c r="Q219" i="6"/>
  <c r="K223" i="6"/>
  <c r="Q223" i="6"/>
  <c r="K224" i="6"/>
  <c r="Q224" i="6"/>
  <c r="K269" i="6"/>
  <c r="L269" i="6" s="1"/>
  <c r="M269" i="6" s="1"/>
  <c r="Q269" i="6"/>
  <c r="K268" i="6"/>
  <c r="L268" i="6" s="1"/>
  <c r="M268" i="6" s="1"/>
  <c r="Q268" i="6"/>
  <c r="D292" i="6"/>
  <c r="J94" i="27"/>
  <c r="J95" i="27" s="1"/>
  <c r="D14" i="6" s="1"/>
  <c r="Q14" i="6" s="1"/>
  <c r="G22" i="27"/>
  <c r="J7" i="27"/>
  <c r="J8" i="27" s="1"/>
  <c r="J9" i="27" s="1"/>
  <c r="J55" i="27"/>
  <c r="J56" i="27" s="1"/>
  <c r="J57" i="27" s="1"/>
  <c r="D11" i="6" s="1"/>
  <c r="Q11" i="6" s="1"/>
  <c r="G63" i="27"/>
  <c r="G44" i="27"/>
  <c r="J42" i="27"/>
  <c r="J43" i="27" s="1"/>
  <c r="J44" i="27" s="1"/>
  <c r="D10" i="6" s="1"/>
  <c r="Q10" i="6" s="1"/>
  <c r="J31" i="27"/>
  <c r="J32" i="27" s="1"/>
  <c r="J33" i="27" s="1"/>
  <c r="D9" i="6" s="1"/>
  <c r="Q9" i="6" s="1"/>
  <c r="G33" i="27"/>
  <c r="J26" i="27"/>
  <c r="J27" i="27" s="1"/>
  <c r="J25" i="27"/>
  <c r="F21" i="44"/>
  <c r="E21" i="53"/>
  <c r="H19" i="53"/>
  <c r="H21" i="53" s="1"/>
  <c r="H13" i="53"/>
  <c r="H14" i="53"/>
  <c r="H15" i="53" s="1"/>
  <c r="H30" i="51"/>
  <c r="H32" i="51" s="1"/>
  <c r="E32" i="51"/>
  <c r="H63" i="51"/>
  <c r="H65" i="51" s="1"/>
  <c r="E65" i="51"/>
  <c r="H47" i="51"/>
  <c r="D412" i="6"/>
  <c r="H48" i="51"/>
  <c r="H49" i="51" s="1"/>
  <c r="H7" i="51"/>
  <c r="H9" i="51" s="1"/>
  <c r="D409" i="6" s="1"/>
  <c r="E9" i="51"/>
  <c r="H7" i="50"/>
  <c r="H9" i="50" s="1"/>
  <c r="I79" i="49"/>
  <c r="I81" i="49" s="1"/>
  <c r="F81" i="49"/>
  <c r="I141" i="49"/>
  <c r="I143" i="49" s="1"/>
  <c r="F143" i="49"/>
  <c r="F9" i="42"/>
  <c r="F33" i="46"/>
  <c r="I31" i="46"/>
  <c r="I33" i="46" s="1"/>
  <c r="F9" i="46"/>
  <c r="I7" i="46"/>
  <c r="I9" i="46" s="1"/>
  <c r="I26" i="46"/>
  <c r="D341" i="6"/>
  <c r="I27" i="46"/>
  <c r="I28" i="46" s="1"/>
  <c r="H35" i="31"/>
  <c r="F23" i="45"/>
  <c r="I21" i="45"/>
  <c r="I23" i="45" s="1"/>
  <c r="F60" i="45"/>
  <c r="I58" i="45"/>
  <c r="I60" i="45" s="1"/>
  <c r="R280" i="6"/>
  <c r="I280" i="6"/>
  <c r="H280" i="6"/>
  <c r="R269" i="6"/>
  <c r="I269" i="6"/>
  <c r="H269" i="6"/>
  <c r="R268" i="6"/>
  <c r="H268" i="6"/>
  <c r="I268" i="6"/>
  <c r="D272" i="6"/>
  <c r="I63" i="44"/>
  <c r="I64" i="44"/>
  <c r="I65" i="44" s="1"/>
  <c r="H48" i="31"/>
  <c r="I70" i="44"/>
  <c r="I71" i="44" s="1"/>
  <c r="I72" i="44" s="1"/>
  <c r="F72" i="44"/>
  <c r="I44" i="44"/>
  <c r="I45" i="44" s="1"/>
  <c r="I46" i="44" s="1"/>
  <c r="F46" i="44"/>
  <c r="I20" i="42"/>
  <c r="I22" i="42" s="1"/>
  <c r="I25" i="44"/>
  <c r="I26" i="44"/>
  <c r="I27" i="44" s="1"/>
  <c r="I13" i="44"/>
  <c r="I14" i="44"/>
  <c r="I15" i="44" s="1"/>
  <c r="K40" i="31"/>
  <c r="K41" i="31" s="1"/>
  <c r="K42" i="31" s="1"/>
  <c r="I26" i="40"/>
  <c r="D254" i="6"/>
  <c r="I27" i="40"/>
  <c r="I28" i="40" s="1"/>
  <c r="F57" i="40"/>
  <c r="I55" i="40"/>
  <c r="I57" i="40" s="1"/>
  <c r="K46" i="43"/>
  <c r="K47" i="43" s="1"/>
  <c r="K48" i="43" s="1"/>
  <c r="E76" i="32"/>
  <c r="H74" i="32"/>
  <c r="H76" i="32" s="1"/>
  <c r="H92" i="32"/>
  <c r="D226" i="6"/>
  <c r="H93" i="32"/>
  <c r="H94" i="32" s="1"/>
  <c r="H10" i="32"/>
  <c r="H11" i="32"/>
  <c r="H12" i="32" s="1"/>
  <c r="H61" i="14"/>
  <c r="K56" i="14"/>
  <c r="K57" i="14" s="1"/>
  <c r="K58" i="14" s="1"/>
  <c r="H47" i="32"/>
  <c r="H48" i="32" s="1"/>
  <c r="H46" i="32"/>
  <c r="H57" i="32"/>
  <c r="H58" i="32"/>
  <c r="H59" i="32" s="1"/>
  <c r="H69" i="32"/>
  <c r="H70" i="32"/>
  <c r="H71" i="32" s="1"/>
  <c r="H36" i="25"/>
  <c r="K29" i="25"/>
  <c r="K30" i="25" s="1"/>
  <c r="K31" i="25" s="1"/>
  <c r="D190" i="6" s="1"/>
  <c r="Q190" i="6" s="1"/>
  <c r="H61" i="29"/>
  <c r="G173" i="27"/>
  <c r="J171" i="27"/>
  <c r="I14" i="42"/>
  <c r="I15" i="42" s="1"/>
  <c r="I13" i="42"/>
  <c r="J222" i="27"/>
  <c r="G224" i="27"/>
  <c r="K55" i="29"/>
  <c r="K56" i="29" s="1"/>
  <c r="K57" i="29" s="1"/>
  <c r="D213" i="6" s="1"/>
  <c r="Q213" i="6" s="1"/>
  <c r="H214" i="4"/>
  <c r="K204" i="4"/>
  <c r="K205" i="4" s="1"/>
  <c r="K206" i="4" s="1"/>
  <c r="K29" i="31"/>
  <c r="K30" i="31" s="1"/>
  <c r="K31" i="31" s="1"/>
  <c r="D234" i="6" s="1"/>
  <c r="H110" i="25"/>
  <c r="H54" i="26"/>
  <c r="K46" i="26"/>
  <c r="K47" i="26" s="1"/>
  <c r="K48" i="26" s="1"/>
  <c r="H43" i="26"/>
  <c r="K35" i="26"/>
  <c r="K36" i="26" s="1"/>
  <c r="K37" i="26" s="1"/>
  <c r="K104" i="25"/>
  <c r="K105" i="25" s="1"/>
  <c r="K106" i="25" s="1"/>
  <c r="H96" i="25"/>
  <c r="K91" i="25"/>
  <c r="K92" i="25" s="1"/>
  <c r="K93" i="25" s="1"/>
  <c r="D195" i="6" s="1"/>
  <c r="H94" i="19"/>
  <c r="K83" i="19"/>
  <c r="K84" i="19" s="1"/>
  <c r="K85" i="19" s="1"/>
  <c r="D78" i="6" s="1"/>
  <c r="Q78" i="6" s="1"/>
  <c r="H61" i="22"/>
  <c r="K41" i="22"/>
  <c r="K42" i="22" s="1"/>
  <c r="K43" i="22" s="1"/>
  <c r="D135" i="6" s="1"/>
  <c r="Q135" i="6" s="1"/>
  <c r="H22" i="24"/>
  <c r="K7" i="24"/>
  <c r="K8" i="24" s="1"/>
  <c r="K9" i="24" s="1"/>
  <c r="Q88" i="6"/>
  <c r="H47" i="13"/>
  <c r="K37" i="13"/>
  <c r="K38" i="13" s="1"/>
  <c r="K39" i="13" s="1"/>
  <c r="K409" i="6" l="1"/>
  <c r="L409" i="6" s="1"/>
  <c r="M409" i="6" s="1"/>
  <c r="Q409" i="6"/>
  <c r="K412" i="6"/>
  <c r="L412" i="6" s="1"/>
  <c r="M412" i="6" s="1"/>
  <c r="Q412" i="6"/>
  <c r="K341" i="6"/>
  <c r="L341" i="6" s="1"/>
  <c r="M341" i="6" s="1"/>
  <c r="Q341" i="6"/>
  <c r="Q292" i="6"/>
  <c r="K292" i="6"/>
  <c r="L292" i="6" s="1"/>
  <c r="M292" i="6" s="1"/>
  <c r="K272" i="6"/>
  <c r="L272" i="6" s="1"/>
  <c r="M272" i="6" s="1"/>
  <c r="Q272" i="6"/>
  <c r="K226" i="6"/>
  <c r="L226" i="6" s="1"/>
  <c r="M226" i="6" s="1"/>
  <c r="Q226" i="6"/>
  <c r="K254" i="6"/>
  <c r="L254" i="6" s="1"/>
  <c r="M254" i="6" s="1"/>
  <c r="Q254" i="6"/>
  <c r="K234" i="6"/>
  <c r="Q234" i="6"/>
  <c r="K195" i="6"/>
  <c r="Q195" i="6"/>
  <c r="D398" i="6"/>
  <c r="H292" i="6"/>
  <c r="R292" i="6"/>
  <c r="I292" i="6"/>
  <c r="D293" i="6"/>
  <c r="J14" i="27"/>
  <c r="J15" i="27" s="1"/>
  <c r="D7" i="6"/>
  <c r="Q7" i="6" s="1"/>
  <c r="J100" i="27"/>
  <c r="J101" i="27" s="1"/>
  <c r="J99" i="27"/>
  <c r="I190" i="6"/>
  <c r="R190" i="6"/>
  <c r="K190" i="6"/>
  <c r="H190" i="6"/>
  <c r="H213" i="6"/>
  <c r="K213" i="6"/>
  <c r="L213" i="6" s="1"/>
  <c r="M213" i="6" s="1"/>
  <c r="J13" i="27"/>
  <c r="J172" i="27"/>
  <c r="J173" i="27" s="1"/>
  <c r="D20" i="6" s="1"/>
  <c r="Q20" i="6" s="1"/>
  <c r="J223" i="27"/>
  <c r="J224" i="27" s="1"/>
  <c r="D24" i="6" s="1"/>
  <c r="Q24" i="6" s="1"/>
  <c r="J61" i="27"/>
  <c r="J62" i="27"/>
  <c r="J63" i="27" s="1"/>
  <c r="J49" i="27"/>
  <c r="J50" i="27" s="1"/>
  <c r="J48" i="27"/>
  <c r="I10" i="6"/>
  <c r="H10" i="6"/>
  <c r="K10" i="6"/>
  <c r="L10" i="6" s="1"/>
  <c r="M10" i="6" s="1"/>
  <c r="R10" i="6"/>
  <c r="J37" i="27"/>
  <c r="J38" i="27"/>
  <c r="J39" i="27" s="1"/>
  <c r="H25" i="53"/>
  <c r="H26" i="53"/>
  <c r="H27" i="53" s="1"/>
  <c r="D159" i="6"/>
  <c r="Q159" i="6" s="1"/>
  <c r="D156" i="6"/>
  <c r="Q156" i="6" s="1"/>
  <c r="R409" i="6"/>
  <c r="I409" i="6"/>
  <c r="H409" i="6"/>
  <c r="R412" i="6"/>
  <c r="I412" i="6"/>
  <c r="H412" i="6"/>
  <c r="H69" i="51"/>
  <c r="D414" i="6"/>
  <c r="H70" i="51"/>
  <c r="H71" i="51" s="1"/>
  <c r="H14" i="50"/>
  <c r="H15" i="50" s="1"/>
  <c r="H13" i="50"/>
  <c r="H36" i="51"/>
  <c r="D411" i="6"/>
  <c r="H37" i="51"/>
  <c r="H38" i="51" s="1"/>
  <c r="H13" i="51"/>
  <c r="H14" i="51"/>
  <c r="H15" i="51" s="1"/>
  <c r="I147" i="49"/>
  <c r="D391" i="6"/>
  <c r="I148" i="49"/>
  <c r="I149" i="49" s="1"/>
  <c r="I85" i="49"/>
  <c r="D386" i="6"/>
  <c r="I86" i="49"/>
  <c r="I87" i="49" s="1"/>
  <c r="R341" i="6"/>
  <c r="H341" i="6"/>
  <c r="I341" i="6"/>
  <c r="I13" i="46"/>
  <c r="D340" i="6"/>
  <c r="I14" i="46"/>
  <c r="I15" i="46" s="1"/>
  <c r="I37" i="46"/>
  <c r="D342" i="6"/>
  <c r="I38" i="46"/>
  <c r="I39" i="46" s="1"/>
  <c r="I64" i="45"/>
  <c r="D331" i="6"/>
  <c r="I65" i="45"/>
  <c r="I66" i="45" s="1"/>
  <c r="I27" i="45"/>
  <c r="D328" i="6"/>
  <c r="I28" i="45"/>
  <c r="I29" i="45" s="1"/>
  <c r="I26" i="42"/>
  <c r="D281" i="6"/>
  <c r="L280" i="6"/>
  <c r="M280" i="6" s="1"/>
  <c r="I27" i="42"/>
  <c r="I28" i="42" s="1"/>
  <c r="R272" i="6"/>
  <c r="I272" i="6"/>
  <c r="H272" i="6"/>
  <c r="D271" i="6"/>
  <c r="I50" i="44"/>
  <c r="I51" i="44"/>
  <c r="I52" i="44" s="1"/>
  <c r="D273" i="6"/>
  <c r="I77" i="44"/>
  <c r="I78" i="44" s="1"/>
  <c r="I76" i="44"/>
  <c r="R254" i="6"/>
  <c r="I254" i="6"/>
  <c r="H254" i="6"/>
  <c r="D235" i="6"/>
  <c r="K46" i="31"/>
  <c r="K47" i="31"/>
  <c r="K48" i="31" s="1"/>
  <c r="D246" i="6"/>
  <c r="K53" i="43"/>
  <c r="K54" i="43" s="1"/>
  <c r="K52" i="43"/>
  <c r="I61" i="40"/>
  <c r="I62" i="40"/>
  <c r="I63" i="40" s="1"/>
  <c r="R234" i="6"/>
  <c r="I234" i="6"/>
  <c r="H234" i="6"/>
  <c r="R226" i="6"/>
  <c r="I226" i="6"/>
  <c r="H226" i="6"/>
  <c r="D225" i="6"/>
  <c r="Q225" i="6" s="1"/>
  <c r="H80" i="32"/>
  <c r="H81" i="32"/>
  <c r="H82" i="32" s="1"/>
  <c r="D170" i="6"/>
  <c r="K62" i="14"/>
  <c r="K63" i="14"/>
  <c r="K64" i="14" s="1"/>
  <c r="K35" i="25"/>
  <c r="K36" i="25"/>
  <c r="K37" i="25" s="1"/>
  <c r="D54" i="6"/>
  <c r="Q54" i="6" s="1"/>
  <c r="R213" i="6"/>
  <c r="K62" i="29"/>
  <c r="K63" i="29" s="1"/>
  <c r="K61" i="29"/>
  <c r="I213" i="6"/>
  <c r="R195" i="6"/>
  <c r="H195" i="6"/>
  <c r="I195" i="6"/>
  <c r="K110" i="25"/>
  <c r="D196" i="6"/>
  <c r="K135" i="6"/>
  <c r="D110" i="6"/>
  <c r="C9" i="63" s="1"/>
  <c r="K210" i="4"/>
  <c r="K211" i="4"/>
  <c r="K212" i="4" s="1"/>
  <c r="K88" i="6"/>
  <c r="L88" i="6" s="1"/>
  <c r="M88" i="6" s="1"/>
  <c r="R88" i="6"/>
  <c r="I88" i="6"/>
  <c r="H88" i="6"/>
  <c r="R78" i="6"/>
  <c r="H78" i="6"/>
  <c r="I78" i="6"/>
  <c r="K78" i="6"/>
  <c r="L78" i="6" s="1"/>
  <c r="M78" i="6" s="1"/>
  <c r="K35" i="31"/>
  <c r="K36" i="31"/>
  <c r="K37" i="31" s="1"/>
  <c r="K52" i="26"/>
  <c r="K53" i="26"/>
  <c r="K54" i="26" s="1"/>
  <c r="K42" i="26"/>
  <c r="K43" i="26" s="1"/>
  <c r="K41" i="26"/>
  <c r="K111" i="25"/>
  <c r="K112" i="25" s="1"/>
  <c r="K97" i="25"/>
  <c r="K98" i="25"/>
  <c r="K99" i="25" s="1"/>
  <c r="K89" i="19"/>
  <c r="K90" i="19"/>
  <c r="K91" i="19" s="1"/>
  <c r="K48" i="22"/>
  <c r="K49" i="22" s="1"/>
  <c r="K47" i="22"/>
  <c r="D66" i="6"/>
  <c r="Q66" i="6" s="1"/>
  <c r="K13" i="24"/>
  <c r="K14" i="24"/>
  <c r="K15" i="24" s="1"/>
  <c r="K43" i="13"/>
  <c r="K44" i="13"/>
  <c r="K45" i="13" s="1"/>
  <c r="K386" i="6" l="1"/>
  <c r="L386" i="6" s="1"/>
  <c r="M386" i="6" s="1"/>
  <c r="Q386" i="6"/>
  <c r="K414" i="6"/>
  <c r="L414" i="6" s="1"/>
  <c r="M414" i="6" s="1"/>
  <c r="Q414" i="6"/>
  <c r="K391" i="6"/>
  <c r="Q391" i="6"/>
  <c r="Q398" i="6"/>
  <c r="K398" i="6"/>
  <c r="L398" i="6" s="1"/>
  <c r="M398" i="6" s="1"/>
  <c r="K411" i="6"/>
  <c r="L411" i="6" s="1"/>
  <c r="M411" i="6" s="1"/>
  <c r="Q411" i="6"/>
  <c r="K331" i="6"/>
  <c r="Q331" i="6"/>
  <c r="K293" i="6"/>
  <c r="L293" i="6" s="1"/>
  <c r="M293" i="6" s="1"/>
  <c r="Q293" i="6"/>
  <c r="K342" i="6"/>
  <c r="L342" i="6" s="1"/>
  <c r="M342" i="6" s="1"/>
  <c r="Q342" i="6"/>
  <c r="K281" i="6"/>
  <c r="L281" i="6" s="1"/>
  <c r="M281" i="6" s="1"/>
  <c r="Q281" i="6"/>
  <c r="K340" i="6"/>
  <c r="Q340" i="6"/>
  <c r="K328" i="6"/>
  <c r="L328" i="6" s="1"/>
  <c r="M328" i="6" s="1"/>
  <c r="Q328" i="6"/>
  <c r="K246" i="6"/>
  <c r="L246" i="6" s="1"/>
  <c r="M246" i="6" s="1"/>
  <c r="Q246" i="6"/>
  <c r="K271" i="6"/>
  <c r="L271" i="6" s="1"/>
  <c r="M271" i="6" s="1"/>
  <c r="Q271" i="6"/>
  <c r="K235" i="6"/>
  <c r="L235" i="6" s="1"/>
  <c r="M235" i="6" s="1"/>
  <c r="Q235" i="6"/>
  <c r="K273" i="6"/>
  <c r="Q273" i="6"/>
  <c r="K170" i="6"/>
  <c r="L170" i="6" s="1"/>
  <c r="M170" i="6" s="1"/>
  <c r="Q170" i="6"/>
  <c r="K196" i="6"/>
  <c r="L196" i="6" s="1"/>
  <c r="M196" i="6" s="1"/>
  <c r="Q196" i="6"/>
  <c r="Q110" i="6"/>
  <c r="K110" i="6"/>
  <c r="L110" i="6" s="1"/>
  <c r="M110" i="6" s="1"/>
  <c r="H54" i="6"/>
  <c r="I398" i="6"/>
  <c r="R398" i="6"/>
  <c r="R405" i="6" s="1"/>
  <c r="H398" i="6"/>
  <c r="H405" i="6" s="1"/>
  <c r="I293" i="6"/>
  <c r="H293" i="6"/>
  <c r="H301" i="6" s="1"/>
  <c r="R293" i="6"/>
  <c r="R301" i="6" s="1"/>
  <c r="H20" i="6"/>
  <c r="R20" i="6"/>
  <c r="I20" i="6"/>
  <c r="K20" i="6"/>
  <c r="L20" i="6" s="1"/>
  <c r="M20" i="6" s="1"/>
  <c r="H7" i="6"/>
  <c r="R7" i="6"/>
  <c r="I7" i="6"/>
  <c r="K7" i="6"/>
  <c r="L7" i="6" s="1"/>
  <c r="M7" i="6" s="1"/>
  <c r="H21" i="6"/>
  <c r="I21" i="6"/>
  <c r="K21" i="6"/>
  <c r="L21" i="6" s="1"/>
  <c r="M21" i="6" s="1"/>
  <c r="R21" i="6"/>
  <c r="L190" i="6"/>
  <c r="M190" i="6" s="1"/>
  <c r="I14" i="6"/>
  <c r="K225" i="6"/>
  <c r="L225" i="6" s="1"/>
  <c r="M225" i="6" s="1"/>
  <c r="K159" i="6"/>
  <c r="L159" i="6" s="1"/>
  <c r="M159" i="6" s="1"/>
  <c r="K156" i="6"/>
  <c r="L156" i="6" s="1"/>
  <c r="M156" i="6" s="1"/>
  <c r="H14" i="6"/>
  <c r="R14" i="6"/>
  <c r="K14" i="6"/>
  <c r="L14" i="6" s="1"/>
  <c r="M14" i="6" s="1"/>
  <c r="I159" i="6"/>
  <c r="J228" i="27"/>
  <c r="J229" i="27"/>
  <c r="J230" i="27" s="1"/>
  <c r="J177" i="27"/>
  <c r="J178" i="27"/>
  <c r="J179" i="27" s="1"/>
  <c r="H159" i="6"/>
  <c r="R159" i="6"/>
  <c r="K17" i="6"/>
  <c r="L17" i="6" s="1"/>
  <c r="M17" i="6" s="1"/>
  <c r="R17" i="6"/>
  <c r="H17" i="6"/>
  <c r="I17" i="6"/>
  <c r="R15" i="6"/>
  <c r="K15" i="6"/>
  <c r="H15" i="6"/>
  <c r="I15" i="6"/>
  <c r="R11" i="6"/>
  <c r="K11" i="6"/>
  <c r="I11" i="6"/>
  <c r="H11" i="6"/>
  <c r="H156" i="6"/>
  <c r="I156" i="6"/>
  <c r="R156" i="6"/>
  <c r="R414" i="6"/>
  <c r="I414" i="6"/>
  <c r="H414" i="6"/>
  <c r="R411" i="6"/>
  <c r="I411" i="6"/>
  <c r="H411" i="6"/>
  <c r="R386" i="6"/>
  <c r="I386" i="6"/>
  <c r="H386" i="6"/>
  <c r="R391" i="6"/>
  <c r="I391" i="6"/>
  <c r="H391" i="6"/>
  <c r="R342" i="6"/>
  <c r="I342" i="6"/>
  <c r="H342" i="6"/>
  <c r="R340" i="6"/>
  <c r="I340" i="6"/>
  <c r="H340" i="6"/>
  <c r="R328" i="6"/>
  <c r="I328" i="6"/>
  <c r="H328" i="6"/>
  <c r="R331" i="6"/>
  <c r="I331" i="6"/>
  <c r="H331" i="6"/>
  <c r="H281" i="6"/>
  <c r="H287" i="6" s="1"/>
  <c r="R281" i="6"/>
  <c r="R287" i="6" s="1"/>
  <c r="I281" i="6"/>
  <c r="H273" i="6"/>
  <c r="R273" i="6"/>
  <c r="I273" i="6"/>
  <c r="R271" i="6"/>
  <c r="I271" i="6"/>
  <c r="H271" i="6"/>
  <c r="I246" i="6"/>
  <c r="H246" i="6"/>
  <c r="R246" i="6"/>
  <c r="H235" i="6"/>
  <c r="I235" i="6"/>
  <c r="R235" i="6"/>
  <c r="R225" i="6"/>
  <c r="I225" i="6"/>
  <c r="H225" i="6"/>
  <c r="L234" i="6"/>
  <c r="M234" i="6" s="1"/>
  <c r="I170" i="6"/>
  <c r="R170" i="6"/>
  <c r="H170" i="6"/>
  <c r="K54" i="6"/>
  <c r="L54" i="6" s="1"/>
  <c r="M54" i="6" s="1"/>
  <c r="R54" i="6"/>
  <c r="I54" i="6"/>
  <c r="G148" i="27"/>
  <c r="H48" i="24"/>
  <c r="E53" i="51"/>
  <c r="E65" i="33"/>
  <c r="F65" i="33" s="1"/>
  <c r="F67" i="33" s="1"/>
  <c r="E20" i="33"/>
  <c r="F20" i="33" s="1"/>
  <c r="E32" i="33"/>
  <c r="F32" i="33" s="1"/>
  <c r="E12" i="33"/>
  <c r="F12" i="33" s="1"/>
  <c r="R196" i="6"/>
  <c r="I196" i="6"/>
  <c r="H196" i="6"/>
  <c r="L195" i="6"/>
  <c r="M195" i="6" s="1"/>
  <c r="R110" i="6"/>
  <c r="H110" i="6"/>
  <c r="I110" i="6"/>
  <c r="L135" i="6"/>
  <c r="M135" i="6" s="1"/>
  <c r="R135" i="6"/>
  <c r="I135" i="6"/>
  <c r="H135" i="6"/>
  <c r="H66" i="6"/>
  <c r="R66" i="6"/>
  <c r="I66" i="6"/>
  <c r="K66" i="6"/>
  <c r="L66" i="6" s="1"/>
  <c r="M66" i="6" s="1"/>
  <c r="R392" i="6" l="1"/>
  <c r="H392" i="6"/>
  <c r="H134" i="25"/>
  <c r="K167" i="25"/>
  <c r="K8" i="6"/>
  <c r="I8" i="6"/>
  <c r="R8" i="6"/>
  <c r="H8" i="6"/>
  <c r="K9" i="6"/>
  <c r="R9" i="6"/>
  <c r="I9" i="6"/>
  <c r="H9" i="6"/>
  <c r="L15" i="6"/>
  <c r="M15" i="6" s="1"/>
  <c r="L11" i="6"/>
  <c r="M11" i="6" s="1"/>
  <c r="K64" i="31"/>
  <c r="K65" i="31" s="1"/>
  <c r="K66" i="31" s="1"/>
  <c r="D237" i="6" s="1"/>
  <c r="H70" i="31"/>
  <c r="H52" i="51"/>
  <c r="H54" i="51" s="1"/>
  <c r="E54" i="51"/>
  <c r="E20" i="51"/>
  <c r="R343" i="6"/>
  <c r="L391" i="6"/>
  <c r="M391" i="6" s="1"/>
  <c r="F19" i="48"/>
  <c r="F20" i="48" s="1"/>
  <c r="F96" i="48"/>
  <c r="F8" i="47"/>
  <c r="F9" i="47" s="1"/>
  <c r="F58" i="47"/>
  <c r="H343" i="6"/>
  <c r="L340" i="6"/>
  <c r="M340" i="6" s="1"/>
  <c r="L331" i="6"/>
  <c r="M331" i="6" s="1"/>
  <c r="F47" i="45"/>
  <c r="F8" i="45"/>
  <c r="H274" i="6"/>
  <c r="R274" i="6"/>
  <c r="L273" i="6"/>
  <c r="M273" i="6" s="1"/>
  <c r="K33" i="43"/>
  <c r="K34" i="43" s="1"/>
  <c r="K35" i="43" s="1"/>
  <c r="H39" i="43"/>
  <c r="H22" i="25"/>
  <c r="H110" i="14"/>
  <c r="H25" i="29"/>
  <c r="K52" i="17"/>
  <c r="K53" i="17" s="1"/>
  <c r="K54" i="17" s="1"/>
  <c r="H64" i="17"/>
  <c r="E9" i="33"/>
  <c r="F9" i="33" s="1"/>
  <c r="F14" i="33" s="1"/>
  <c r="E35" i="33"/>
  <c r="F35" i="33" s="1"/>
  <c r="E58" i="33"/>
  <c r="F58" i="33" s="1"/>
  <c r="H17" i="32"/>
  <c r="H19" i="32" s="1"/>
  <c r="D220" i="6" s="1"/>
  <c r="E19" i="32"/>
  <c r="H64" i="4"/>
  <c r="K24" i="24"/>
  <c r="K25" i="24" s="1"/>
  <c r="K26" i="24" s="1"/>
  <c r="J147" i="27"/>
  <c r="G149" i="27"/>
  <c r="H36" i="29"/>
  <c r="K30" i="29"/>
  <c r="K31" i="29" s="1"/>
  <c r="K32" i="29" s="1"/>
  <c r="I63" i="33"/>
  <c r="I64" i="33" s="1"/>
  <c r="I65" i="33" s="1"/>
  <c r="R224" i="6" s="1"/>
  <c r="K175" i="4"/>
  <c r="K176" i="4" s="1"/>
  <c r="K157" i="4"/>
  <c r="K158" i="4" s="1"/>
  <c r="K140" i="4"/>
  <c r="K141" i="4" s="1"/>
  <c r="H62" i="4"/>
  <c r="H66" i="4"/>
  <c r="K117" i="4"/>
  <c r="K118" i="4" s="1"/>
  <c r="K98" i="4"/>
  <c r="K99" i="4" s="1"/>
  <c r="K80" i="4"/>
  <c r="K81" i="4" s="1"/>
  <c r="H63" i="4"/>
  <c r="H69" i="4"/>
  <c r="H61" i="4"/>
  <c r="H60" i="4"/>
  <c r="H67" i="4"/>
  <c r="K60" i="4"/>
  <c r="K61" i="4" s="1"/>
  <c r="H65" i="4"/>
  <c r="H57" i="4"/>
  <c r="H58" i="4"/>
  <c r="H59" i="4"/>
  <c r="K35" i="4"/>
  <c r="K36" i="4" s="1"/>
  <c r="K237" i="6" l="1"/>
  <c r="R237" i="6"/>
  <c r="Q237" i="6"/>
  <c r="I237" i="6"/>
  <c r="H237" i="6"/>
  <c r="K220" i="6"/>
  <c r="Q220" i="6"/>
  <c r="K79" i="6"/>
  <c r="R79" i="6"/>
  <c r="H79" i="6"/>
  <c r="I79" i="6"/>
  <c r="H176" i="25"/>
  <c r="K131" i="14"/>
  <c r="K132" i="14" s="1"/>
  <c r="K133" i="14" s="1"/>
  <c r="H137" i="14"/>
  <c r="K128" i="25"/>
  <c r="K129" i="25" s="1"/>
  <c r="K130" i="25" s="1"/>
  <c r="D198" i="6" s="1"/>
  <c r="Q198" i="6" s="1"/>
  <c r="K168" i="25"/>
  <c r="K169" i="25" s="1"/>
  <c r="J148" i="27"/>
  <c r="J149" i="27" s="1"/>
  <c r="D18" i="6" s="1"/>
  <c r="Q18" i="6" s="1"/>
  <c r="L9" i="6"/>
  <c r="M9" i="6" s="1"/>
  <c r="L8" i="6"/>
  <c r="M8" i="6" s="1"/>
  <c r="K70" i="31"/>
  <c r="K71" i="31"/>
  <c r="K72" i="31" s="1"/>
  <c r="H58" i="51"/>
  <c r="D413" i="6"/>
  <c r="H59" i="51"/>
  <c r="H60" i="51" s="1"/>
  <c r="E21" i="51"/>
  <c r="H19" i="51"/>
  <c r="H21" i="51" s="1"/>
  <c r="D410" i="6" s="1"/>
  <c r="I18" i="48"/>
  <c r="I20" i="48" s="1"/>
  <c r="D363" i="6" s="1"/>
  <c r="F97" i="48"/>
  <c r="I95" i="48"/>
  <c r="I97" i="48" s="1"/>
  <c r="I7" i="47"/>
  <c r="I9" i="47" s="1"/>
  <c r="D350" i="6" s="1"/>
  <c r="K350" i="6" s="1"/>
  <c r="F59" i="47"/>
  <c r="I57" i="47"/>
  <c r="I59" i="47" s="1"/>
  <c r="I7" i="33"/>
  <c r="I8" i="33" s="1"/>
  <c r="I9" i="33" s="1"/>
  <c r="I14" i="33" s="1"/>
  <c r="I15" i="33" s="1"/>
  <c r="I7" i="45"/>
  <c r="I9" i="45" s="1"/>
  <c r="F9" i="45"/>
  <c r="F48" i="45"/>
  <c r="I46" i="45"/>
  <c r="I48" i="45" s="1"/>
  <c r="D245" i="6"/>
  <c r="K39" i="43"/>
  <c r="K40" i="43"/>
  <c r="K41" i="43" s="1"/>
  <c r="H60" i="31"/>
  <c r="K53" i="31"/>
  <c r="K54" i="31" s="1"/>
  <c r="K55" i="31" s="1"/>
  <c r="K7" i="43"/>
  <c r="K8" i="43" s="1"/>
  <c r="K9" i="43" s="1"/>
  <c r="H13" i="43"/>
  <c r="H25" i="43"/>
  <c r="K19" i="43"/>
  <c r="K20" i="43" s="1"/>
  <c r="K21" i="43" s="1"/>
  <c r="K18" i="31"/>
  <c r="K19" i="31" s="1"/>
  <c r="K20" i="31" s="1"/>
  <c r="D233" i="6" s="1"/>
  <c r="H25" i="31"/>
  <c r="K7" i="17"/>
  <c r="K8" i="17" s="1"/>
  <c r="K9" i="17" s="1"/>
  <c r="K14" i="17" s="1"/>
  <c r="K15" i="17" s="1"/>
  <c r="H16" i="14"/>
  <c r="H66" i="26"/>
  <c r="K7" i="29"/>
  <c r="K8" i="29" s="1"/>
  <c r="K9" i="29" s="1"/>
  <c r="D209" i="6" s="1"/>
  <c r="H12" i="29"/>
  <c r="K19" i="29"/>
  <c r="K20" i="29" s="1"/>
  <c r="K21" i="29" s="1"/>
  <c r="K25" i="29" s="1"/>
  <c r="H25" i="25"/>
  <c r="K18" i="25"/>
  <c r="K19" i="25" s="1"/>
  <c r="K20" i="25" s="1"/>
  <c r="K43" i="25"/>
  <c r="K44" i="25" s="1"/>
  <c r="K45" i="25" s="1"/>
  <c r="H50" i="25"/>
  <c r="K78" i="14"/>
  <c r="K79" i="14" s="1"/>
  <c r="K80" i="14" s="1"/>
  <c r="H85" i="14"/>
  <c r="K69" i="26"/>
  <c r="K70" i="26" s="1"/>
  <c r="K71" i="26" s="1"/>
  <c r="K57" i="26"/>
  <c r="K58" i="26" s="1"/>
  <c r="K59" i="26" s="1"/>
  <c r="K55" i="12"/>
  <c r="K56" i="12" s="1"/>
  <c r="K57" i="12" s="1"/>
  <c r="D100" i="6" s="1"/>
  <c r="Q100" i="6" s="1"/>
  <c r="H71" i="12"/>
  <c r="K8" i="14"/>
  <c r="K9" i="14" s="1"/>
  <c r="K10" i="14" s="1"/>
  <c r="D166" i="6" s="1"/>
  <c r="H20" i="13"/>
  <c r="H78" i="26"/>
  <c r="H200" i="4"/>
  <c r="K189" i="4"/>
  <c r="K190" i="4" s="1"/>
  <c r="K191" i="4" s="1"/>
  <c r="D124" i="6"/>
  <c r="C10" i="63" s="1"/>
  <c r="F10" i="63" s="1"/>
  <c r="K58" i="17"/>
  <c r="K59" i="17"/>
  <c r="K60" i="17" s="1"/>
  <c r="E54" i="33"/>
  <c r="F54" i="33" s="1"/>
  <c r="H26" i="17"/>
  <c r="D67" i="6"/>
  <c r="Q67" i="6" s="1"/>
  <c r="K30" i="24"/>
  <c r="K31" i="24"/>
  <c r="K32" i="24" s="1"/>
  <c r="K106" i="13"/>
  <c r="K107" i="13" s="1"/>
  <c r="K108" i="13" s="1"/>
  <c r="D57" i="6" s="1"/>
  <c r="Q57" i="6" s="1"/>
  <c r="H111" i="13"/>
  <c r="H15" i="21"/>
  <c r="K9" i="21" s="1"/>
  <c r="H23" i="32"/>
  <c r="H24" i="32"/>
  <c r="H25" i="32" s="1"/>
  <c r="H30" i="12"/>
  <c r="E21" i="33"/>
  <c r="F21" i="33" s="1"/>
  <c r="H10" i="31"/>
  <c r="H31" i="26"/>
  <c r="K7" i="26"/>
  <c r="K8" i="26" s="1"/>
  <c r="K9" i="26" s="1"/>
  <c r="D211" i="6"/>
  <c r="K36" i="29"/>
  <c r="K37" i="29"/>
  <c r="K38" i="29" s="1"/>
  <c r="K7" i="13"/>
  <c r="K8" i="13" s="1"/>
  <c r="K9" i="13" s="1"/>
  <c r="D51" i="6" s="1"/>
  <c r="Q51" i="6" s="1"/>
  <c r="L224" i="6"/>
  <c r="M224" i="6" s="1"/>
  <c r="H224" i="6"/>
  <c r="I69" i="33"/>
  <c r="I70" i="33"/>
  <c r="I71" i="33" s="1"/>
  <c r="I224" i="6"/>
  <c r="K44" i="14"/>
  <c r="K45" i="14" s="1"/>
  <c r="K46" i="14" s="1"/>
  <c r="H50" i="14"/>
  <c r="H186" i="4"/>
  <c r="H150" i="4"/>
  <c r="K171" i="4"/>
  <c r="K136" i="4"/>
  <c r="K113" i="4"/>
  <c r="L237" i="6" l="1"/>
  <c r="M237" i="6" s="1"/>
  <c r="D142" i="6"/>
  <c r="C16" i="63" s="1"/>
  <c r="K363" i="6"/>
  <c r="L363" i="6" s="1"/>
  <c r="M363" i="6" s="1"/>
  <c r="Q363" i="6"/>
  <c r="K413" i="6"/>
  <c r="L413" i="6" s="1"/>
  <c r="M413" i="6" s="1"/>
  <c r="Q413" i="6"/>
  <c r="K410" i="6"/>
  <c r="L410" i="6" s="1"/>
  <c r="M410" i="6" s="1"/>
  <c r="Q410" i="6"/>
  <c r="Q350" i="6"/>
  <c r="K209" i="6"/>
  <c r="L209" i="6" s="1"/>
  <c r="M209" i="6" s="1"/>
  <c r="Q209" i="6"/>
  <c r="K245" i="6"/>
  <c r="L245" i="6" s="1"/>
  <c r="M245" i="6" s="1"/>
  <c r="Q245" i="6"/>
  <c r="K233" i="6"/>
  <c r="L233" i="6" s="1"/>
  <c r="M233" i="6" s="1"/>
  <c r="Q233" i="6"/>
  <c r="K211" i="6"/>
  <c r="L211" i="6" s="1"/>
  <c r="M211" i="6" s="1"/>
  <c r="Q211" i="6"/>
  <c r="K166" i="6"/>
  <c r="L166" i="6" s="1"/>
  <c r="M166" i="6" s="1"/>
  <c r="Q166" i="6"/>
  <c r="Q124" i="6"/>
  <c r="K124" i="6"/>
  <c r="L124" i="6" s="1"/>
  <c r="M124" i="6" s="1"/>
  <c r="K10" i="21"/>
  <c r="K11" i="21" s="1"/>
  <c r="D141" i="6" s="1"/>
  <c r="L79" i="6"/>
  <c r="M79" i="6" s="1"/>
  <c r="D176" i="6"/>
  <c r="Q176" i="6" s="1"/>
  <c r="K137" i="14"/>
  <c r="K138" i="14"/>
  <c r="K139" i="14" s="1"/>
  <c r="K134" i="25"/>
  <c r="K135" i="25"/>
  <c r="K136" i="25" s="1"/>
  <c r="K174" i="25"/>
  <c r="K175" i="25" s="1"/>
  <c r="D201" i="6"/>
  <c r="K173" i="25"/>
  <c r="K198" i="6"/>
  <c r="L198" i="6" s="1"/>
  <c r="M198" i="6" s="1"/>
  <c r="I198" i="6"/>
  <c r="H198" i="6"/>
  <c r="R198" i="6"/>
  <c r="I13" i="33"/>
  <c r="K13" i="29"/>
  <c r="K14" i="29"/>
  <c r="K15" i="29" s="1"/>
  <c r="J153" i="27"/>
  <c r="J154" i="27"/>
  <c r="J155" i="27" s="1"/>
  <c r="D158" i="6"/>
  <c r="Q158" i="6" s="1"/>
  <c r="D160" i="6"/>
  <c r="Q160" i="6" s="1"/>
  <c r="D155" i="6"/>
  <c r="Q155" i="6" s="1"/>
  <c r="R410" i="6"/>
  <c r="I410" i="6"/>
  <c r="H410" i="6"/>
  <c r="R413" i="6"/>
  <c r="I413" i="6"/>
  <c r="H413" i="6"/>
  <c r="H25" i="51"/>
  <c r="H26" i="51"/>
  <c r="H27" i="51" s="1"/>
  <c r="I25" i="48"/>
  <c r="I26" i="48" s="1"/>
  <c r="I24" i="48"/>
  <c r="I13" i="47"/>
  <c r="I14" i="47"/>
  <c r="I15" i="47" s="1"/>
  <c r="D370" i="6"/>
  <c r="I101" i="48"/>
  <c r="I102" i="48"/>
  <c r="I103" i="48" s="1"/>
  <c r="R363" i="6"/>
  <c r="I363" i="6"/>
  <c r="H363" i="6"/>
  <c r="K76" i="26"/>
  <c r="K77" i="26" s="1"/>
  <c r="I63" i="47"/>
  <c r="D354" i="6"/>
  <c r="K354" i="6" s="1"/>
  <c r="I64" i="47"/>
  <c r="I65" i="47" s="1"/>
  <c r="K75" i="26"/>
  <c r="R350" i="6"/>
  <c r="I350" i="6"/>
  <c r="H350" i="6"/>
  <c r="I52" i="45"/>
  <c r="D330" i="6"/>
  <c r="I53" i="45"/>
  <c r="I54" i="45" s="1"/>
  <c r="I13" i="45"/>
  <c r="D327" i="6"/>
  <c r="I14" i="45"/>
  <c r="I15" i="45" s="1"/>
  <c r="K64" i="26"/>
  <c r="K65" i="26" s="1"/>
  <c r="D122" i="6"/>
  <c r="K122" i="6" s="1"/>
  <c r="K13" i="17"/>
  <c r="D244" i="6"/>
  <c r="K25" i="43"/>
  <c r="K26" i="43"/>
  <c r="K27" i="43" s="1"/>
  <c r="D243" i="6"/>
  <c r="K14" i="43"/>
  <c r="K15" i="43" s="1"/>
  <c r="K13" i="43"/>
  <c r="D236" i="6"/>
  <c r="K60" i="31"/>
  <c r="K61" i="31" s="1"/>
  <c r="K59" i="31"/>
  <c r="I245" i="6"/>
  <c r="R245" i="6"/>
  <c r="H245" i="6"/>
  <c r="D210" i="6"/>
  <c r="Q210" i="6" s="1"/>
  <c r="K26" i="29"/>
  <c r="K27" i="29" s="1"/>
  <c r="R233" i="6"/>
  <c r="H233" i="6"/>
  <c r="I233" i="6"/>
  <c r="K7" i="31"/>
  <c r="K8" i="31" s="1"/>
  <c r="K9" i="31" s="1"/>
  <c r="D232" i="6" s="1"/>
  <c r="H12" i="31"/>
  <c r="K25" i="31"/>
  <c r="K26" i="31" s="1"/>
  <c r="K24" i="31"/>
  <c r="K63" i="26"/>
  <c r="K80" i="25"/>
  <c r="K81" i="25" s="1"/>
  <c r="K82" i="25" s="1"/>
  <c r="H87" i="25"/>
  <c r="D189" i="6"/>
  <c r="K25" i="25"/>
  <c r="K26" i="25" s="1"/>
  <c r="K24" i="25"/>
  <c r="D172" i="6"/>
  <c r="K84" i="14"/>
  <c r="K85" i="14"/>
  <c r="K86" i="14" s="1"/>
  <c r="D191" i="6"/>
  <c r="K50" i="25"/>
  <c r="K51" i="25" s="1"/>
  <c r="K49" i="25"/>
  <c r="H97" i="14"/>
  <c r="K90" i="14"/>
  <c r="K91" i="14" s="1"/>
  <c r="K92" i="14" s="1"/>
  <c r="K21" i="26"/>
  <c r="K22" i="26" s="1"/>
  <c r="K23" i="26" s="1"/>
  <c r="H17" i="26"/>
  <c r="K62" i="12"/>
  <c r="K63" i="12" s="1"/>
  <c r="K61" i="12"/>
  <c r="K14" i="14"/>
  <c r="K15" i="14"/>
  <c r="K16" i="14" s="1"/>
  <c r="K74" i="12"/>
  <c r="K75" i="12" s="1"/>
  <c r="K76" i="12" s="1"/>
  <c r="H93" i="12"/>
  <c r="I100" i="6"/>
  <c r="K100" i="6"/>
  <c r="L100" i="6" s="1"/>
  <c r="M100" i="6" s="1"/>
  <c r="H100" i="6"/>
  <c r="R100" i="6"/>
  <c r="K14" i="13"/>
  <c r="K15" i="13" s="1"/>
  <c r="I51" i="6"/>
  <c r="R124" i="6"/>
  <c r="I124" i="6"/>
  <c r="H124" i="6"/>
  <c r="K196" i="4"/>
  <c r="K197" i="4" s="1"/>
  <c r="K195" i="4"/>
  <c r="H59" i="19"/>
  <c r="K46" i="19"/>
  <c r="K47" i="19" s="1"/>
  <c r="K48" i="19" s="1"/>
  <c r="K34" i="12"/>
  <c r="K35" i="12" s="1"/>
  <c r="K36" i="12" s="1"/>
  <c r="H52" i="12"/>
  <c r="K41" i="29"/>
  <c r="K42" i="29" s="1"/>
  <c r="K43" i="29" s="1"/>
  <c r="H47" i="29"/>
  <c r="K68" i="25"/>
  <c r="K69" i="25" s="1"/>
  <c r="K70" i="25" s="1"/>
  <c r="H75" i="25"/>
  <c r="H61" i="25"/>
  <c r="K55" i="25"/>
  <c r="K56" i="25" s="1"/>
  <c r="K57" i="25" s="1"/>
  <c r="K22" i="19"/>
  <c r="K23" i="19" s="1"/>
  <c r="K24" i="19" s="1"/>
  <c r="H43" i="19"/>
  <c r="K26" i="16"/>
  <c r="K27" i="16" s="1"/>
  <c r="K28" i="16" s="1"/>
  <c r="H44" i="16"/>
  <c r="K112" i="13"/>
  <c r="K113" i="13"/>
  <c r="K114" i="13" s="1"/>
  <c r="H38" i="22"/>
  <c r="K8" i="22"/>
  <c r="K9" i="22" s="1"/>
  <c r="K10" i="22" s="1"/>
  <c r="H14" i="25"/>
  <c r="K7" i="25"/>
  <c r="K8" i="25" s="1"/>
  <c r="K9" i="25" s="1"/>
  <c r="H47" i="17"/>
  <c r="K29" i="17"/>
  <c r="K30" i="17" s="1"/>
  <c r="K31" i="17" s="1"/>
  <c r="I67" i="6"/>
  <c r="K67" i="6"/>
  <c r="L67" i="6" s="1"/>
  <c r="M67" i="6" s="1"/>
  <c r="H67" i="6"/>
  <c r="H69" i="6" s="1"/>
  <c r="R67" i="6"/>
  <c r="R69" i="6" s="1"/>
  <c r="H78" i="19"/>
  <c r="K62" i="19"/>
  <c r="K63" i="19" s="1"/>
  <c r="K64" i="19" s="1"/>
  <c r="H209" i="6"/>
  <c r="R209" i="6"/>
  <c r="I209" i="6"/>
  <c r="K8" i="12"/>
  <c r="K9" i="12" s="1"/>
  <c r="K10" i="12" s="1"/>
  <c r="I52" i="33"/>
  <c r="I53" i="33" s="1"/>
  <c r="I54" i="33" s="1"/>
  <c r="F59" i="33"/>
  <c r="K116" i="25"/>
  <c r="K117" i="25" s="1"/>
  <c r="K118" i="25" s="1"/>
  <c r="H124" i="25"/>
  <c r="H162" i="25"/>
  <c r="K154" i="25"/>
  <c r="K155" i="25" s="1"/>
  <c r="K156" i="25" s="1"/>
  <c r="R211" i="6"/>
  <c r="I211" i="6"/>
  <c r="H211" i="6"/>
  <c r="K13" i="13"/>
  <c r="R219" i="6"/>
  <c r="L219" i="6"/>
  <c r="M219" i="6" s="1"/>
  <c r="H219" i="6"/>
  <c r="I219" i="6"/>
  <c r="H166" i="6"/>
  <c r="R166" i="6"/>
  <c r="I166" i="6"/>
  <c r="K51" i="14"/>
  <c r="K52" i="14" s="1"/>
  <c r="D169" i="6"/>
  <c r="K50" i="14"/>
  <c r="K13" i="26"/>
  <c r="K14" i="26"/>
  <c r="K15" i="26" s="1"/>
  <c r="H131" i="4"/>
  <c r="H68" i="4"/>
  <c r="H70" i="4"/>
  <c r="K172" i="4"/>
  <c r="K173" i="4" s="1"/>
  <c r="K137" i="4"/>
  <c r="K138" i="4" s="1"/>
  <c r="K114" i="4"/>
  <c r="K115" i="4" s="1"/>
  <c r="Q141" i="6" l="1"/>
  <c r="C15" i="63"/>
  <c r="F13" i="63" s="1"/>
  <c r="F24" i="63" s="1"/>
  <c r="K142" i="6"/>
  <c r="L142" i="6" s="1"/>
  <c r="M142" i="6" s="1"/>
  <c r="R142" i="6"/>
  <c r="Q142" i="6"/>
  <c r="I142" i="6"/>
  <c r="H142" i="6"/>
  <c r="K370" i="6"/>
  <c r="L370" i="6" s="1"/>
  <c r="M370" i="6" s="1"/>
  <c r="Q370" i="6"/>
  <c r="L354" i="6"/>
  <c r="M354" i="6" s="1"/>
  <c r="Q354" i="6"/>
  <c r="K327" i="6"/>
  <c r="L327" i="6" s="1"/>
  <c r="M327" i="6" s="1"/>
  <c r="Q327" i="6"/>
  <c r="K330" i="6"/>
  <c r="L330" i="6" s="1"/>
  <c r="M330" i="6" s="1"/>
  <c r="Q330" i="6"/>
  <c r="K243" i="6"/>
  <c r="L243" i="6" s="1"/>
  <c r="M243" i="6" s="1"/>
  <c r="Q243" i="6"/>
  <c r="K244" i="6"/>
  <c r="L244" i="6" s="1"/>
  <c r="M244" i="6" s="1"/>
  <c r="Q244" i="6"/>
  <c r="K232" i="6"/>
  <c r="L232" i="6" s="1"/>
  <c r="M232" i="6" s="1"/>
  <c r="Q232" i="6"/>
  <c r="K236" i="6"/>
  <c r="L236" i="6" s="1"/>
  <c r="M236" i="6" s="1"/>
  <c r="Q236" i="6"/>
  <c r="K189" i="6"/>
  <c r="L189" i="6" s="1"/>
  <c r="M189" i="6" s="1"/>
  <c r="Q189" i="6"/>
  <c r="K169" i="6"/>
  <c r="L169" i="6" s="1"/>
  <c r="M169" i="6" s="1"/>
  <c r="Q169" i="6"/>
  <c r="K201" i="6"/>
  <c r="L201" i="6" s="1"/>
  <c r="M201" i="6" s="1"/>
  <c r="Q201" i="6"/>
  <c r="K191" i="6"/>
  <c r="L191" i="6" s="1"/>
  <c r="M191" i="6" s="1"/>
  <c r="Q191" i="6"/>
  <c r="K172" i="6"/>
  <c r="L172" i="6" s="1"/>
  <c r="M172" i="6" s="1"/>
  <c r="Q172" i="6"/>
  <c r="L122" i="6"/>
  <c r="M122" i="6" s="1"/>
  <c r="Q122" i="6"/>
  <c r="K16" i="21"/>
  <c r="K17" i="21" s="1"/>
  <c r="K15" i="21"/>
  <c r="I201" i="6"/>
  <c r="H201" i="6"/>
  <c r="R201" i="6"/>
  <c r="R176" i="6"/>
  <c r="H176" i="6"/>
  <c r="I176" i="6"/>
  <c r="K176" i="6"/>
  <c r="L176" i="6" s="1"/>
  <c r="M176" i="6" s="1"/>
  <c r="R210" i="6"/>
  <c r="K210" i="6"/>
  <c r="L210" i="6" s="1"/>
  <c r="M210" i="6" s="1"/>
  <c r="K160" i="6"/>
  <c r="L160" i="6" s="1"/>
  <c r="M160" i="6" s="1"/>
  <c r="R158" i="6"/>
  <c r="K158" i="6"/>
  <c r="L158" i="6" s="1"/>
  <c r="M158" i="6" s="1"/>
  <c r="K155" i="6"/>
  <c r="L155" i="6" s="1"/>
  <c r="M155" i="6" s="1"/>
  <c r="H158" i="6"/>
  <c r="H160" i="6"/>
  <c r="I160" i="6"/>
  <c r="H155" i="6"/>
  <c r="R160" i="6"/>
  <c r="I158" i="6"/>
  <c r="R18" i="6"/>
  <c r="K18" i="6"/>
  <c r="L18" i="6" s="1"/>
  <c r="M18" i="6" s="1"/>
  <c r="H18" i="6"/>
  <c r="I18" i="6"/>
  <c r="R155" i="6"/>
  <c r="I155" i="6"/>
  <c r="D157" i="6"/>
  <c r="Q157" i="6" s="1"/>
  <c r="H415" i="6"/>
  <c r="R415" i="6"/>
  <c r="R370" i="6"/>
  <c r="I370" i="6"/>
  <c r="H370" i="6"/>
  <c r="R122" i="6"/>
  <c r="I122" i="6"/>
  <c r="H210" i="6"/>
  <c r="L350" i="6"/>
  <c r="M350" i="6" s="1"/>
  <c r="I210" i="6"/>
  <c r="R354" i="6"/>
  <c r="R357" i="6" s="1"/>
  <c r="I354" i="6"/>
  <c r="H354" i="6"/>
  <c r="H357" i="6" s="1"/>
  <c r="R327" i="6"/>
  <c r="I327" i="6"/>
  <c r="H327" i="6"/>
  <c r="I330" i="6"/>
  <c r="H330" i="6"/>
  <c r="R330" i="6"/>
  <c r="H122" i="6"/>
  <c r="I236" i="6"/>
  <c r="R236" i="6"/>
  <c r="H236" i="6"/>
  <c r="H243" i="6"/>
  <c r="R243" i="6"/>
  <c r="I243" i="6"/>
  <c r="I244" i="6"/>
  <c r="R244" i="6"/>
  <c r="H244" i="6"/>
  <c r="R232" i="6"/>
  <c r="H232" i="6"/>
  <c r="I232" i="6"/>
  <c r="K13" i="31"/>
  <c r="K14" i="31"/>
  <c r="K15" i="31" s="1"/>
  <c r="K86" i="25"/>
  <c r="K87" i="25"/>
  <c r="K88" i="25" s="1"/>
  <c r="D194" i="6"/>
  <c r="K28" i="26"/>
  <c r="K29" i="26" s="1"/>
  <c r="K27" i="26"/>
  <c r="I189" i="6"/>
  <c r="H189" i="6"/>
  <c r="R189" i="6"/>
  <c r="I191" i="6"/>
  <c r="R191" i="6"/>
  <c r="H191" i="6"/>
  <c r="R172" i="6"/>
  <c r="H172" i="6"/>
  <c r="I172" i="6"/>
  <c r="D173" i="6"/>
  <c r="K97" i="14"/>
  <c r="K98" i="14" s="1"/>
  <c r="K96" i="14"/>
  <c r="D101" i="6"/>
  <c r="Q101" i="6" s="1"/>
  <c r="K80" i="12"/>
  <c r="K81" i="12"/>
  <c r="K82" i="12" s="1"/>
  <c r="R51" i="6"/>
  <c r="H51" i="6"/>
  <c r="K51" i="6"/>
  <c r="L51" i="6" s="1"/>
  <c r="M51" i="6" s="1"/>
  <c r="D99" i="6"/>
  <c r="Q99" i="6" s="1"/>
  <c r="K40" i="12"/>
  <c r="K41" i="12"/>
  <c r="K42" i="12" s="1"/>
  <c r="K53" i="19"/>
  <c r="K54" i="19" s="1"/>
  <c r="K52" i="19"/>
  <c r="D188" i="6"/>
  <c r="K13" i="25"/>
  <c r="K14" i="25"/>
  <c r="K15" i="25" s="1"/>
  <c r="I59" i="33"/>
  <c r="I60" i="33" s="1"/>
  <c r="I58" i="33"/>
  <c r="K14" i="12"/>
  <c r="D98" i="6"/>
  <c r="Q98" i="6" s="1"/>
  <c r="K15" i="12"/>
  <c r="K16" i="12" s="1"/>
  <c r="D134" i="6"/>
  <c r="Q134" i="6" s="1"/>
  <c r="K15" i="22"/>
  <c r="K16" i="22" s="1"/>
  <c r="K14" i="22"/>
  <c r="D192" i="6"/>
  <c r="K62" i="25"/>
  <c r="K63" i="25" s="1"/>
  <c r="K61" i="25"/>
  <c r="D200" i="6"/>
  <c r="K160" i="25"/>
  <c r="K161" i="25"/>
  <c r="K162" i="25" s="1"/>
  <c r="K32" i="16"/>
  <c r="K33" i="16"/>
  <c r="K34" i="16" s="1"/>
  <c r="K74" i="25"/>
  <c r="D193" i="6"/>
  <c r="K75" i="25"/>
  <c r="K76" i="25" s="1"/>
  <c r="R141" i="6"/>
  <c r="K141" i="6"/>
  <c r="L141" i="6" s="1"/>
  <c r="M141" i="6" s="1"/>
  <c r="I141" i="6"/>
  <c r="H141" i="6"/>
  <c r="D123" i="6"/>
  <c r="K35" i="17"/>
  <c r="K36" i="17"/>
  <c r="K37" i="17" s="1"/>
  <c r="D197" i="6"/>
  <c r="K122" i="25"/>
  <c r="K123" i="25"/>
  <c r="K124" i="25" s="1"/>
  <c r="D77" i="6"/>
  <c r="K68" i="19"/>
  <c r="K69" i="19"/>
  <c r="K70" i="19" s="1"/>
  <c r="H57" i="6"/>
  <c r="R57" i="6"/>
  <c r="K57" i="6"/>
  <c r="L57" i="6" s="1"/>
  <c r="M57" i="6" s="1"/>
  <c r="I57" i="6"/>
  <c r="D76" i="6"/>
  <c r="Q76" i="6" s="1"/>
  <c r="K29" i="19"/>
  <c r="K30" i="19" s="1"/>
  <c r="K28" i="19"/>
  <c r="D212" i="6"/>
  <c r="K48" i="29"/>
  <c r="K49" i="29" s="1"/>
  <c r="K47" i="29"/>
  <c r="F8" i="40"/>
  <c r="E93" i="33"/>
  <c r="F93" i="33" s="1"/>
  <c r="E83" i="33"/>
  <c r="F83" i="33" s="1"/>
  <c r="E87" i="33"/>
  <c r="F87" i="33" s="1"/>
  <c r="E92" i="33"/>
  <c r="F92" i="33" s="1"/>
  <c r="E86" i="33"/>
  <c r="F86" i="33" s="1"/>
  <c r="E91" i="33"/>
  <c r="F91" i="33" s="1"/>
  <c r="E90" i="33"/>
  <c r="F90" i="33" s="1"/>
  <c r="E96" i="33"/>
  <c r="F96" i="33" s="1"/>
  <c r="E89" i="33"/>
  <c r="F89" i="33" s="1"/>
  <c r="E95" i="33"/>
  <c r="F95" i="33" s="1"/>
  <c r="E94" i="33"/>
  <c r="F94" i="33" s="1"/>
  <c r="E88" i="33"/>
  <c r="F88" i="33" s="1"/>
  <c r="E84" i="33"/>
  <c r="F84" i="33" s="1"/>
  <c r="E85" i="33"/>
  <c r="F85" i="33" s="1"/>
  <c r="H169" i="6"/>
  <c r="R169" i="6"/>
  <c r="I169" i="6"/>
  <c r="D112" i="6"/>
  <c r="D107" i="6"/>
  <c r="D109" i="6"/>
  <c r="K109" i="6" s="1"/>
  <c r="K76" i="4"/>
  <c r="K77" i="4" s="1"/>
  <c r="K78" i="4" s="1"/>
  <c r="H91" i="4"/>
  <c r="H73" i="4"/>
  <c r="K56" i="4"/>
  <c r="K57" i="4" s="1"/>
  <c r="K58" i="4" s="1"/>
  <c r="D116" i="6" s="1"/>
  <c r="H53" i="4"/>
  <c r="K31" i="4"/>
  <c r="K32" i="4" s="1"/>
  <c r="K33" i="4" s="1"/>
  <c r="K177" i="4"/>
  <c r="K178" i="4"/>
  <c r="K179" i="4" s="1"/>
  <c r="K142" i="4"/>
  <c r="K143" i="4"/>
  <c r="K144" i="4" s="1"/>
  <c r="K119" i="4"/>
  <c r="K120" i="4"/>
  <c r="K121" i="4" s="1"/>
  <c r="Q77" i="6" l="1"/>
  <c r="C11" i="63"/>
  <c r="I21" i="63"/>
  <c r="I19" i="63"/>
  <c r="K212" i="6"/>
  <c r="L212" i="6" s="1"/>
  <c r="M212" i="6" s="1"/>
  <c r="Q212" i="6"/>
  <c r="K188" i="6"/>
  <c r="L188" i="6" s="1"/>
  <c r="M188" i="6" s="1"/>
  <c r="Q188" i="6"/>
  <c r="K194" i="6"/>
  <c r="L194" i="6" s="1"/>
  <c r="M194" i="6" s="1"/>
  <c r="Q194" i="6"/>
  <c r="K200" i="6"/>
  <c r="L200" i="6" s="1"/>
  <c r="M200" i="6" s="1"/>
  <c r="Q200" i="6"/>
  <c r="K193" i="6"/>
  <c r="L193" i="6" s="1"/>
  <c r="M193" i="6" s="1"/>
  <c r="Q193" i="6"/>
  <c r="K192" i="6"/>
  <c r="L192" i="6" s="1"/>
  <c r="M192" i="6" s="1"/>
  <c r="Q192" i="6"/>
  <c r="K173" i="6"/>
  <c r="L173" i="6" s="1"/>
  <c r="M173" i="6" s="1"/>
  <c r="Q173" i="6"/>
  <c r="K197" i="6"/>
  <c r="L197" i="6" s="1"/>
  <c r="M197" i="6" s="1"/>
  <c r="Q197" i="6"/>
  <c r="Q123" i="6"/>
  <c r="K123" i="6"/>
  <c r="L123" i="6" s="1"/>
  <c r="M123" i="6" s="1"/>
  <c r="K116" i="6"/>
  <c r="L116" i="6" s="1"/>
  <c r="M116" i="6" s="1"/>
  <c r="H116" i="6"/>
  <c r="R116" i="6"/>
  <c r="I116" i="6"/>
  <c r="Q116" i="6"/>
  <c r="Q112" i="6"/>
  <c r="K112" i="6"/>
  <c r="Q107" i="6"/>
  <c r="K107" i="6"/>
  <c r="L107" i="6" s="1"/>
  <c r="M107" i="6" s="1"/>
  <c r="I109" i="6"/>
  <c r="Q109" i="6"/>
  <c r="K157" i="6"/>
  <c r="L157" i="6" s="1"/>
  <c r="M157" i="6" s="1"/>
  <c r="H157" i="6"/>
  <c r="H161" i="6" s="1"/>
  <c r="R157" i="6"/>
  <c r="R161" i="6" s="1"/>
  <c r="I157" i="6"/>
  <c r="R248" i="6"/>
  <c r="R238" i="6"/>
  <c r="H248" i="6"/>
  <c r="H238" i="6"/>
  <c r="H112" i="14"/>
  <c r="H194" i="6"/>
  <c r="R194" i="6"/>
  <c r="I194" i="6"/>
  <c r="I173" i="6"/>
  <c r="R173" i="6"/>
  <c r="H173" i="6"/>
  <c r="K101" i="6"/>
  <c r="L101" i="6" s="1"/>
  <c r="M101" i="6" s="1"/>
  <c r="R101" i="6"/>
  <c r="I101" i="6"/>
  <c r="H101" i="6"/>
  <c r="G83" i="27"/>
  <c r="J81" i="27"/>
  <c r="J82" i="27" s="1"/>
  <c r="J83" i="27" s="1"/>
  <c r="D13" i="6" s="1"/>
  <c r="Q13" i="6" s="1"/>
  <c r="R99" i="6"/>
  <c r="I99" i="6"/>
  <c r="K99" i="6"/>
  <c r="L99" i="6" s="1"/>
  <c r="M99" i="6" s="1"/>
  <c r="H99" i="6"/>
  <c r="H134" i="6"/>
  <c r="H136" i="6" s="1"/>
  <c r="R134" i="6"/>
  <c r="R136" i="6" s="1"/>
  <c r="K134" i="6"/>
  <c r="L134" i="6" s="1"/>
  <c r="M134" i="6" s="1"/>
  <c r="I134" i="6"/>
  <c r="R76" i="6"/>
  <c r="K76" i="6"/>
  <c r="L76" i="6" s="1"/>
  <c r="M76" i="6" s="1"/>
  <c r="H76" i="6"/>
  <c r="I76" i="6"/>
  <c r="H223" i="6"/>
  <c r="I223" i="6"/>
  <c r="L223" i="6"/>
  <c r="M223" i="6" s="1"/>
  <c r="R223" i="6"/>
  <c r="R123" i="6"/>
  <c r="I123" i="6"/>
  <c r="H123" i="6"/>
  <c r="R98" i="6"/>
  <c r="H98" i="6"/>
  <c r="K98" i="6"/>
  <c r="L98" i="6" s="1"/>
  <c r="M98" i="6" s="1"/>
  <c r="I98" i="6"/>
  <c r="R193" i="6"/>
  <c r="H193" i="6"/>
  <c r="I193" i="6"/>
  <c r="K130" i="13"/>
  <c r="K131" i="13" s="1"/>
  <c r="K132" i="13" s="1"/>
  <c r="D52" i="6" s="1"/>
  <c r="Q52" i="6" s="1"/>
  <c r="H200" i="6"/>
  <c r="R200" i="6"/>
  <c r="I200" i="6"/>
  <c r="K77" i="6"/>
  <c r="L77" i="6" s="1"/>
  <c r="M77" i="6" s="1"/>
  <c r="I77" i="6"/>
  <c r="R77" i="6"/>
  <c r="H77" i="6"/>
  <c r="H188" i="6"/>
  <c r="R188" i="6"/>
  <c r="I188" i="6"/>
  <c r="H212" i="6"/>
  <c r="H214" i="6" s="1"/>
  <c r="I212" i="6"/>
  <c r="R212" i="6"/>
  <c r="R214" i="6" s="1"/>
  <c r="I192" i="6"/>
  <c r="R192" i="6"/>
  <c r="H192" i="6"/>
  <c r="H197" i="6"/>
  <c r="I197" i="6"/>
  <c r="R197" i="6"/>
  <c r="I81" i="33"/>
  <c r="I82" i="33" s="1"/>
  <c r="I83" i="33" s="1"/>
  <c r="F97" i="33"/>
  <c r="F9" i="40"/>
  <c r="I7" i="40"/>
  <c r="I9" i="40" s="1"/>
  <c r="D253" i="6" s="1"/>
  <c r="L109" i="6"/>
  <c r="M109" i="6" s="1"/>
  <c r="H109" i="6"/>
  <c r="R109" i="6"/>
  <c r="I107" i="6"/>
  <c r="R107" i="6"/>
  <c r="H107" i="6"/>
  <c r="K83" i="4"/>
  <c r="K84" i="4" s="1"/>
  <c r="D115" i="6"/>
  <c r="K37" i="4"/>
  <c r="D111" i="6"/>
  <c r="K82" i="4"/>
  <c r="K63" i="4"/>
  <c r="K64" i="4" s="1"/>
  <c r="K62" i="4"/>
  <c r="K38" i="4"/>
  <c r="K39" i="4" s="1"/>
  <c r="F112" i="6"/>
  <c r="G112" i="6" s="1"/>
  <c r="I25" i="63" l="1"/>
  <c r="I26" i="63"/>
  <c r="I27" i="63" s="1"/>
  <c r="H103" i="6"/>
  <c r="K253" i="6"/>
  <c r="L253" i="6" s="1"/>
  <c r="M253" i="6" s="1"/>
  <c r="Q253" i="6"/>
  <c r="Q111" i="6"/>
  <c r="K111" i="6"/>
  <c r="L111" i="6" s="1"/>
  <c r="M111" i="6" s="1"/>
  <c r="Q115" i="6"/>
  <c r="K115" i="6"/>
  <c r="R24" i="6"/>
  <c r="K24" i="6"/>
  <c r="L24" i="6" s="1"/>
  <c r="M24" i="6" s="1"/>
  <c r="H24" i="6"/>
  <c r="I24" i="6"/>
  <c r="R253" i="6"/>
  <c r="R262" i="6" s="1"/>
  <c r="H253" i="6"/>
  <c r="H262" i="6" s="1"/>
  <c r="I253" i="6"/>
  <c r="K104" i="14"/>
  <c r="K105" i="14" s="1"/>
  <c r="K106" i="14" s="1"/>
  <c r="H113" i="14"/>
  <c r="K141" i="25"/>
  <c r="K142" i="25" s="1"/>
  <c r="K143" i="25" s="1"/>
  <c r="H148" i="25"/>
  <c r="R103" i="6"/>
  <c r="J87" i="27"/>
  <c r="J88" i="27"/>
  <c r="J89" i="27" s="1"/>
  <c r="K136" i="13"/>
  <c r="K137" i="13"/>
  <c r="K138" i="13" s="1"/>
  <c r="I88" i="33"/>
  <c r="I89" i="33" s="1"/>
  <c r="I87" i="33"/>
  <c r="I14" i="40"/>
  <c r="I15" i="40" s="1"/>
  <c r="I13" i="40"/>
  <c r="E42" i="33"/>
  <c r="F42" i="33" s="1"/>
  <c r="R115" i="6"/>
  <c r="H115" i="6"/>
  <c r="I115" i="6"/>
  <c r="I111" i="6"/>
  <c r="R111" i="6"/>
  <c r="H111" i="6"/>
  <c r="F113" i="6"/>
  <c r="K111" i="14" l="1"/>
  <c r="K112" i="14" s="1"/>
  <c r="K110" i="14"/>
  <c r="D174" i="6"/>
  <c r="D199" i="6"/>
  <c r="K148" i="25"/>
  <c r="K149" i="25" s="1"/>
  <c r="K147" i="25"/>
  <c r="H52" i="6"/>
  <c r="K52" i="6"/>
  <c r="L52" i="6" s="1"/>
  <c r="M52" i="6" s="1"/>
  <c r="R52" i="6"/>
  <c r="I52" i="6"/>
  <c r="I41" i="33"/>
  <c r="I42" i="33" s="1"/>
  <c r="I43" i="33" s="1"/>
  <c r="F49" i="33"/>
  <c r="H40" i="14"/>
  <c r="K33" i="14"/>
  <c r="K34" i="14" s="1"/>
  <c r="K35" i="14" s="1"/>
  <c r="L115" i="6"/>
  <c r="M115" i="6" s="1"/>
  <c r="K11" i="4"/>
  <c r="K12" i="4" s="1"/>
  <c r="K199" i="6" l="1"/>
  <c r="L199" i="6" s="1"/>
  <c r="M199" i="6" s="1"/>
  <c r="Q199" i="6"/>
  <c r="K174" i="6"/>
  <c r="L174" i="6" s="1"/>
  <c r="M174" i="6" s="1"/>
  <c r="Q174" i="6"/>
  <c r="K180" i="25"/>
  <c r="K181" i="25" s="1"/>
  <c r="K182" i="25" s="1"/>
  <c r="H187" i="25"/>
  <c r="F8" i="48"/>
  <c r="F9" i="48" s="1"/>
  <c r="F83" i="48"/>
  <c r="R174" i="6"/>
  <c r="H174" i="6"/>
  <c r="I174" i="6"/>
  <c r="I199" i="6"/>
  <c r="R199" i="6"/>
  <c r="H199" i="6"/>
  <c r="D168" i="6"/>
  <c r="K40" i="14"/>
  <c r="K41" i="14" s="1"/>
  <c r="K39" i="14"/>
  <c r="I47" i="33"/>
  <c r="I48" i="33"/>
  <c r="I49" i="33" s="1"/>
  <c r="G113" i="6"/>
  <c r="H28" i="4"/>
  <c r="K7" i="4"/>
  <c r="K8" i="4" s="1"/>
  <c r="K168" i="6" l="1"/>
  <c r="L168" i="6" s="1"/>
  <c r="M168" i="6" s="1"/>
  <c r="Q168" i="6"/>
  <c r="D202" i="6"/>
  <c r="Q202" i="6" s="1"/>
  <c r="K186" i="25"/>
  <c r="K187" i="25"/>
  <c r="K188" i="25" s="1"/>
  <c r="I7" i="48"/>
  <c r="I9" i="48" s="1"/>
  <c r="D362" i="6" s="1"/>
  <c r="I82" i="48"/>
  <c r="I84" i="48" s="1"/>
  <c r="F84" i="48"/>
  <c r="H93" i="6"/>
  <c r="R93" i="6"/>
  <c r="G68" i="27"/>
  <c r="H222" i="6"/>
  <c r="R222" i="6"/>
  <c r="L222" i="6"/>
  <c r="M222" i="6" s="1"/>
  <c r="I222" i="6"/>
  <c r="I168" i="6"/>
  <c r="H168" i="6"/>
  <c r="R168" i="6"/>
  <c r="K9" i="4"/>
  <c r="K362" i="6" l="1"/>
  <c r="L362" i="6" s="1"/>
  <c r="M362" i="6" s="1"/>
  <c r="Q362" i="6"/>
  <c r="R202" i="6"/>
  <c r="K202" i="6"/>
  <c r="H202" i="6"/>
  <c r="I202" i="6"/>
  <c r="J67" i="27"/>
  <c r="J68" i="27" s="1"/>
  <c r="J69" i="27" s="1"/>
  <c r="D12" i="6" s="1"/>
  <c r="Q12" i="6" s="1"/>
  <c r="G69" i="27"/>
  <c r="I13" i="48"/>
  <c r="I14" i="48"/>
  <c r="I15" i="48" s="1"/>
  <c r="D369" i="6"/>
  <c r="I89" i="48"/>
  <c r="I90" i="48" s="1"/>
  <c r="I88" i="48"/>
  <c r="R362" i="6"/>
  <c r="I362" i="6"/>
  <c r="H362" i="6"/>
  <c r="F35" i="45"/>
  <c r="F71" i="45"/>
  <c r="D113" i="6"/>
  <c r="K113" i="6" s="1"/>
  <c r="I112" i="6"/>
  <c r="H112" i="6"/>
  <c r="R112" i="6"/>
  <c r="L112" i="6"/>
  <c r="M112" i="6" s="1"/>
  <c r="K13" i="4"/>
  <c r="K14" i="4"/>
  <c r="K15" i="4" s="1"/>
  <c r="K369" i="6" l="1"/>
  <c r="L369" i="6" s="1"/>
  <c r="M369" i="6" s="1"/>
  <c r="Q369" i="6"/>
  <c r="I113" i="6"/>
  <c r="Q113" i="6"/>
  <c r="K12" i="6"/>
  <c r="L12" i="6" s="1"/>
  <c r="M12" i="6" s="1"/>
  <c r="R12" i="6"/>
  <c r="H12" i="6"/>
  <c r="I12" i="6"/>
  <c r="L202" i="6"/>
  <c r="M202" i="6" s="1"/>
  <c r="J73" i="27"/>
  <c r="J74" i="27"/>
  <c r="J75" i="27" s="1"/>
  <c r="R369" i="6"/>
  <c r="H369" i="6"/>
  <c r="I369" i="6"/>
  <c r="I70" i="45"/>
  <c r="I72" i="45" s="1"/>
  <c r="F72" i="45"/>
  <c r="I34" i="45"/>
  <c r="I36" i="45" s="1"/>
  <c r="F36" i="45"/>
  <c r="H71" i="14"/>
  <c r="K67" i="14"/>
  <c r="K68" i="14" s="1"/>
  <c r="K69" i="14" s="1"/>
  <c r="H126" i="14"/>
  <c r="K117" i="14"/>
  <c r="K118" i="14" s="1"/>
  <c r="K119" i="14" s="1"/>
  <c r="K94" i="4"/>
  <c r="K95" i="4" s="1"/>
  <c r="K96" i="4" s="1"/>
  <c r="H110" i="4"/>
  <c r="H168" i="4"/>
  <c r="K153" i="4"/>
  <c r="K154" i="4" s="1"/>
  <c r="K155" i="4" s="1"/>
  <c r="R113" i="6"/>
  <c r="L113" i="6"/>
  <c r="M113" i="6" s="1"/>
  <c r="H113" i="6"/>
  <c r="R13" i="6" l="1"/>
  <c r="I13" i="6"/>
  <c r="K13" i="6"/>
  <c r="L13" i="6" s="1"/>
  <c r="M13" i="6" s="1"/>
  <c r="H13" i="6"/>
  <c r="I40" i="45"/>
  <c r="D329" i="6"/>
  <c r="I41" i="45"/>
  <c r="I42" i="45" s="1"/>
  <c r="I76" i="45"/>
  <c r="D332" i="6"/>
  <c r="I77" i="45"/>
  <c r="I78" i="45" s="1"/>
  <c r="D175" i="6"/>
  <c r="K123" i="14"/>
  <c r="K124" i="14"/>
  <c r="K125" i="14" s="1"/>
  <c r="D171" i="6"/>
  <c r="K73" i="14"/>
  <c r="K74" i="14"/>
  <c r="K75" i="14" s="1"/>
  <c r="K160" i="4"/>
  <c r="K161" i="4" s="1"/>
  <c r="D108" i="6"/>
  <c r="K159" i="4"/>
  <c r="K100" i="4"/>
  <c r="D114" i="6"/>
  <c r="K101" i="4"/>
  <c r="K102" i="4" s="1"/>
  <c r="K332" i="6" l="1"/>
  <c r="L332" i="6" s="1"/>
  <c r="M332" i="6" s="1"/>
  <c r="Q332" i="6"/>
  <c r="K329" i="6"/>
  <c r="L329" i="6" s="1"/>
  <c r="M329" i="6" s="1"/>
  <c r="Q329" i="6"/>
  <c r="K175" i="6"/>
  <c r="L175" i="6" s="1"/>
  <c r="M175" i="6" s="1"/>
  <c r="Q175" i="6"/>
  <c r="K171" i="6"/>
  <c r="L171" i="6" s="1"/>
  <c r="M171" i="6" s="1"/>
  <c r="Q171" i="6"/>
  <c r="Q114" i="6"/>
  <c r="K114" i="6"/>
  <c r="L114" i="6" s="1"/>
  <c r="M114" i="6" s="1"/>
  <c r="Q108" i="6"/>
  <c r="K108" i="6"/>
  <c r="L108" i="6" s="1"/>
  <c r="M108" i="6" s="1"/>
  <c r="F146" i="48"/>
  <c r="F70" i="48"/>
  <c r="R329" i="6"/>
  <c r="I329" i="6"/>
  <c r="H329" i="6"/>
  <c r="R332" i="6"/>
  <c r="I332" i="6"/>
  <c r="H332" i="6"/>
  <c r="R171" i="6"/>
  <c r="H171" i="6"/>
  <c r="I171" i="6"/>
  <c r="R175" i="6"/>
  <c r="I175" i="6"/>
  <c r="H175" i="6"/>
  <c r="H114" i="6"/>
  <c r="R114" i="6"/>
  <c r="I114" i="6"/>
  <c r="E30" i="33"/>
  <c r="F30" i="33" s="1"/>
  <c r="E23" i="33"/>
  <c r="F23" i="33" s="1"/>
  <c r="I108" i="6"/>
  <c r="R108" i="6"/>
  <c r="H108" i="6"/>
  <c r="R205" i="6" l="1"/>
  <c r="H205" i="6"/>
  <c r="H118" i="6"/>
  <c r="F71" i="48"/>
  <c r="I69" i="48"/>
  <c r="I71" i="48" s="1"/>
  <c r="I145" i="48"/>
  <c r="I147" i="48" s="1"/>
  <c r="D368" i="6" s="1"/>
  <c r="F147" i="48"/>
  <c r="H333" i="6"/>
  <c r="R333" i="6"/>
  <c r="R118" i="6"/>
  <c r="I29" i="33"/>
  <c r="I30" i="33" s="1"/>
  <c r="I31" i="33" s="1"/>
  <c r="F36" i="33"/>
  <c r="I18" i="33"/>
  <c r="I19" i="33" s="1"/>
  <c r="I20" i="33" s="1"/>
  <c r="F25" i="33"/>
  <c r="R368" i="6" l="1"/>
  <c r="K368" i="6"/>
  <c r="Q368" i="6"/>
  <c r="I368" i="6"/>
  <c r="H368" i="6"/>
  <c r="I151" i="48"/>
  <c r="I152" i="48"/>
  <c r="I153" i="48" s="1"/>
  <c r="D367" i="6"/>
  <c r="I75" i="48"/>
  <c r="I76" i="48"/>
  <c r="I77" i="48" s="1"/>
  <c r="I25" i="33"/>
  <c r="I26" i="33" s="1"/>
  <c r="I24" i="33"/>
  <c r="I35" i="33"/>
  <c r="I36" i="33"/>
  <c r="I37" i="33" s="1"/>
  <c r="L368" i="6" l="1"/>
  <c r="M368" i="6" s="1"/>
  <c r="K367" i="6"/>
  <c r="L367" i="6" s="1"/>
  <c r="M367" i="6" s="1"/>
  <c r="Q367" i="6"/>
  <c r="R367" i="6"/>
  <c r="R374" i="6" s="1"/>
  <c r="I367" i="6"/>
  <c r="H367" i="6"/>
  <c r="H374" i="6" s="1"/>
  <c r="L220" i="6"/>
  <c r="M220" i="6" s="1"/>
  <c r="H220" i="6"/>
  <c r="I220" i="6"/>
  <c r="R220" i="6"/>
  <c r="H29" i="21"/>
  <c r="K21" i="21" s="1"/>
  <c r="K22" i="21" s="1"/>
  <c r="K23" i="21" s="1"/>
  <c r="D140" i="6" s="1"/>
  <c r="H89" i="13"/>
  <c r="K83" i="13"/>
  <c r="K84" i="13" s="1"/>
  <c r="K85" i="13" s="1"/>
  <c r="Q140" i="6" l="1"/>
  <c r="C14" i="63"/>
  <c r="K27" i="21"/>
  <c r="K28" i="21"/>
  <c r="K29" i="21" s="1"/>
  <c r="D58" i="6"/>
  <c r="K90" i="13"/>
  <c r="K91" i="13" s="1"/>
  <c r="K89" i="13"/>
  <c r="H140" i="6"/>
  <c r="H143" i="6" s="1"/>
  <c r="R140" i="6"/>
  <c r="R143" i="6" s="1"/>
  <c r="K140" i="6"/>
  <c r="L140" i="6" s="1"/>
  <c r="M140" i="6" s="1"/>
  <c r="I140" i="6"/>
  <c r="Q58" i="6" l="1"/>
  <c r="C4" i="63"/>
  <c r="R58" i="6"/>
  <c r="H58" i="6"/>
  <c r="K58" i="6"/>
  <c r="L58" i="6" s="1"/>
  <c r="M58" i="6" s="1"/>
  <c r="I58" i="6"/>
  <c r="K67" i="17" l="1"/>
  <c r="K68" i="17" s="1"/>
  <c r="K69" i="17" s="1"/>
  <c r="H72" i="17"/>
  <c r="H23" i="16"/>
  <c r="K8" i="16"/>
  <c r="K9" i="16" s="1"/>
  <c r="K10" i="16" s="1"/>
  <c r="H20" i="19"/>
  <c r="K7" i="19"/>
  <c r="K8" i="19" s="1"/>
  <c r="K9" i="19" s="1"/>
  <c r="H28" i="32"/>
  <c r="H30" i="32" s="1"/>
  <c r="D221" i="6" s="1"/>
  <c r="E30" i="32"/>
  <c r="J159" i="27"/>
  <c r="G161" i="27"/>
  <c r="K221" i="6" l="1"/>
  <c r="L221" i="6" s="1"/>
  <c r="M221" i="6" s="1"/>
  <c r="Q221" i="6"/>
  <c r="J160" i="27"/>
  <c r="J161" i="27" s="1"/>
  <c r="D19" i="6" s="1"/>
  <c r="Q19" i="6" s="1"/>
  <c r="I221" i="6"/>
  <c r="H221" i="6"/>
  <c r="H227" i="6" s="1"/>
  <c r="R221" i="6"/>
  <c r="R227" i="6" s="1"/>
  <c r="D125" i="6"/>
  <c r="K74" i="17"/>
  <c r="K75" i="17" s="1"/>
  <c r="K73" i="17"/>
  <c r="H79" i="13"/>
  <c r="K70" i="13"/>
  <c r="K71" i="13" s="1"/>
  <c r="K72" i="13" s="1"/>
  <c r="D55" i="6" s="1"/>
  <c r="Q55" i="6" s="1"/>
  <c r="K15" i="16"/>
  <c r="K16" i="16" s="1"/>
  <c r="K14" i="16"/>
  <c r="H127" i="13"/>
  <c r="K118" i="13"/>
  <c r="K119" i="13" s="1"/>
  <c r="K120" i="13" s="1"/>
  <c r="D53" i="6" s="1"/>
  <c r="Q53" i="6" s="1"/>
  <c r="H34" i="32"/>
  <c r="H35" i="32"/>
  <c r="H36" i="32" s="1"/>
  <c r="D75" i="6"/>
  <c r="Q75" i="6" s="1"/>
  <c r="K14" i="19"/>
  <c r="K15" i="19" s="1"/>
  <c r="K13" i="19"/>
  <c r="K19" i="36"/>
  <c r="K20" i="36" s="1"/>
  <c r="K21" i="36" s="1"/>
  <c r="H27" i="36"/>
  <c r="H37" i="36"/>
  <c r="K31" i="36"/>
  <c r="K32" i="36" s="1"/>
  <c r="K33" i="36" s="1"/>
  <c r="H15" i="36"/>
  <c r="K7" i="36"/>
  <c r="K8" i="36" s="1"/>
  <c r="K9" i="36" s="1"/>
  <c r="R433" i="6" l="1"/>
  <c r="K433" i="6"/>
  <c r="I433" i="6"/>
  <c r="H433" i="6"/>
  <c r="H439" i="6" s="1"/>
  <c r="Q125" i="6"/>
  <c r="K125" i="6"/>
  <c r="L125" i="6" s="1"/>
  <c r="M125" i="6" s="1"/>
  <c r="K19" i="6"/>
  <c r="L19" i="6" s="1"/>
  <c r="M19" i="6" s="1"/>
  <c r="R19" i="6"/>
  <c r="H19" i="6"/>
  <c r="I19" i="6"/>
  <c r="J166" i="27"/>
  <c r="J167" i="27" s="1"/>
  <c r="J165" i="27"/>
  <c r="R125" i="6"/>
  <c r="R129" i="6" s="1"/>
  <c r="H125" i="6"/>
  <c r="H129" i="6" s="1"/>
  <c r="I125" i="6"/>
  <c r="K76" i="13"/>
  <c r="K77" i="13"/>
  <c r="K78" i="13" s="1"/>
  <c r="K125" i="13"/>
  <c r="K126" i="13" s="1"/>
  <c r="K124" i="13"/>
  <c r="K25" i="36"/>
  <c r="D148" i="6"/>
  <c r="Q148" i="6" s="1"/>
  <c r="K26" i="36"/>
  <c r="K27" i="36" s="1"/>
  <c r="K14" i="36"/>
  <c r="K15" i="36" s="1"/>
  <c r="K13" i="36"/>
  <c r="D147" i="6"/>
  <c r="Q147" i="6" s="1"/>
  <c r="R75" i="6"/>
  <c r="R82" i="6" s="1"/>
  <c r="H75" i="6"/>
  <c r="H82" i="6" s="1"/>
  <c r="K75" i="6"/>
  <c r="L75" i="6" s="1"/>
  <c r="M75" i="6" s="1"/>
  <c r="I75" i="6"/>
  <c r="K37" i="36"/>
  <c r="K38" i="36"/>
  <c r="K39" i="36" s="1"/>
  <c r="D149" i="6"/>
  <c r="Q149" i="6" s="1"/>
  <c r="L433" i="6" l="1"/>
  <c r="M433" i="6" s="1"/>
  <c r="K23" i="6"/>
  <c r="R23" i="6"/>
  <c r="R47" i="6" s="1"/>
  <c r="H23" i="6"/>
  <c r="H47" i="6" s="1"/>
  <c r="I23" i="6"/>
  <c r="H55" i="6"/>
  <c r="R55" i="6"/>
  <c r="K55" i="6"/>
  <c r="L55" i="6" s="1"/>
  <c r="M55" i="6" s="1"/>
  <c r="I55" i="6"/>
  <c r="K147" i="6"/>
  <c r="L147" i="6" s="1"/>
  <c r="M147" i="6" s="1"/>
  <c r="I147" i="6"/>
  <c r="H147" i="6"/>
  <c r="R147" i="6"/>
  <c r="R149" i="6"/>
  <c r="K149" i="6"/>
  <c r="L149" i="6" s="1"/>
  <c r="M149" i="6" s="1"/>
  <c r="I149" i="6"/>
  <c r="H149" i="6"/>
  <c r="R148" i="6"/>
  <c r="K148" i="6"/>
  <c r="L148" i="6" s="1"/>
  <c r="M148" i="6" s="1"/>
  <c r="H148" i="6"/>
  <c r="I148" i="6"/>
  <c r="I53" i="6"/>
  <c r="R53" i="6"/>
  <c r="K53" i="6"/>
  <c r="L53" i="6" s="1"/>
  <c r="M53" i="6" s="1"/>
  <c r="H53" i="6"/>
  <c r="R439" i="6" l="1"/>
  <c r="L23" i="6"/>
  <c r="M23" i="6" s="1"/>
  <c r="R150" i="6"/>
  <c r="H150" i="6"/>
  <c r="K54" i="13" l="1"/>
  <c r="H66" i="13"/>
  <c r="K55" i="13" l="1"/>
  <c r="K56" i="13" s="1"/>
  <c r="K61" i="13" l="1"/>
  <c r="K62" i="13" s="1"/>
  <c r="K60" i="13"/>
  <c r="D56" i="6"/>
  <c r="Q56" i="6" s="1"/>
  <c r="I56" i="6" l="1"/>
  <c r="R56" i="6"/>
  <c r="R62" i="6" s="1"/>
  <c r="H56" i="6"/>
  <c r="H62" i="6" s="1"/>
  <c r="K56" i="6"/>
  <c r="L56" i="6" l="1"/>
  <c r="M56" i="6" s="1"/>
  <c r="H29" i="14"/>
  <c r="K22" i="14" l="1"/>
  <c r="K23" i="14" l="1"/>
  <c r="K24" i="14" s="1"/>
  <c r="K28" i="14" l="1"/>
  <c r="K29" i="14"/>
  <c r="K30" i="14" s="1"/>
  <c r="D167" i="6"/>
  <c r="Q167" i="6" s="1"/>
  <c r="I167" i="6" l="1"/>
  <c r="H167" i="6"/>
  <c r="H182" i="6" s="1"/>
  <c r="K167" i="6"/>
  <c r="R167" i="6"/>
  <c r="R182" i="6" s="1"/>
  <c r="L167" i="6" l="1"/>
  <c r="M167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</author>
  </authors>
  <commentList>
    <comment ref="B24" authorId="0" shapeId="0" xr:uid="{0865AB32-8318-4ECD-BEB7-059B05468F24}">
      <text>
        <r>
          <rPr>
            <b/>
            <sz val="9"/>
            <color indexed="81"/>
            <rFont val="Tahoma"/>
            <family val="2"/>
          </rPr>
          <t>OS:</t>
        </r>
        <r>
          <rPr>
            <sz val="9"/>
            <color indexed="81"/>
            <rFont val="Tahoma"/>
            <family val="2"/>
          </rPr>
          <t xml:space="preserve">
Porcion de 3und</t>
        </r>
      </text>
    </comment>
    <comment ref="B52" authorId="0" shapeId="0" xr:uid="{2BE2854D-F67C-4C41-AB85-F32AAB7CC593}">
      <text>
        <r>
          <rPr>
            <b/>
            <sz val="9"/>
            <color indexed="81"/>
            <rFont val="Tahoma"/>
            <family val="2"/>
          </rPr>
          <t>OS:</t>
        </r>
        <r>
          <rPr>
            <sz val="9"/>
            <color indexed="81"/>
            <rFont val="Tahoma"/>
            <family val="2"/>
          </rPr>
          <t xml:space="preserve">
Modificar tartar, por tartar de atun</t>
        </r>
      </text>
    </comment>
    <comment ref="B87" authorId="0" shapeId="0" xr:uid="{7F518434-DC7D-4993-9D78-3DEAAA903CED}">
      <text>
        <r>
          <rPr>
            <b/>
            <sz val="9"/>
            <color indexed="81"/>
            <rFont val="Tahoma"/>
            <family val="2"/>
          </rPr>
          <t>OS:</t>
        </r>
        <r>
          <rPr>
            <sz val="9"/>
            <color indexed="81"/>
            <rFont val="Tahoma"/>
            <family val="2"/>
          </rPr>
          <t xml:space="preserve">
Pnedientes Camaron y atun para la nueva carta</t>
        </r>
      </text>
    </comment>
    <comment ref="B110" authorId="0" shapeId="0" xr:uid="{EAF9844E-B881-4BB4-9120-557CA9FD352E}">
      <text>
        <r>
          <rPr>
            <b/>
            <sz val="9"/>
            <color indexed="81"/>
            <rFont val="Tahoma"/>
            <family val="2"/>
          </rPr>
          <t>OS:</t>
        </r>
        <r>
          <rPr>
            <sz val="9"/>
            <color indexed="81"/>
            <rFont val="Tahoma"/>
            <family val="2"/>
          </rPr>
          <t xml:space="preserve">
Pendiente revisar el rendimiento de la salsa de chancho</t>
        </r>
      </text>
    </comment>
    <comment ref="B114" authorId="0" shapeId="0" xr:uid="{E8AA3182-6AF7-4DC0-9965-43AE9D2304B4}">
      <text>
        <r>
          <rPr>
            <b/>
            <sz val="9"/>
            <color indexed="81"/>
            <rFont val="Tahoma"/>
            <family val="2"/>
          </rPr>
          <t>OS:</t>
        </r>
        <r>
          <rPr>
            <sz val="9"/>
            <color indexed="81"/>
            <rFont val="Tahoma"/>
            <family val="2"/>
          </rPr>
          <t xml:space="preserve">
MIXTO
Pollo y Solomito
Mariscos</t>
        </r>
      </text>
    </comment>
    <comment ref="B125" authorId="0" shapeId="0" xr:uid="{205A9CFE-27BC-46DA-92D7-77154FC04EB9}">
      <text>
        <r>
          <rPr>
            <b/>
            <sz val="9"/>
            <color indexed="81"/>
            <rFont val="Tahoma"/>
            <family val="2"/>
          </rPr>
          <t>OS:</t>
        </r>
        <r>
          <rPr>
            <sz val="9"/>
            <color indexed="81"/>
            <rFont val="Tahoma"/>
            <family val="2"/>
          </rPr>
          <t xml:space="preserve">
REVISAR RECETA BASE COSTILLA</t>
        </r>
      </text>
    </comment>
    <comment ref="B140" authorId="0" shapeId="0" xr:uid="{A97896F9-96E4-473D-8FE7-E8145D988599}">
      <text>
        <r>
          <rPr>
            <b/>
            <sz val="9"/>
            <color indexed="81"/>
            <rFont val="Tahoma"/>
            <family val="2"/>
          </rPr>
          <t>OS:</t>
        </r>
        <r>
          <rPr>
            <sz val="9"/>
            <color indexed="81"/>
            <rFont val="Tahoma"/>
            <family val="2"/>
          </rPr>
          <t xml:space="preserve">
Pendiente revisar helado
</t>
        </r>
      </text>
    </comment>
    <comment ref="B144" authorId="0" shapeId="0" xr:uid="{FA254C9B-3D0A-46F6-B00B-DF2873E171B8}">
      <text>
        <r>
          <rPr>
            <b/>
            <sz val="9"/>
            <color indexed="81"/>
            <rFont val="Tahoma"/>
            <family val="2"/>
          </rPr>
          <t>OS:</t>
        </r>
        <r>
          <rPr>
            <sz val="9"/>
            <color indexed="81"/>
            <rFont val="Tahoma"/>
            <family val="2"/>
          </rPr>
          <t xml:space="preserve">
Pendiente 
Torta de chocolate
Crema volteada
Postre de Camote</t>
        </r>
      </text>
    </comment>
    <comment ref="B174" authorId="0" shapeId="0" xr:uid="{E48544F0-052E-461D-A03B-447FD944A621}">
      <text>
        <r>
          <rPr>
            <b/>
            <sz val="9"/>
            <color indexed="81"/>
            <rFont val="Tahoma"/>
            <family val="2"/>
          </rPr>
          <t>OS:</t>
        </r>
        <r>
          <rPr>
            <sz val="9"/>
            <color indexed="81"/>
            <rFont val="Tahoma"/>
            <family val="2"/>
          </rPr>
          <t xml:space="preserve">
PENDIENTE REVISAR EL CAMBIO DEL PISCO
</t>
        </r>
      </text>
    </comment>
    <comment ref="B198" authorId="0" shapeId="0" xr:uid="{1C77D6DD-D332-485A-9E15-7BA59C602906}">
      <text>
        <r>
          <rPr>
            <b/>
            <sz val="9"/>
            <color indexed="81"/>
            <rFont val="Tahoma"/>
            <family val="2"/>
          </rPr>
          <t>OS:</t>
        </r>
        <r>
          <rPr>
            <sz val="9"/>
            <color indexed="81"/>
            <rFont val="Tahoma"/>
            <family val="2"/>
          </rPr>
          <t xml:space="preserve">
Pendiente revisar el cambio del pisco por quebranta
</t>
        </r>
      </text>
    </comment>
    <comment ref="B419" authorId="0" shapeId="0" xr:uid="{93350940-5CFE-49DE-9AB9-7E6173820F9F}">
      <text>
        <r>
          <rPr>
            <b/>
            <sz val="9"/>
            <color indexed="81"/>
            <rFont val="Tahoma"/>
            <family val="2"/>
          </rPr>
          <t>OS:</t>
        </r>
        <r>
          <rPr>
            <sz val="9"/>
            <color indexed="81"/>
            <rFont val="Tahoma"/>
            <family val="2"/>
          </rPr>
          <t xml:space="preserve">
REVISAR PRECIOS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</author>
  </authors>
  <commentList>
    <comment ref="B40" authorId="0" shapeId="0" xr:uid="{1323A809-15D3-46DE-87F0-780EB5984510}">
      <text>
        <r>
          <rPr>
            <b/>
            <sz val="9"/>
            <color indexed="81"/>
            <rFont val="Tahoma"/>
            <family val="2"/>
          </rPr>
          <t>OS:</t>
        </r>
        <r>
          <rPr>
            <sz val="9"/>
            <color indexed="81"/>
            <rFont val="Tahoma"/>
            <family val="2"/>
          </rPr>
          <t xml:space="preserve">
Modificador desde aca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</author>
  </authors>
  <commentList>
    <comment ref="B30" authorId="0" shapeId="0" xr:uid="{6E1ED7A5-B678-4AA2-83FA-9DE511BDA6E4}">
      <text>
        <r>
          <rPr>
            <b/>
            <sz val="9"/>
            <color indexed="81"/>
            <rFont val="Tahoma"/>
            <family val="2"/>
          </rPr>
          <t>OS:</t>
        </r>
        <r>
          <rPr>
            <sz val="9"/>
            <color indexed="81"/>
            <rFont val="Tahoma"/>
            <family val="2"/>
          </rPr>
          <t xml:space="preserve">
Revisar receta base
</t>
        </r>
      </text>
    </comment>
  </commentList>
</comments>
</file>

<file path=xl/sharedStrings.xml><?xml version="1.0" encoding="utf-8"?>
<sst xmlns="http://schemas.openxmlformats.org/spreadsheetml/2006/main" count="11394" uniqueCount="1320">
  <si>
    <t>ANALISIS RECETA</t>
  </si>
  <si>
    <t>Ingrediente</t>
  </si>
  <si>
    <t>Und</t>
  </si>
  <si>
    <t>Cant.</t>
  </si>
  <si>
    <t>Costo</t>
  </si>
  <si>
    <t>Total costo</t>
  </si>
  <si>
    <t>COSTO DEL PLATO</t>
  </si>
  <si>
    <t>COSTO</t>
  </si>
  <si>
    <t>MARGEN DE ERROR DEL 10%</t>
  </si>
  <si>
    <t>COSTO + MARGEN ERROR</t>
  </si>
  <si>
    <t>VALOR DE VENTA</t>
  </si>
  <si>
    <t>IPOCONSUMO</t>
  </si>
  <si>
    <t>VALOR ANTES DE IPO</t>
  </si>
  <si>
    <t>MARGEN.</t>
  </si>
  <si>
    <t xml:space="preserve">GANANCIA </t>
  </si>
  <si>
    <t>MARGEN PORCENTUAL</t>
  </si>
  <si>
    <t>VENTA</t>
  </si>
  <si>
    <t>%</t>
  </si>
  <si>
    <t>RENTABILIDAD</t>
  </si>
  <si>
    <t>ROTACION</t>
  </si>
  <si>
    <t>RATION</t>
  </si>
  <si>
    <t>CARTA</t>
  </si>
  <si>
    <t>BASE</t>
  </si>
  <si>
    <t>PRECIO SUGERIDO</t>
  </si>
  <si>
    <t xml:space="preserve">CARTA </t>
  </si>
  <si>
    <t>SUGERIDO COSTOS</t>
  </si>
  <si>
    <t>PRECIO N</t>
  </si>
  <si>
    <t xml:space="preserve">% </t>
  </si>
  <si>
    <t>ICO2</t>
  </si>
  <si>
    <t>ICO 8%</t>
  </si>
  <si>
    <t>Total</t>
  </si>
  <si>
    <t>NARANJA VALENCIA</t>
  </si>
  <si>
    <t>PAPA CRIOLLA</t>
  </si>
  <si>
    <t>PLATANO MADURO</t>
  </si>
  <si>
    <t>MARACUYA</t>
  </si>
  <si>
    <t>HARINA DE TRIGO HAZ DE OROS BOLSA X550g</t>
  </si>
  <si>
    <t>PURE DE PAPA KNORR X800G</t>
  </si>
  <si>
    <t>CEREZA MARROSCHINO ALFA FRASX1000GDREN580G</t>
  </si>
  <si>
    <t>ACEITE MESTRE OLEO X 3000CC</t>
  </si>
  <si>
    <t>MAIZ TIERNO METOO VACUMX 340G DRE 285G</t>
  </si>
  <si>
    <t>PISCO BARSOL QUEBRANTA 40000ML</t>
  </si>
  <si>
    <t>PISCO BARSOL MOSTOVERDE ITALIA X 750</t>
  </si>
  <si>
    <t>VINO TARAPACA VARIETAL SAUVIGNON BL 750ML</t>
  </si>
  <si>
    <t>CERVEZA AGUILA RETORNABLE 330CC</t>
  </si>
  <si>
    <t>VINO LAMBRUSCO BLANCO PICCINI 750ML</t>
  </si>
  <si>
    <t>TEQUILA JOSE CUERVO ESPECIAL REPOSADO 990ML</t>
  </si>
  <si>
    <t>CERVEZA STELLA ARTOIS SIXPACK NR 330 MEX</t>
  </si>
  <si>
    <t>MEZCAL 400 CONEJOS JOVEN SPADIN 750ML</t>
  </si>
  <si>
    <t>MANDARINA PAQUETE X 7 UNIDADES</t>
  </si>
  <si>
    <t>PISCO BARSOL ACHOLADO 750ML</t>
  </si>
  <si>
    <t>MANI TRITURADO X500 GR</t>
  </si>
  <si>
    <t>SALSA DE CHOCOLATE HERSHEYS X1360GR</t>
  </si>
  <si>
    <t>SALSA DE OSTRAS ASIAFOOD PO 2LT</t>
  </si>
  <si>
    <t>FILETE DE ATUN ENTERO KG</t>
  </si>
  <si>
    <t>HUEVOS</t>
  </si>
  <si>
    <t>PULPA DE COCO PAQUETE X10UND</t>
  </si>
  <si>
    <t>ACQUA PANNA VIDRIO 505 ML</t>
  </si>
  <si>
    <t>COCONUT JUNIPER X207ML</t>
  </si>
  <si>
    <t>SUGG SYRUP LYCHE VIDRIOX750ML</t>
  </si>
  <si>
    <t>RON BACARDI SUPERIOR X750ML</t>
  </si>
  <si>
    <t>ARROZ ROCOTO</t>
  </si>
  <si>
    <t>UND</t>
  </si>
  <si>
    <t>CHAUFA VEGETARIANA</t>
  </si>
  <si>
    <t>ARROZ CHAUFA POLLO Y SOLOMO</t>
  </si>
  <si>
    <t xml:space="preserve">ARROZ CREMOSO </t>
  </si>
  <si>
    <t xml:space="preserve"> ARROZ CHAUFA SOLOMITO  </t>
  </si>
  <si>
    <t xml:space="preserve"> ARROZ CHAUFA POLLO  </t>
  </si>
  <si>
    <t xml:space="preserve">ARROZ CHAUFA MARISCOS </t>
  </si>
  <si>
    <t>G</t>
  </si>
  <si>
    <t>SUB. MERMELADA DE AJI AMARILLO</t>
  </si>
  <si>
    <t>AGUA EPM</t>
  </si>
  <si>
    <t>SUB. GUACAMOLE</t>
  </si>
  <si>
    <t>LIMON TAHITI</t>
  </si>
  <si>
    <t>SUB. CHIPS DE YUCA</t>
  </si>
  <si>
    <t xml:space="preserve">SUB. HUANCAINA  </t>
  </si>
  <si>
    <t>SUB. SALSA DE EMPANADAS</t>
  </si>
  <si>
    <t>SUB. REMOLACHA CROCANTE</t>
  </si>
  <si>
    <t>SUB. CHICHA MORADA</t>
  </si>
  <si>
    <t>SUB. MERENGUE</t>
  </si>
  <si>
    <t>SUB. TERIYAKY</t>
  </si>
  <si>
    <t>SUB. SALSA ANTICUCHERA</t>
  </si>
  <si>
    <t>VINO BCO RAMON BILBAO VERDEJO 750ML</t>
  </si>
  <si>
    <t>CAFÉ LA BASTILLA X2500 GR BOLSA</t>
  </si>
  <si>
    <t>TEMPURA KILO</t>
  </si>
  <si>
    <t>MAIZ CANCHA</t>
  </si>
  <si>
    <t>HABICHUELA X KILO</t>
  </si>
  <si>
    <t>SHIRAKIKU GYOSAS SKIN PQT X 10 OZ</t>
  </si>
  <si>
    <t>SPRING ROLL WEI CHUAN X 25 WRAPS</t>
  </si>
  <si>
    <t>SUB. EMPANADAS</t>
  </si>
  <si>
    <t>SUB. SAL DE FLOR DE JAMAICA</t>
  </si>
  <si>
    <t>SUB. ALMIBAR</t>
  </si>
  <si>
    <t>SUB. SALSA DE CHICHARRONES</t>
  </si>
  <si>
    <t>SUB. PASTA DE AJO</t>
  </si>
  <si>
    <t>SUB. CAUSA AJI AMARILLO</t>
  </si>
  <si>
    <t>SUB. CAUSA CILANTRO</t>
  </si>
  <si>
    <t>SUB. FONDO DE PESCADO</t>
  </si>
  <si>
    <t>SUB. LECHE DE TIGRE</t>
  </si>
  <si>
    <t>SUB. CAMARON DULCE</t>
  </si>
  <si>
    <t>SUB. POLLO ACEVICHADO</t>
  </si>
  <si>
    <t>SUB. MASA PARA EMPANADAS</t>
  </si>
  <si>
    <t>SUB. FETUCCINI</t>
  </si>
  <si>
    <t>SUB. SALSA TRUFADA CON AJI PANKA</t>
  </si>
  <si>
    <t>SUB. SALSA DE CHANCHO</t>
  </si>
  <si>
    <t>SUB. CHANCHO A LA CRIOLLA</t>
  </si>
  <si>
    <t>SUB. SALSA ESCABECHADA</t>
  </si>
  <si>
    <t>SUB. ALMIBAR DE ROCOTO</t>
  </si>
  <si>
    <t>SUB. MAYONESA AL OLIVO</t>
  </si>
  <si>
    <t>ONZ</t>
  </si>
  <si>
    <t>GASEOSA SODA SCHWEPPES</t>
  </si>
  <si>
    <t>HIELO</t>
  </si>
  <si>
    <t>ARROCES</t>
  </si>
  <si>
    <t>DESCRIPCION</t>
  </si>
  <si>
    <t>ENTRADAS</t>
  </si>
  <si>
    <t>MARGEN DE ERROR DEL 5%</t>
  </si>
  <si>
    <t>TIRADITO TRES SABORES</t>
  </si>
  <si>
    <t>CHIPS</t>
  </si>
  <si>
    <t>CHICHARRONCITOS ACEVICHADOS</t>
  </si>
  <si>
    <t>PULPO SALTADO</t>
  </si>
  <si>
    <t>TORNADO TRUFADO</t>
  </si>
  <si>
    <t>EMPANADAS ROCOTO</t>
  </si>
  <si>
    <t>LANGOSTINOS CROCANTES</t>
  </si>
  <si>
    <t>TARTAR DE LA CASA</t>
  </si>
  <si>
    <t>PESCADO MACHO</t>
  </si>
  <si>
    <t>SALTADO MAR Y TIERRA PARA COMPARTIR</t>
  </si>
  <si>
    <t>TRILOGÍA PERÚ</t>
  </si>
  <si>
    <t>COSTILLA ROCOTO</t>
  </si>
  <si>
    <t>PESCADOS Y MARISCOS</t>
  </si>
  <si>
    <t>LOMO SALTADO</t>
  </si>
  <si>
    <t>LOMITO SALSA DE QUESO</t>
  </si>
  <si>
    <t>LOMO ANTICUCHERO</t>
  </si>
  <si>
    <t>CAUSA PULPO AL OLIVO</t>
  </si>
  <si>
    <t>CHEVICHE PARRILLADO</t>
  </si>
  <si>
    <t>FETUCCINI A LO MACHO</t>
  </si>
  <si>
    <t>FETUCCINI HUANCAINA</t>
  </si>
  <si>
    <t>BROWNIE MELCOCHUDO</t>
  </si>
  <si>
    <t>PARIHUELA</t>
  </si>
  <si>
    <t>AGUADITO</t>
  </si>
  <si>
    <t>SUB. CHALACA</t>
  </si>
  <si>
    <t>POSTRES</t>
  </si>
  <si>
    <t>PARA COMPARTIR</t>
  </si>
  <si>
    <t>CEVICHE ROCOTO</t>
  </si>
  <si>
    <t>WONTON DE ATUN</t>
  </si>
  <si>
    <t>CEVICHE ANDINO</t>
  </si>
  <si>
    <t>MIXTO TRADICIONAL</t>
  </si>
  <si>
    <t>CEVICHE PERUANO</t>
  </si>
  <si>
    <t>CEVICHES</t>
  </si>
  <si>
    <t>SOPAS</t>
  </si>
  <si>
    <t>CAUSAS</t>
  </si>
  <si>
    <t>CARNES</t>
  </si>
  <si>
    <t>COCINA</t>
  </si>
  <si>
    <t xml:space="preserve"> MARACUYA SOUR</t>
  </si>
  <si>
    <t>CHILCANO TROPICAL</t>
  </si>
  <si>
    <t>TRILOGIA DE PISCO</t>
  </si>
  <si>
    <t>BAR</t>
  </si>
  <si>
    <t>SUB. BITTER OLD FASHIONED RARA (CHOCOLATE)</t>
  </si>
  <si>
    <t>SUB. ALMIBAR DE MARACUYA</t>
  </si>
  <si>
    <t>SUB. ZUMO DE LIMON</t>
  </si>
  <si>
    <t>SUB. MACERADO DE COCA</t>
  </si>
  <si>
    <t>AMARETTO DISARONNO X 750</t>
  </si>
  <si>
    <t>CAMARON</t>
  </si>
  <si>
    <t>TUBOS DE CALAMAR</t>
  </si>
  <si>
    <t>FILETE DE POLLO</t>
  </si>
  <si>
    <t>CAMPARI 750</t>
  </si>
  <si>
    <t>PISCO PUNCHS</t>
  </si>
  <si>
    <t>TORONJA X KILO</t>
  </si>
  <si>
    <t>CHILCANO CLASICO</t>
  </si>
  <si>
    <t>HIERBABUENA</t>
  </si>
  <si>
    <t>SUB. LIMON DESHIDRATADO</t>
  </si>
  <si>
    <t>SUB. ALMIBAR DE JENGIBRE</t>
  </si>
  <si>
    <t>SUB. GALLETA DE MANTEQUILLA</t>
  </si>
  <si>
    <t>PISCOL BASIL SMASH</t>
  </si>
  <si>
    <t>APEROL SPRITZ</t>
  </si>
  <si>
    <t>NEGRONI</t>
  </si>
  <si>
    <t>VERMUTH ROSSO</t>
  </si>
  <si>
    <t>RB. SALMUERA</t>
  </si>
  <si>
    <t>OLD FASHIONED</t>
  </si>
  <si>
    <t>LYCHEE MARTINI</t>
  </si>
  <si>
    <t xml:space="preserve">COSMOPOLITAN </t>
  </si>
  <si>
    <t>LICOR 43</t>
  </si>
  <si>
    <t>SUGG SYRUP VAINILLA CHOCOANA VIDRIOX750ML</t>
  </si>
  <si>
    <t>MARGARITA CLASICA</t>
  </si>
  <si>
    <t xml:space="preserve">SUB. ALMIBAR DE SANDIA </t>
  </si>
  <si>
    <t>SUB. ALMIBAR DE MANGO BICHE</t>
  </si>
  <si>
    <t>SUB. SYRUP DE CANELA MACERADA</t>
  </si>
  <si>
    <t>SUB. PERFUME DE CARDAMOMO</t>
  </si>
  <si>
    <t>SUB. SAL TROPICAL</t>
  </si>
  <si>
    <t>MOJITO TRADICIONAL</t>
  </si>
  <si>
    <t>GIN &amp; TONIC SELVA</t>
  </si>
  <si>
    <t>g</t>
  </si>
  <si>
    <t>SUB. TORONJA DESHIDRATADA</t>
  </si>
  <si>
    <t xml:space="preserve">BOTONES DE ROSAS </t>
  </si>
  <si>
    <t>GINEBRA PINK GORDONS 700 ml</t>
  </si>
  <si>
    <t>BAILEYS ORIGINAL 1,0L</t>
  </si>
  <si>
    <t>SUB. COCO DESHIDRATADO</t>
  </si>
  <si>
    <t>LIMONADA NATURAL</t>
  </si>
  <si>
    <t>LIMONADA DE HIERBABUENA</t>
  </si>
  <si>
    <t>LIMONADA DE COCO</t>
  </si>
  <si>
    <t>JUGO DE MANDARINA</t>
  </si>
  <si>
    <t>ELDER FLOWER TONICA JUNIPER X207ML</t>
  </si>
  <si>
    <t xml:space="preserve">PIQUEO JALEA PERUANA </t>
  </si>
  <si>
    <t>Camarones, pulpo y cubos de pescado sellados a la parrilla con leche de tigre al ají amarillo, acompañado de palta, maíz choclo, chips de yuca y papa criolla crocante.</t>
  </si>
  <si>
    <t>Crocante de pescado, camarones y calamares, acompañados de yuca frita y chifles de plátano. Servida con salsa huancaína, salsa acevichada y salsa criolla.</t>
  </si>
  <si>
    <t>Ceviche de pesca blanca en leche de tigre tradicional, causa de camaron, ceviche de camarones con palta y langostinos crocantes bañados en tamarindo. </t>
  </si>
  <si>
    <t>Causa de ají amarillo y cilantro rellena de pulpo en mayonesa al olivo (aceitunas moradas ) y palta.</t>
  </si>
  <si>
    <t>Arroz con mariscos y crocante de pescado al estilo peruano elaborado con ají amarillo, acompañado de salsa criolla. </t>
  </si>
  <si>
    <t>Cazuela de mariscos y pescado típica del Perú. Elaborada a base de ají panca, fondo de mariscos y cerveza negra y brandi. Acompañada con arroz y palta.</t>
  </si>
  <si>
    <t>Tradicional sopa de mariscos y vegetales hecha a base de cilantro, acompañada de palta y arroz blanco. </t>
  </si>
  <si>
    <t>ARROZ DE CHANCHO</t>
  </si>
  <si>
    <t>Cremosa mezcla a base de arequipe, acompañado con merengues y fresas.</t>
  </si>
  <si>
    <t>SUSPIRO ROCOTO</t>
  </si>
  <si>
    <t>Spring Rolls rellenos de Nutella con helado y salsa de frutos rojos.</t>
  </si>
  <si>
    <t>MENU INFANTIL</t>
  </si>
  <si>
    <t>SANGRIAS</t>
  </si>
  <si>
    <t>SANGRIA BLANCA ESPUMOSA</t>
  </si>
  <si>
    <t>Botella piccini lambrusco Preparada con pisco quebranta, manzana verde, melocotones, yerbabuena.</t>
  </si>
  <si>
    <t>SANGRIA LAMBRUSCO TINTO</t>
  </si>
  <si>
    <t>SANGRIA LAMBRUSCO ROSE</t>
  </si>
  <si>
    <t>Lambrusco rosado , vodka, fresas, lychees, agraz</t>
  </si>
  <si>
    <t xml:space="preserve">COCA SOUR </t>
  </si>
  <si>
    <t>MARGARITA INFIERNO</t>
  </si>
  <si>
    <t xml:space="preserve"> ESPRESSO MARTINI</t>
  </si>
  <si>
    <t>COCTELES</t>
  </si>
  <si>
    <t xml:space="preserve">FRUTOS ROJOS </t>
  </si>
  <si>
    <t>GIN &amp; TONIC TANQUERAY DRY</t>
  </si>
  <si>
    <t>GIN &amp; TONICS</t>
  </si>
  <si>
    <t>+</t>
  </si>
  <si>
    <t>SUB. BASE LECHE DE TIGRE</t>
  </si>
  <si>
    <t>SUB. MERMELADA DE TAMARINDO</t>
  </si>
  <si>
    <t>SUB. ACEITE DE CILANTRO</t>
  </si>
  <si>
    <t xml:space="preserve">SALMON MALIBU </t>
  </si>
  <si>
    <t>ATUN DE LA CASA</t>
  </si>
  <si>
    <t>PESCADO CHORRILLANA</t>
  </si>
  <si>
    <t>43 SOUR</t>
  </si>
  <si>
    <t>OXXACA OLD FASHIONED</t>
  </si>
  <si>
    <t>UN CONEJO EN MANHATTAN</t>
  </si>
  <si>
    <t>CHILCANO DE COCA</t>
  </si>
  <si>
    <t>DAIQUIRI 43</t>
  </si>
  <si>
    <t>CARAJILLO 43</t>
  </si>
  <si>
    <t>LANGOSTINOS</t>
  </si>
  <si>
    <t>Ginger Ale Botella 300ml - Schweppes</t>
  </si>
  <si>
    <t>JUNIPER TORONJA X207ML</t>
  </si>
  <si>
    <t>VERMUTH DRY MARTINI*750</t>
  </si>
  <si>
    <t>VERMUTH BIANCO*750</t>
  </si>
  <si>
    <t>JUGO DE ARANDANOS OCEAN SPRAY*96ONZ</t>
  </si>
  <si>
    <t>PETALOS DE ROSAS</t>
  </si>
  <si>
    <t>ARROZ BLANCO</t>
  </si>
  <si>
    <t>SALSA A LA HUANCAINA</t>
  </si>
  <si>
    <t>CEVICHE DE CAMARONES</t>
  </si>
  <si>
    <t>GUACAMOLE</t>
  </si>
  <si>
    <t>SALSA TERIYAKI</t>
  </si>
  <si>
    <t>MERMELADA DE AJI AMARILLO</t>
  </si>
  <si>
    <t>SHOT LECHE DE TIGRE</t>
  </si>
  <si>
    <t>CHANCHO</t>
  </si>
  <si>
    <t xml:space="preserve">ARROZ PERUANO </t>
  </si>
  <si>
    <t>GINGER ALE BOTELLA 300ML - SCHWEPPES</t>
  </si>
  <si>
    <t>PISCO &amp; TONIC</t>
  </si>
  <si>
    <t xml:space="preserve"> SOUR CLASICO</t>
  </si>
  <si>
    <t>MOSCOW MULE TEQUILA</t>
  </si>
  <si>
    <t>ATUN POR 130 GRAMOS</t>
  </si>
  <si>
    <t>CERVEZA CORONA NRB SIXPACK X 330ML</t>
  </si>
  <si>
    <t>CLUB COLOMBIA NEGRA</t>
  </si>
  <si>
    <t>CERVEZAS</t>
  </si>
  <si>
    <t>CHICHA MORADA</t>
  </si>
  <si>
    <t>BEBIDAS ESPECIALES SIN ALCOHOL</t>
  </si>
  <si>
    <t>FRUTOS VERDES</t>
  </si>
  <si>
    <t>GRAMOS</t>
  </si>
  <si>
    <t>UNIDADES</t>
  </si>
  <si>
    <t>LIMONADAS Y JUGOS</t>
  </si>
  <si>
    <t>SODA SCHWEPPES</t>
  </si>
  <si>
    <t>GINGER ALE</t>
  </si>
  <si>
    <t>COCA COLA 10 OZ VIDRIO</t>
  </si>
  <si>
    <t>COCA COLA S/AZ 10 OZ</t>
  </si>
  <si>
    <t>AGUAS Y BEBIDAS EMBOTELLADAS</t>
  </si>
  <si>
    <t>COPA</t>
  </si>
  <si>
    <t>RAMON BILBAO VERDEJO</t>
  </si>
  <si>
    <t>RAMON BILBAO ROSADO RIOJA 75CL</t>
  </si>
  <si>
    <t xml:space="preserve">TARAPACA VARIETAL ROSE </t>
  </si>
  <si>
    <t>COPA DE VINOS</t>
  </si>
  <si>
    <t>MENADE VERDEJO ORGANICO</t>
  </si>
  <si>
    <t>VINOS BLANCOS</t>
  </si>
  <si>
    <t>PISCO QUEBRANTA</t>
  </si>
  <si>
    <t>PISCO BARSOL ACHOLADO</t>
  </si>
  <si>
    <t>PISCO BARSOL MOSTO VERDE ITALIA</t>
  </si>
  <si>
    <t>VINOS TINTO</t>
  </si>
  <si>
    <t>VINOS ROSADOS</t>
  </si>
  <si>
    <t>ESPUMOSOS</t>
  </si>
  <si>
    <t>PISCO</t>
  </si>
  <si>
    <t>AGUARDIENTE</t>
  </si>
  <si>
    <t>RON</t>
  </si>
  <si>
    <t>RON ZACAPA 23 AÑOS</t>
  </si>
  <si>
    <t>DON JULIO REPOSADO</t>
  </si>
  <si>
    <t>DON JULIO 70</t>
  </si>
  <si>
    <t>DON JULIO AÑEJO</t>
  </si>
  <si>
    <t>TEQUILA 1800 REPOSADO</t>
  </si>
  <si>
    <t>TRAGO DON JULIO REPOSADO</t>
  </si>
  <si>
    <t>TRAGO DON JULIO 70</t>
  </si>
  <si>
    <t>TEQUILA Y MEZCAL</t>
  </si>
  <si>
    <t>BUCHANANS 18 AÑOS</t>
  </si>
  <si>
    <t>OLD PARR AGED 12 YEARS 0.5L</t>
  </si>
  <si>
    <t>MEDIA OLD PARR 12 AÑOS</t>
  </si>
  <si>
    <t>BUCHANANS DELUXE AGED 12 YEARS 0.375L</t>
  </si>
  <si>
    <t>BUCHANANS DELUXE AGED 12 YEARS 0.750L</t>
  </si>
  <si>
    <t xml:space="preserve">MEDIA BUCHANANS 12 </t>
  </si>
  <si>
    <t xml:space="preserve">BUCHANANS 12 </t>
  </si>
  <si>
    <t>WHISKY MACALLAN 12 AÑOS</t>
  </si>
  <si>
    <t xml:space="preserve">WHISKEY BULLIET BOURBON </t>
  </si>
  <si>
    <t>TRAGO OLD PARR 12 AÑOS</t>
  </si>
  <si>
    <t xml:space="preserve">TRAGO BUCHANANS 12 </t>
  </si>
  <si>
    <t>WHISKY Y WHISKEY</t>
  </si>
  <si>
    <t>VODKA</t>
  </si>
  <si>
    <t>ABSOLUT 700 ML</t>
  </si>
  <si>
    <t>VODKA ABSOLUT</t>
  </si>
  <si>
    <t>TRAGO VODKA ABSOLUT</t>
  </si>
  <si>
    <t>TRAGO VODKA GREY GOOSE</t>
  </si>
  <si>
    <t>GINEBRA</t>
  </si>
  <si>
    <t xml:space="preserve">TANQUERAY LONDON </t>
  </si>
  <si>
    <t xml:space="preserve">TRAGO TANQUERAY LONDON </t>
  </si>
  <si>
    <t>TRAGO SELVA GIN</t>
  </si>
  <si>
    <t>HENDRICKS</t>
  </si>
  <si>
    <t>TRAGO HENDRICKS</t>
  </si>
  <si>
    <t>APERITIVOS Y DIGESTIVOS</t>
  </si>
  <si>
    <t>OZ</t>
  </si>
  <si>
    <t>DISARONNO</t>
  </si>
  <si>
    <t>CREMA DE BAILEYS</t>
  </si>
  <si>
    <t xml:space="preserve">CAMPARI </t>
  </si>
  <si>
    <t>TRAGO DISARONNO</t>
  </si>
  <si>
    <t>TRAGO CREMA DE BAILEYS</t>
  </si>
  <si>
    <t>TRAGO LICOR 43</t>
  </si>
  <si>
    <t xml:space="preserve">TRAGO CAMPARI </t>
  </si>
  <si>
    <t xml:space="preserve"> TARAPACA VARIETAL MERLOT </t>
  </si>
  <si>
    <t>RAMON BILBAO TEMPRANILLO</t>
  </si>
  <si>
    <t>ADICIONES</t>
  </si>
  <si>
    <t>Gr</t>
  </si>
  <si>
    <t>LECHE DE TIGRE 2.0</t>
  </si>
  <si>
    <t>TRILOGIA DE CAUSAS</t>
  </si>
  <si>
    <t xml:space="preserve">Un </t>
  </si>
  <si>
    <t>SUB. SALSA GOLF</t>
  </si>
  <si>
    <t>SUB. MIX DE VERDURAS</t>
  </si>
  <si>
    <t>SUB. MEZCLADE TACU TACU</t>
  </si>
  <si>
    <t>SUB. FRIJOL CANARIO</t>
  </si>
  <si>
    <t>FRIJOL CANARIO * KILO</t>
  </si>
  <si>
    <t>SUB. ADEREZO DE CEBOLLA</t>
  </si>
  <si>
    <t xml:space="preserve">ARRISOTADO A LA HUANCAINA </t>
  </si>
  <si>
    <t>Columna1</t>
  </si>
  <si>
    <t>CINZANO TO SPRITZ 750</t>
  </si>
  <si>
    <t>SUB. MIX DE VEGETALES (ZANAHORIA Y ARVEJA)</t>
  </si>
  <si>
    <t>ZANAHORIA TRONCO X KILO</t>
  </si>
  <si>
    <t>BROCOLI X KILO</t>
  </si>
  <si>
    <t>CHICHA SOUR</t>
  </si>
  <si>
    <t>oz</t>
  </si>
  <si>
    <t>CAFE VENETO SELECT PEPA X 2,5 KG</t>
  </si>
  <si>
    <t>ICO 8%2</t>
  </si>
  <si>
    <t>BASE.</t>
  </si>
  <si>
    <t xml:space="preserve">SUB. MACEDADO DE UCHUVA Y AJI ROCOTO </t>
  </si>
  <si>
    <t>SUB. MACEDARO DE TAMARINDO y JALAPEÑO</t>
  </si>
  <si>
    <t>SUB. MACERADO DE MARACUYA Y AJI AMARILLO</t>
  </si>
  <si>
    <t>ALCOHOL ETILICO 96%*20L</t>
  </si>
  <si>
    <t>SUB. PIÃ‘A DESHIDRATADA</t>
  </si>
  <si>
    <t>SUB. PAPA CRIOLLA</t>
  </si>
  <si>
    <t xml:space="preserve">SUB. WONTON DE ATÃšN </t>
  </si>
  <si>
    <t>HUEVOS AA</t>
  </si>
  <si>
    <t>MENTAS *50UND COLOMBINA</t>
  </si>
  <si>
    <t>ACEITE VEGETAL X 20LT</t>
  </si>
  <si>
    <t>SUB. PULPO MEXICANO (ROCOTO)*150G</t>
  </si>
  <si>
    <t>PISCO BARSOL QUEBRANTA 4000L</t>
  </si>
  <si>
    <t>ONZA</t>
  </si>
  <si>
    <t>SOLOMITO X 200G</t>
  </si>
  <si>
    <t>TUBOS DE CALAMAR X KILO</t>
  </si>
  <si>
    <t>FILETE DE TILAPIA FRESCA LO</t>
  </si>
  <si>
    <t>TORTILLA DE MAIZ X 20UND</t>
  </si>
  <si>
    <t xml:space="preserve">COLA DE LANGOSTA UND 130G </t>
  </si>
  <si>
    <t>PAPA DELGADA 9X9 2KG 5300</t>
  </si>
  <si>
    <t>ARROZ  CASTELLANO X 1KG</t>
  </si>
  <si>
    <t>CAMARON CRUDO 41-50 0% PORCIONX 7UND PAQUETE POR 10 PORCIONES</t>
  </si>
  <si>
    <t>SUB. COSTILLAS (ROCOTO)</t>
  </si>
  <si>
    <t>GINEBRA HENDRICKS 750CC</t>
  </si>
  <si>
    <t>QUESO ALPINA PARMESANO RAYADO 2.5 L</t>
  </si>
  <si>
    <t xml:space="preserve">FILETE DE SALMON X 180GN </t>
  </si>
  <si>
    <t>YUCA X KILO</t>
  </si>
  <si>
    <t>AGUA S. PELLEGRINO VIDRIO 505ML</t>
  </si>
  <si>
    <t>MAYONESA FRUCO GALON X3770G</t>
  </si>
  <si>
    <t>DELANTAL POLOETILENO BLANCO X20u</t>
  </si>
  <si>
    <t>RON ZACAPA 23 AÃ‘OS 75OML</t>
  </si>
  <si>
    <t>CIDRA DE ROSAS JUNIPER X 207ML</t>
  </si>
  <si>
    <t>PAPA CRIOLLA BALIN O CHIRIYA</t>
  </si>
  <si>
    <t>COCONUT JUNIPER X 207 MIL</t>
  </si>
  <si>
    <t>PECHUGA DE POLLO DESHUESADO X1000</t>
  </si>
  <si>
    <t>CHICHARRON UND*300G</t>
  </si>
  <si>
    <t>LANGOSTINOS CRUDO 16/20 X UNIDAD</t>
  </si>
  <si>
    <t>TINTA DE CALAMAR SQUID INK X 500 GR</t>
  </si>
  <si>
    <t>GINGER BEER SIN LICOR JUNIPER X 200ML</t>
  </si>
  <si>
    <t>VINO PICCINI LAMBRUS TTO REGNO DOC 750 ML</t>
  </si>
  <si>
    <t>VINO LAMBRUSCO ROSAD PICCINI REGNO 750 ML</t>
  </si>
  <si>
    <t>SALSA DE TOMATE FRUCO GX 4350G</t>
  </si>
  <si>
    <t>LIMON TAHITI X KILO</t>
  </si>
  <si>
    <t>SUB. BASE DE MAYO ACEVICHADA (ROCOTO)</t>
  </si>
  <si>
    <t>SUB. PASTA ROCOTO</t>
  </si>
  <si>
    <t>QUESO CREMA GRANEL X 4K</t>
  </si>
  <si>
    <t>CEBOLLA MORADA LIMPIA</t>
  </si>
  <si>
    <t>SUB. SPRING ROLLS AJI DEGALLINA</t>
  </si>
  <si>
    <t>AZUCAR MANUELITA  BOLSA X 5LB</t>
  </si>
  <si>
    <t>MEZCAL 400 CONEJOS JOVEN SPADIN 750 ML</t>
  </si>
  <si>
    <t>MIGA DE PAN PANKO BLANCO X 20 KILOS</t>
  </si>
  <si>
    <t>GOTAS AMARGAS BITTER ANGOSTURA*150G</t>
  </si>
  <si>
    <t>MOSTAZA FRUCO GAL X 4015G</t>
  </si>
  <si>
    <t xml:space="preserve">MANANTIAL SIN GAS 500ML </t>
  </si>
  <si>
    <t>AGUACATE CHOCKETTE X KILO</t>
  </si>
  <si>
    <t>AGUA TONICA TRADICIONAL JUNIPER X200ML</t>
  </si>
  <si>
    <t>SRIRACHA HOT CHILLI SAUCE x 482ML</t>
  </si>
  <si>
    <t>BOLSA PARA BASURA NEGRA 46*46 PQT*10UND</t>
  </si>
  <si>
    <t>SCHEEPPES SODA10 OZ</t>
  </si>
  <si>
    <t>SUB. TEMPURA (ROCOTO)</t>
  </si>
  <si>
    <t xml:space="preserve">MEJILLON NEGRO 454GR </t>
  </si>
  <si>
    <t xml:space="preserve">CREMA DE LECHE  X 9700G </t>
  </si>
  <si>
    <t>CEREZA MARRASCHINO ALFAFRASX 1000G DREN 580G</t>
  </si>
  <si>
    <t>FETUHINI MONTICELLO X 500G</t>
  </si>
  <si>
    <t>TOALLA DE MANO EN Z-200246</t>
  </si>
  <si>
    <t>CHAMPIÃ‘ON X KILO</t>
  </si>
  <si>
    <t>VINO COUS. MACUL DON LUIS SUV BLA 750</t>
  </si>
  <si>
    <t>PH JUMBO BCO TH 4ROLLOSx95MT 71197-71198</t>
  </si>
  <si>
    <t>SALSA DE SOYA X 2O LITROS</t>
  </si>
  <si>
    <t>BOLSA DE BLANCA BASURA JUMBO+50 UND</t>
  </si>
  <si>
    <t>AJONJOLI NEGRO</t>
  </si>
  <si>
    <t>COCO DESHIDRATADO*500G</t>
  </si>
  <si>
    <t>L. TRIPLE SEC TEICHENNE 1000ML</t>
  </si>
  <si>
    <t xml:space="preserve">BOLSA VERDE PARA LA BASURA </t>
  </si>
  <si>
    <t>SUB. ACEVICHADA</t>
  </si>
  <si>
    <t>FRESA JUMBO I X KILO</t>
  </si>
  <si>
    <t>JABON ESPUMA SUAVx1000CC80530</t>
  </si>
  <si>
    <t>CINZANO VERMUTH ROSSO 750ML</t>
  </si>
  <si>
    <t>CAMOTE X KILO</t>
  </si>
  <si>
    <t>CERVEZA CLUB COL DORADA RETORNABLE 330CC</t>
  </si>
  <si>
    <t>GORDON DRY GIN 750 L50</t>
  </si>
  <si>
    <t>AREQUIPE ALPINA INSTITUCIONAL 5KG</t>
  </si>
  <si>
    <t>GORRO MALLA NEGRA 53CM*20u</t>
  </si>
  <si>
    <t>APEROL X 750ML</t>
  </si>
  <si>
    <t>FLORES COMESTIBLES (PENSAMIENTOS)</t>
  </si>
  <si>
    <t>MANGO TOMMY X KILO</t>
  </si>
  <si>
    <t>AJI AMARILLO X KILO</t>
  </si>
  <si>
    <t>GUANTES DE NITRIO TALLA L</t>
  </si>
  <si>
    <t>SUB. SUSPIRO LIMEÃ‘O</t>
  </si>
  <si>
    <t>SUB. PULPO MEXICANO *40</t>
  </si>
  <si>
    <t>AJINOMOTO X KILO</t>
  </si>
  <si>
    <t>PIMIENTA NEGRA MOLIDA BADIA 453GR</t>
  </si>
  <si>
    <t>TOMATE PERLA X KILO</t>
  </si>
  <si>
    <t>ACEITUNAS MORADA ALFA *1000g</t>
  </si>
  <si>
    <t>CILANTRO LIMPIO X KILO</t>
  </si>
  <si>
    <t>PALMITO KANIKAMA PREMIUM X 30UND</t>
  </si>
  <si>
    <t>SUB. LANGOSTINOS APANADOS (ROCOTO)</t>
  </si>
  <si>
    <t>SUB. PASTA DE AJI AMARILLO (ROCOTO)</t>
  </si>
  <si>
    <t>ARMONIA TARTUFATA X 500</t>
  </si>
  <si>
    <t>VINAGRE BLANCO FRUCO X 3060ML</t>
  </si>
  <si>
    <t>AJO LIMPIO X KILO</t>
  </si>
  <si>
    <t>LECHE UHT ENTERA BOLSA X 1000ML</t>
  </si>
  <si>
    <t>BULLEIT BOURBON 0,75L</t>
  </si>
  <si>
    <t>TOGARASHI HACHI 300 GR</t>
  </si>
  <si>
    <t>COGOLLO EUROPEO *250</t>
  </si>
  <si>
    <t xml:space="preserve">MIEL DE ABEJA PURA S/ VALENTINX 480G </t>
  </si>
  <si>
    <t>TOMATE CHERRY X KILO</t>
  </si>
  <si>
    <t>COMINO MOLIDO X 500GR</t>
  </si>
  <si>
    <t xml:space="preserve">VINO LAS MORAS TINTO CABERNET SAUV 750 ML </t>
  </si>
  <si>
    <t>AGUARDIENTE ANTIOQUEÃ‘O ROJO 375ML</t>
  </si>
  <si>
    <t>PAPA NEVADA X KILO</t>
  </si>
  <si>
    <t>MANTEQUILLA FRESCA BATIDA X KILO</t>
  </si>
  <si>
    <t>PULPO MEXICANO 2-4</t>
  </si>
  <si>
    <t>SUB. AJI PANCA</t>
  </si>
  <si>
    <t xml:space="preserve">MANANTIAL CON GAS VIDRIO 300ML </t>
  </si>
  <si>
    <t>CERVEZA CLUB COL NEGRARETORNABLE 330CC</t>
  </si>
  <si>
    <t>CERVEZA AGUILA LIGTH RETORNABLE 330CC</t>
  </si>
  <si>
    <t>HIPOCLORITO DE SODIO 15%*20L</t>
  </si>
  <si>
    <t>AJI DULCE X KILO</t>
  </si>
  <si>
    <t>VINO BLANCO CAVIC TETRAPACK X 1LT</t>
  </si>
  <si>
    <t>MANGO TOMMY*KILO BAR</t>
  </si>
  <si>
    <t>BOLSA PARA PORCIONAR 6*8 100UND</t>
  </si>
  <si>
    <t>COCO RALLADO NRO1 IPRODESA XK CD21</t>
  </si>
  <si>
    <t>AJI ROCOTO X KILO</t>
  </si>
  <si>
    <t>TOMATE CHONTO X KILO</t>
  </si>
  <si>
    <t>AGUARDIENTE ANTIOQUEÃ‘O AZUL 375ML</t>
  </si>
  <si>
    <t>PEREJIL CRESPO X KILO</t>
  </si>
  <si>
    <t>RON MEDELIN 8 AÃ‘OS 375 ML</t>
  </si>
  <si>
    <t>BROTES DE RABANO 50</t>
  </si>
  <si>
    <t>GUANTES DE NITRIO TALLA M</t>
  </si>
  <si>
    <t>SAL REFISAL X 1000G</t>
  </si>
  <si>
    <t>BANDEJA UVA ISABELLA X KILO</t>
  </si>
  <si>
    <t>MORA X KILO</t>
  </si>
  <si>
    <t>PIÃ‘A ORO MIEL X KILO</t>
  </si>
  <si>
    <t>SPRITE 400 ML</t>
  </si>
  <si>
    <t>FRESA JUMBO * KILO BAR</t>
  </si>
  <si>
    <t>TE HATSU BLANCO 400ML X6</t>
  </si>
  <si>
    <t xml:space="preserve">MANZANA ROJA BAR </t>
  </si>
  <si>
    <t>CEBOLLA RAMA LIMPIA X KILO</t>
  </si>
  <si>
    <t>JENGIBRE X KILO</t>
  </si>
  <si>
    <t>ESPONJILLA LA MAQUINA INSTITUC GRIS x 1U</t>
  </si>
  <si>
    <t>MANZANA VERDE BAR</t>
  </si>
  <si>
    <t>APIO X KILO</t>
  </si>
  <si>
    <t>TE HATSU AMARILLO 400X6</t>
  </si>
  <si>
    <t>SUB. CREMA MELCOCHA (ROCOTO)</t>
  </si>
  <si>
    <t>TAPA COPA SOUFFLÃ‰ 1,5OZ SIN BASE</t>
  </si>
  <si>
    <t>ALBAHACA X KILO</t>
  </si>
  <si>
    <t>SUB. PASTA DE JENGIBRE</t>
  </si>
  <si>
    <t>COPA SOUFFLÃ‰ 1,5OZ SIN TAPAÂ </t>
  </si>
  <si>
    <t>NARANJA VALENCIAX KILO</t>
  </si>
  <si>
    <t>AZUCAR SOBRES MANUELITA BOLSA X200S X 5G</t>
  </si>
  <si>
    <t>SUB. PURE DE PAPA (ROCOTO)</t>
  </si>
  <si>
    <t>TOMATE DE ARBOL X KILO</t>
  </si>
  <si>
    <t>ROMERO X KILO</t>
  </si>
  <si>
    <t>LULO X KILO</t>
  </si>
  <si>
    <t>REPOLLO MORADO X KILO</t>
  </si>
  <si>
    <t>PEPINO COHOMBROX KILO</t>
  </si>
  <si>
    <t>SUB. PURE DE CAMOTE (ROCOTO)</t>
  </si>
  <si>
    <t>CERVEZA CLUB COL ROJA RETORNABLE 330 CC</t>
  </si>
  <si>
    <t>UVA CHILENA X KILO</t>
  </si>
  <si>
    <t>SUB. CHIPS DE PLATANO</t>
  </si>
  <si>
    <t>SUB. SIROPE DE MIEL DE ABEJAS</t>
  </si>
  <si>
    <t>MAZORCA SIN CAPACHO X KILO</t>
  </si>
  <si>
    <t>GUANTE PLASTICO PQ 100 CLAY CJ100</t>
  </si>
  <si>
    <t>AJI PANCA X KILO</t>
  </si>
  <si>
    <t>HIERBA BUENA X 500 G</t>
  </si>
  <si>
    <t xml:space="preserve">MAIZ EN GRANO MCCAIN X 1KG </t>
  </si>
  <si>
    <t>WHISKY OLD PARR 12 AÃ‘OS 750 ML</t>
  </si>
  <si>
    <t>COLCAFE GRANULADO CLASICO X500 GR</t>
  </si>
  <si>
    <t>SUB. SALSA CRIOLLA</t>
  </si>
  <si>
    <t>PALILLO REDONDO DIENTES FESTIVAL*120UND</t>
  </si>
  <si>
    <t>FLOR DE JAMAICA X KILO</t>
  </si>
  <si>
    <t>SUB. SALMUERA</t>
  </si>
  <si>
    <t>SUB. VINAGRETA FRESCA</t>
  </si>
  <si>
    <t>SUB. HUEVO BATIDO</t>
  </si>
  <si>
    <t>SUB. LECHE DE COCO (ROCOTO)</t>
  </si>
  <si>
    <t>SUB. ARROZ COCIDO</t>
  </si>
  <si>
    <t>SUB. SALSA TAMARINDO CHIFERA</t>
  </si>
  <si>
    <t>SUB. SPRINROLL DE NUTELLA (ROCOTO)</t>
  </si>
  <si>
    <t>LECHUGA ROMANA *250G</t>
  </si>
  <si>
    <t>VINO TINTO CAVIC TETRAPACK X 1LT</t>
  </si>
  <si>
    <t>SUB. TUBOS DE CALAMAR X 80G</t>
  </si>
  <si>
    <t>BOLSA DE HIELO IGLU 18 KG</t>
  </si>
  <si>
    <t>SUB. PASTA DE CILANTRO (ROCOTO)</t>
  </si>
  <si>
    <t>LIMON TAHITI *KILO BAR</t>
  </si>
  <si>
    <t>CHILCANO MACERADO UCHUVA Y ROCOTO</t>
  </si>
  <si>
    <t>CHILCANO MACERADO TAMARINDO Y JALAPEÑO</t>
  </si>
  <si>
    <t>PIQUEO CRIOLLO</t>
  </si>
  <si>
    <t>PIQUEO 3 CEVICHES</t>
  </si>
  <si>
    <t>PIQUEO CHIFA</t>
  </si>
  <si>
    <t>SUB. WONTON DE POLLO CONGELADO</t>
  </si>
  <si>
    <t>SUB. SALSA CHIJAUKAY</t>
  </si>
  <si>
    <t>SUB. SALSA TIPAKAY</t>
  </si>
  <si>
    <t>SUB. ESPESANTE</t>
  </si>
  <si>
    <t>DURAZNO EN MITADDISPRONATX 820G DREN 470G</t>
  </si>
  <si>
    <t>MIXTURA DE AJONJOLI X 500 GR</t>
  </si>
  <si>
    <t>CHILCANO MACERADO MARACUYA Y AJI AMARILLO</t>
  </si>
  <si>
    <t>SCHWEPPES TONICA 10OZ</t>
  </si>
  <si>
    <t>PISCO ACHOLADO</t>
  </si>
  <si>
    <t xml:space="preserve">AL-55 BASE EMPAQUE EN BOPS NEGRO </t>
  </si>
  <si>
    <t>CERVEZA NEGRA COCINA</t>
  </si>
  <si>
    <t>HIERBABUENA * KILO BAR</t>
  </si>
  <si>
    <t>SUB. BROWNIE MELCOCHUDO</t>
  </si>
  <si>
    <t>SUB. PASTA DE AJI ROCOTO (PC)</t>
  </si>
  <si>
    <t xml:space="preserve">SUB. CALAMAR CEVICHERIA </t>
  </si>
  <si>
    <t>AJONJOLI BLANCO TOSTADO *500G</t>
  </si>
  <si>
    <t>HUEVO DE CODORNIZ *24UND</t>
  </si>
  <si>
    <t>SUB. BASE NORTEÃ‘A (CALLAO)</t>
  </si>
  <si>
    <t>SUB. GUACAMOLE (ROCOTO)</t>
  </si>
  <si>
    <t>CHICHA JORA*1L</t>
  </si>
  <si>
    <t>SEAWEED SALAD SHIRAKIKU X 4.4 LB</t>
  </si>
  <si>
    <t>WAKAME*500G</t>
  </si>
  <si>
    <t>SUB. ALMIBAR DE PIÃ‘A</t>
  </si>
  <si>
    <t>SUB. CHIMICHURRI (ROCOTO)</t>
  </si>
  <si>
    <t>SUB. GYOZAS</t>
  </si>
  <si>
    <t>SUB. SALSA DINAMITA (ROCOTO)</t>
  </si>
  <si>
    <t>SUB. FRUTOS ROJOS (ROCOTO)</t>
  </si>
  <si>
    <t>SUB. SALSA CRIOLLA PERUANA</t>
  </si>
  <si>
    <t>uds</t>
  </si>
  <si>
    <t>Unidades Netas</t>
  </si>
  <si>
    <t>% Merma</t>
  </si>
  <si>
    <t>Unidades</t>
  </si>
  <si>
    <t>onz</t>
  </si>
  <si>
    <t>TRAGO BACARDI</t>
  </si>
  <si>
    <t>TRAGO GORDON PINK</t>
  </si>
  <si>
    <t>TRAGO GORDON CLASICO</t>
  </si>
  <si>
    <t>TRAGO MEZCAL</t>
  </si>
  <si>
    <t>BOTELLA 400 CONEJOS</t>
  </si>
  <si>
    <t>TRAGOS</t>
  </si>
  <si>
    <t>SPRING ROLLS DE NUTELLA</t>
  </si>
  <si>
    <t>ArtÃ­culo</t>
  </si>
  <si>
    <t>SubartÃ­culo</t>
  </si>
  <si>
    <t xml:space="preserve">CREMA AVELLANAS CORDILLERA X1K </t>
  </si>
  <si>
    <t>Columna2</t>
  </si>
  <si>
    <t>CAUSA FUSION</t>
  </si>
  <si>
    <t>CAUSA ROCOTO</t>
  </si>
  <si>
    <t>SUB. PUERRO CROCANTE (ROCOTO)</t>
  </si>
  <si>
    <t>PIMIENTA ROSADA EN GRANO X250G</t>
  </si>
  <si>
    <t>NUEZ MOSCADAGRA</t>
  </si>
  <si>
    <t>REMOLACHA X KILO</t>
  </si>
  <si>
    <t>CANELA ASTILLAS SAN VALENTIN X500G</t>
  </si>
  <si>
    <t>SUB. CANCHA CHULPI</t>
  </si>
  <si>
    <t>SUB. PERNIL ANTICUCHERO</t>
  </si>
  <si>
    <t>CALDO KNORR GALLINA X 1500 GR</t>
  </si>
  <si>
    <t>OREGANO X 500GR</t>
  </si>
  <si>
    <t>SUB. ENSALADA RUSA</t>
  </si>
  <si>
    <t xml:space="preserve">EL POLLO DE MI INFANCIA </t>
  </si>
  <si>
    <t>SUB. SALSA OCOPA</t>
  </si>
  <si>
    <t>PAPAS NATIVAS</t>
  </si>
  <si>
    <t xml:space="preserve"> $ 3.916 </t>
  </si>
  <si>
    <t>SUSPIRUÑUELOS</t>
  </si>
  <si>
    <t>MASA PARA BUÃ‘UELOS *1000</t>
  </si>
  <si>
    <t>MENTA X KILO</t>
  </si>
  <si>
    <t xml:space="preserve"> $ 1.213 </t>
  </si>
  <si>
    <t>TACU TACU LOMO SALTADO A LO POBRE</t>
  </si>
  <si>
    <t>ABSOLUT 350ML</t>
  </si>
  <si>
    <t>AGRAZ *1000</t>
  </si>
  <si>
    <t>AGUARDIENTE ANTIOQUEÃ‘O AZUL 750ML</t>
  </si>
  <si>
    <t>AGUARDIENTE ANTIOQUEÃ‘O ROJO 750ML</t>
  </si>
  <si>
    <t>AJI LIMO X KILO</t>
  </si>
  <si>
    <t xml:space="preserve">AL-27 TAPA DOMO </t>
  </si>
  <si>
    <t>AL-47 TAPA DOMO SEMIOVALADA EN BOPS</t>
  </si>
  <si>
    <t>ALBARIÃ‘O MAR DE FRADES 75 CL.</t>
  </si>
  <si>
    <t>AROMATICA *7G</t>
  </si>
  <si>
    <t>ARVEJA MCCAIN X 1KG 4922</t>
  </si>
  <si>
    <t>BANDEJA MAIZ DULCE BANDEJA X 1000</t>
  </si>
  <si>
    <t>BOLSA BLANCA T30*100UND</t>
  </si>
  <si>
    <t>BOLSA KRAF NÂ° 1 *100 UN</t>
  </si>
  <si>
    <t>BOLSA KRAF NÂ° 12 *50 UND</t>
  </si>
  <si>
    <t>BOLSA KRAF NÂ° 60 *50 UND</t>
  </si>
  <si>
    <t>BOLSA PARA PORCIONAR 10*14 100UND</t>
  </si>
  <si>
    <t>BOLSA PARA PORCIONAR 6*9 100UND</t>
  </si>
  <si>
    <t>BUCHANANS 18 AÃ‘OS 750ML</t>
  </si>
  <si>
    <t>CERVEZA CUSQUEÃ‘A NEGRA SIX PACK BOTELLAS (310 ML)</t>
  </si>
  <si>
    <t xml:space="preserve">CERVEZA TORREALTA </t>
  </si>
  <si>
    <t>CUCHARAS NEGRAS DARNEL X100 UND</t>
  </si>
  <si>
    <t>DETERGENTE EN POLVO PPT*1KL</t>
  </si>
  <si>
    <t>DOBLE MAESTRO DIAMANTE 750ML</t>
  </si>
  <si>
    <t>DON JULIO 70 700ML</t>
  </si>
  <si>
    <t>DON JULIO AÃ‘EJO X700ML</t>
  </si>
  <si>
    <t>ESPUMANTE CHANDON ARGENTINA BRUT 187ML</t>
  </si>
  <si>
    <t>FREIXENET CORDÃ“N NEGRO BRUT 187ML</t>
  </si>
  <si>
    <t>FREIXENET CORDÃ“N NEGRO BRUT 750ML</t>
  </si>
  <si>
    <t>GINEBRA SELVA X700ML</t>
  </si>
  <si>
    <t>GREY GOOSE ORIGINAL 700ML</t>
  </si>
  <si>
    <t>HONDASHI*1KG</t>
  </si>
  <si>
    <t>JABON REY 300G</t>
  </si>
  <si>
    <t>LA CELIA RESERVA CHARDONNAY 750L</t>
  </si>
  <si>
    <t>LAUREL X KILO</t>
  </si>
  <si>
    <t>LICOR 43*750ML</t>
  </si>
  <si>
    <t>LIMON DESHIDRATADO *500G</t>
  </si>
  <si>
    <t>LIMPIAVIDRIOS SANIPLUS*4L</t>
  </si>
  <si>
    <t>LYCHEE SAN VALENTIN 567G DREN 225G</t>
  </si>
  <si>
    <t>MENADE ORGANIC SAUVIGNON, CASTILLA Y LEON, SPAIN VERDEJO</t>
  </si>
  <si>
    <t>MIONETTO PROSECCO DOC TREVISO PRESTIGE COLLECTION BRUT 0.75L</t>
  </si>
  <si>
    <t>MIONETTO PROSECCO DOC TREVISO PRESTIGE COLLECTION BRUT 187L</t>
  </si>
  <si>
    <t>MIONETTO PROSECCO TREVISO BRUT DOC "AVANTGARDE"  187L</t>
  </si>
  <si>
    <t>NUEZ PECANA X 907 GR</t>
  </si>
  <si>
    <t>PELIE VINIPEL 12PULGX1500MTS SM-300-1500</t>
  </si>
  <si>
    <t>PINCHO CALAVERA MEX 12CMX100 LACELIER</t>
  </si>
  <si>
    <t>PITILLOS DESECHABLES *200 UND</t>
  </si>
  <si>
    <t>QUESO PARMESSANO EN CUÃ‘A *1K</t>
  </si>
  <si>
    <t>QUESO PHILADELPHIA KRAFT 190GR</t>
  </si>
  <si>
    <t>RED BULL ENERGY DRINK, 8.3OZ. CAN, 24/CT, ORIGINAL</t>
  </si>
  <si>
    <t>RESERVA DE DON JULIO BLANCO 0,70L</t>
  </si>
  <si>
    <t>ROLLO DE ETIQUETAS ADHESIVAS 50*74 MM X 1000UND</t>
  </si>
  <si>
    <t>ROLLO TERMICO IMPRESORA 70*80 PQT6UND</t>
  </si>
  <si>
    <t>RON MEDELLIN 3 AÃ‘OS 750ML</t>
  </si>
  <si>
    <t>RON ZACAPA AMBAR 12 AÃ‘OS 750ML</t>
  </si>
  <si>
    <t>SODA COCINA</t>
  </si>
  <si>
    <t>SUB. CAMOTE GLASEADO</t>
  </si>
  <si>
    <t>SUMA GRIL *5L REF:AV0077</t>
  </si>
  <si>
    <t>TANQUERAY LONDON DRY GIN 0.70L</t>
  </si>
  <si>
    <t>TE HATSU AZUL 400ML X 6</t>
  </si>
  <si>
    <t>TE HATSU LILA 400ML X6</t>
  </si>
  <si>
    <t>TE HATSU NEGRO 400ML X6</t>
  </si>
  <si>
    <t>TE HATSU ROJO 400X6</t>
  </si>
  <si>
    <t>TE HATSU ROSAS  400ML X6</t>
  </si>
  <si>
    <t>TEQUILA 1800 REPOSADO 700ML</t>
  </si>
  <si>
    <t>TOALLA MICROFIBRA 50*50</t>
  </si>
  <si>
    <t>VEUVE DURAND CHAMPAGNE BRUT RÃ‰SERVE</t>
  </si>
  <si>
    <t>VINO TARAPACA CABERNET SAUVIGNON BL 750ML</t>
  </si>
  <si>
    <t>VINO TARAPACA VARIETAL ROSÃ‰ 75CL</t>
  </si>
  <si>
    <t>VINO TINTO LA CELIA RESERVA MALBEC</t>
  </si>
  <si>
    <t>VINO TINTO OSTATU CRIANZA 750ML</t>
  </si>
  <si>
    <t>VINO TINTO RAMÃ“N BILBAO CRIANZA TEMPRANILLO</t>
  </si>
  <si>
    <t>VINO TINTO TARAPACÃ MERLOT 750 ML</t>
  </si>
  <si>
    <t>WHISKY MACALLAN 12 AÃ‘OS *750</t>
  </si>
  <si>
    <t>CAUSA LIMEÑA</t>
  </si>
  <si>
    <t xml:space="preserve">SUB. MAYONESA ACEVICHADA </t>
  </si>
  <si>
    <t>SUB. POLLO LIMEÃ‘O</t>
  </si>
  <si>
    <t>Coste</t>
  </si>
  <si>
    <t>SERV. DE LUJO EXTRAF X50U 72501-72506</t>
  </si>
  <si>
    <t>CAJA 10 LT VAINILLA POP CREM</t>
  </si>
  <si>
    <t>MEZCLADORES DE LICOR*100 UND</t>
  </si>
  <si>
    <t>ACEITE DE AJONJOLI KADOYA X 1.62LT</t>
  </si>
  <si>
    <t>AGUARDIENTE ANTIOQUEÃ‘O VERDE 750ML</t>
  </si>
  <si>
    <t>AJONJOLI NEGRO X 500GR</t>
  </si>
  <si>
    <t>BOLSA TRASNP 8*12 ALTA X100UND</t>
  </si>
  <si>
    <t>CEBOLLIN*KILO</t>
  </si>
  <si>
    <t>ESPUMANTE CHANDON EXTRA BRUT BLANC DE NOIR 750ML</t>
  </si>
  <si>
    <t>FINCA LAS MORAS BLACK LABEL MALBEC 750ML</t>
  </si>
  <si>
    <t>HASIS BAMBOO ATL PAQ X 100UND</t>
  </si>
  <si>
    <t xml:space="preserve">MASAGO X 4.4 LB </t>
  </si>
  <si>
    <t>MENADE SAUVIGNON BLANC RUEDA 2023 (BIO)</t>
  </si>
  <si>
    <t>MIONETTO PROSECCO ROSE DOC 750L</t>
  </si>
  <si>
    <t>PH INDICADOR STRIPS ROLL-EDEN-REF DAV72577</t>
  </si>
  <si>
    <t>ROLLO PAPEL ALUMINIO TUC 300METROS</t>
  </si>
  <si>
    <t>SORBATO DE POTASIO * KILO</t>
  </si>
  <si>
    <t>SUB. RELLENO DE ATUN PARA WONTON</t>
  </si>
  <si>
    <t>TAPA VASO 16ONZ DARNEL*50UND</t>
  </si>
  <si>
    <t>VINO LAS MORAS ROSADO SYRAH 750ML</t>
  </si>
  <si>
    <t>COCONUT SOUR</t>
  </si>
  <si>
    <t xml:space="preserve">DRY MARTINI </t>
  </si>
  <si>
    <t>MEZCAL CONEJO CHINGON</t>
  </si>
  <si>
    <t>TACU TACU DE LOMO SALTADO CLASICO</t>
  </si>
  <si>
    <t>GIN GORDONS CLASICA</t>
  </si>
  <si>
    <t>ACEITUNA</t>
  </si>
  <si>
    <t>ADICION CANCHA Y CHIPS</t>
  </si>
  <si>
    <t>AGUACATE</t>
  </si>
  <si>
    <t>ARROZ CREMOSO ADC</t>
  </si>
  <si>
    <t>CAMOTE</t>
  </si>
  <si>
    <t>CEREZA</t>
  </si>
  <si>
    <t>ENSALADA</t>
  </si>
  <si>
    <t>FILETE DE SALMON</t>
  </si>
  <si>
    <t>FILETE DE TILAPIA</t>
  </si>
  <si>
    <t>FRESA</t>
  </si>
  <si>
    <t>HELADO</t>
  </si>
  <si>
    <t>HUEVO</t>
  </si>
  <si>
    <t xml:space="preserve">LECHE </t>
  </si>
  <si>
    <t>LYCHE</t>
  </si>
  <si>
    <t>MAYO ACEVICHADA</t>
  </si>
  <si>
    <t>MEJILLONES</t>
  </si>
  <si>
    <t>PAPA A LA FRANCESA</t>
  </si>
  <si>
    <t>PULPO</t>
  </si>
  <si>
    <t>QUESO PARMESSANO</t>
  </si>
  <si>
    <t>SALSA CRIOLLA</t>
  </si>
  <si>
    <t>SALSA DE TOMATE</t>
  </si>
  <si>
    <t>SALSA EMPANADAS</t>
  </si>
  <si>
    <t>SALSA HUACAINA</t>
  </si>
  <si>
    <t>SALSA MELCOCHA</t>
  </si>
  <si>
    <t>SALSA WONTON</t>
  </si>
  <si>
    <t>SOLOMITO ROCOTO</t>
  </si>
  <si>
    <t>VEGETALES SALTADOS (R)</t>
  </si>
  <si>
    <t xml:space="preserve">RAMON BILBAO ROSADO </t>
  </si>
  <si>
    <t xml:space="preserve">TARAPACA ROSÉ </t>
  </si>
  <si>
    <t>CHANDON ARGENTINA BRUT PIBA</t>
  </si>
  <si>
    <t>CHANDON EXTRA BRUT BLANC PIBA</t>
  </si>
  <si>
    <t>ESPUMANTE CHANDON ARGENTINA</t>
  </si>
  <si>
    <t xml:space="preserve">FREIXENET CAVA CORDON ROSADO </t>
  </si>
  <si>
    <t>FREIXENET CAVA CORDON ROSADO 75CL BRUT</t>
  </si>
  <si>
    <t>FREIXENET NEGRO BRUT PIBA</t>
  </si>
  <si>
    <t>FREIXENET ROSADO PIBA</t>
  </si>
  <si>
    <t>FREIXENET CAVA CORDON ROSADO 187 BRUT</t>
  </si>
  <si>
    <t>LAMBRUSCO BLANCO</t>
  </si>
  <si>
    <t>MIONETTO PROSECCO DOC</t>
  </si>
  <si>
    <t>MIONETTO PROSECCO ITALIA PIBA</t>
  </si>
  <si>
    <t>MIONETTO PROSECCO PIBA</t>
  </si>
  <si>
    <t>MIONETTO PROSECCO ROSE</t>
  </si>
  <si>
    <t>VEUVE CLICQUOT FRANCIA</t>
  </si>
  <si>
    <t>VEUVE CLICQUOT PONSARDIN BRUT, FRANCIA.</t>
  </si>
  <si>
    <t xml:space="preserve">VEUVE CLICQUOT ROSÉ </t>
  </si>
  <si>
    <t>VEUVE CLICQUOT ROSÃ‰ NV GIFT BOX, 75 CL</t>
  </si>
  <si>
    <t>VEUVE DURAND CHAMPAGNE BRUT</t>
  </si>
  <si>
    <t>VINO PICCINI LAMBRUSCI TINTO REGNO DOC</t>
  </si>
  <si>
    <t>VINO PICCINI LAMBRUSCO ROSADO REGNO</t>
  </si>
  <si>
    <t>FINCA LAS MORAS BLACK LABEL MALBEC</t>
  </si>
  <si>
    <t>FINCA LAS MORAS CABERNET SAUUVIGNON</t>
  </si>
  <si>
    <t>LA CELIA RESERVA</t>
  </si>
  <si>
    <t>OSTATU CRIANZA TEMPRANILLO</t>
  </si>
  <si>
    <t>TARAPACA TINTO MALBEC</t>
  </si>
  <si>
    <t>VINO TINTO TARAPACA MALBEC 750 ML</t>
  </si>
  <si>
    <t>VINO TARAPACA CABERNET</t>
  </si>
  <si>
    <t>VINO TARAPACA MERLOT</t>
  </si>
  <si>
    <t>RON MEDELLIN 8 AÃ‘OS 750ML</t>
  </si>
  <si>
    <t>RESERVA DE DON JULIO BLANCO</t>
  </si>
  <si>
    <t xml:space="preserve">WHISKY OLD PARR 12 AÑOS </t>
  </si>
  <si>
    <t xml:space="preserve">BULLEIT BOURBON </t>
  </si>
  <si>
    <t>TRAGO BUCHANANS 18 AÑOS</t>
  </si>
  <si>
    <t>ABSOLUT MEDIA</t>
  </si>
  <si>
    <t>GREY GOOSE ORIGINAL</t>
  </si>
  <si>
    <t>GINEBRA SELVA</t>
  </si>
  <si>
    <t>GINEBRA HENDRICKS</t>
  </si>
  <si>
    <t>BOT LICOR 43</t>
  </si>
  <si>
    <t>Uds</t>
  </si>
  <si>
    <t>SUB. MACERADO DE MARACUMANGO</t>
  </si>
  <si>
    <t>SUB. MACERADO DE PISCOS HIERBA-LUISA</t>
  </si>
  <si>
    <t>PARRILLA MAR Y TIERRA</t>
  </si>
  <si>
    <t xml:space="preserve">MENADE SAUVIGNON </t>
  </si>
  <si>
    <t>TARAPACA SAUVIGNON BLANC</t>
  </si>
  <si>
    <t>COPA DE VINO TARAPACA TINTO</t>
  </si>
  <si>
    <t>Familia</t>
  </si>
  <si>
    <t>Suma de Uds.V</t>
  </si>
  <si>
    <t>Suma de Base</t>
  </si>
  <si>
    <t>Suma de Impuestos</t>
  </si>
  <si>
    <t>Suma de Neto</t>
  </si>
  <si>
    <t>COCTELES TRADICIONALES</t>
  </si>
  <si>
    <t xml:space="preserve"> RAMÃ“N BILBAO TEMPRANILLO</t>
  </si>
  <si>
    <t>VINO TINTO</t>
  </si>
  <si>
    <t xml:space="preserve">ADICION CHIPS </t>
  </si>
  <si>
    <t xml:space="preserve">AGUA CON GAS </t>
  </si>
  <si>
    <t>BEBIDAS</t>
  </si>
  <si>
    <t>AGUA PANNA</t>
  </si>
  <si>
    <t>AGUA S PELLEGRINO</t>
  </si>
  <si>
    <t>AGUA SIN GAS</t>
  </si>
  <si>
    <t xml:space="preserve">AGUA TONICA </t>
  </si>
  <si>
    <t>MEZCLADORES</t>
  </si>
  <si>
    <t>AGUILA</t>
  </si>
  <si>
    <t xml:space="preserve">CERVEZA </t>
  </si>
  <si>
    <t>AGUILA LIGHT</t>
  </si>
  <si>
    <t>AJÃ DE GALLINA</t>
  </si>
  <si>
    <t>AMARETTO DISARONNO</t>
  </si>
  <si>
    <t>APERITIVOS DIGESTIVOS</t>
  </si>
  <si>
    <t>AMERICANO</t>
  </si>
  <si>
    <t>CAFES</t>
  </si>
  <si>
    <t>SPRILZ</t>
  </si>
  <si>
    <t>AROMATICA DE FRUTOS ROJOS</t>
  </si>
  <si>
    <t>AROMATICAS</t>
  </si>
  <si>
    <t>ARROZ CON POLLO PERUANO (PERSONAL)</t>
  </si>
  <si>
    <t>MENU PERSONAL</t>
  </si>
  <si>
    <t>BONO REGALO</t>
  </si>
  <si>
    <t>BOTELLA DE AGUARDIENTE ANTIOQUEÃ‘O TAPA AZUL</t>
  </si>
  <si>
    <t>WHISKY</t>
  </si>
  <si>
    <t xml:space="preserve">CAPUCCINO </t>
  </si>
  <si>
    <t>CAUSA LIMEÃ‘A</t>
  </si>
  <si>
    <t>CAUSIÃ‘O MACUL DON LUIS SAUVIGNON BLANC</t>
  </si>
  <si>
    <t>VINO BLANCO</t>
  </si>
  <si>
    <t>CERVEZA STELLA ARTOIS</t>
  </si>
  <si>
    <t>CEVICHE CARRETILLERO</t>
  </si>
  <si>
    <t>SUGERIDOS DEL CHEF</t>
  </si>
  <si>
    <t>CHAPAÃ‘AS Y ESPUMOSOSO</t>
  </si>
  <si>
    <t>CHAUFA CHICHARRON (PERSONAL)</t>
  </si>
  <si>
    <t>CHAUFA DE CAMARONES</t>
  </si>
  <si>
    <t>CHAUFA SOLOMITO Y MARISCOS</t>
  </si>
  <si>
    <t>BEBIDAS SIN ALCOHOL</t>
  </si>
  <si>
    <t>CHILCANO MACERADO HIERBA-LUISA</t>
  </si>
  <si>
    <t>CEVICHES PISCOS Y AMIGOS</t>
  </si>
  <si>
    <t>CHILCANO MACERADO MARACUMANGO</t>
  </si>
  <si>
    <t>CIDRAS Y ROSAS</t>
  </si>
  <si>
    <t>CLUB COLOMBIA DORADA</t>
  </si>
  <si>
    <t>CLUB COLOMBIA ROJA</t>
  </si>
  <si>
    <t>COCA COLA ORIGINAL</t>
  </si>
  <si>
    <t>COCA COLA ZERO</t>
  </si>
  <si>
    <t>COMBO SAN VALENTIN ROCOTO</t>
  </si>
  <si>
    <t>EVENTOS</t>
  </si>
  <si>
    <t>COPA DE VINO TARAPACA BLANC</t>
  </si>
  <si>
    <t>VINOS POR COPA</t>
  </si>
  <si>
    <t>COPA DE VINO TARAPACA ROSADO</t>
  </si>
  <si>
    <t>COPA RAMON BILBAO CRIANZA</t>
  </si>
  <si>
    <t>COPA RAMON BILBAO ROSE</t>
  </si>
  <si>
    <t>COPA RAMON BILBAO VERDEJO</t>
  </si>
  <si>
    <t xml:space="preserve">COPA SANGRIA BLANCA </t>
  </si>
  <si>
    <t xml:space="preserve">COPA SANGRIA ROSE </t>
  </si>
  <si>
    <t xml:space="preserve">COPA SANGRIA TINTO </t>
  </si>
  <si>
    <t>CORONA</t>
  </si>
  <si>
    <t>CORTESIA CANCHA Y CHIPS</t>
  </si>
  <si>
    <t>CORTESIAS</t>
  </si>
  <si>
    <t>CUSQUEÃ‘A</t>
  </si>
  <si>
    <t>TEQUILA</t>
  </si>
  <si>
    <t>ELDER FLOWER</t>
  </si>
  <si>
    <t>EXPRESO</t>
  </si>
  <si>
    <t>PASTAS</t>
  </si>
  <si>
    <t>FETUCINNE INFANTIL</t>
  </si>
  <si>
    <t>FREIXENET CORDÃ“N NEGRO</t>
  </si>
  <si>
    <t>GIN TONICS</t>
  </si>
  <si>
    <t>GIN GORDONS PINK</t>
  </si>
  <si>
    <t>GINGER BEER</t>
  </si>
  <si>
    <t>JENGIBRE Y COCO</t>
  </si>
  <si>
    <t>JUGOS Y LIMONADAS</t>
  </si>
  <si>
    <t>JUNIPER TORONJA</t>
  </si>
  <si>
    <t xml:space="preserve">LA CELIA RESERVA CHARDONNAY </t>
  </si>
  <si>
    <t>LIMON MICHELADO</t>
  </si>
  <si>
    <t>MAR DE FRADES ALBARIÃ‘O</t>
  </si>
  <si>
    <t xml:space="preserve">MARGARITA CON DON JULIO </t>
  </si>
  <si>
    <t>MEDIA AGUARDIENTE AZUL</t>
  </si>
  <si>
    <t>MEDIA AGUARDIENTE ROJO</t>
  </si>
  <si>
    <t>MEDIA RON MEDELLIN 8 AÃ‘OS</t>
  </si>
  <si>
    <t>MEDIO LITRO OLD PARR</t>
  </si>
  <si>
    <t>MENU INFANTIL DE PESCADO</t>
  </si>
  <si>
    <t>MENU INFANTIL DE POLLO</t>
  </si>
  <si>
    <t>MENU INFANTIL DE POLLO /ROCOTO</t>
  </si>
  <si>
    <t>MENU INFANTIL DE SOLOMITO (ROCOTO)</t>
  </si>
  <si>
    <t xml:space="preserve">MOJITO ZACAPA </t>
  </si>
  <si>
    <t>MOSCOW MULE VODKA</t>
  </si>
  <si>
    <t>ND</t>
  </si>
  <si>
    <t>OTROS</t>
  </si>
  <si>
    <t>PAGUE 2 LLEVE 3</t>
  </si>
  <si>
    <t>PALOMITA PERUANA</t>
  </si>
  <si>
    <t>PAPA A LA HUANCAINA</t>
  </si>
  <si>
    <t>PAPA DORADA</t>
  </si>
  <si>
    <t>PAPA ESPIRAL</t>
  </si>
  <si>
    <t>PASTA AL BURRO</t>
  </si>
  <si>
    <t>PENICILINA ROCOTO</t>
  </si>
  <si>
    <t>PERUVIAN SURF &amp; TURF</t>
  </si>
  <si>
    <t>PIQUEO CEVICHES</t>
  </si>
  <si>
    <t xml:space="preserve">PIQUEO DE MAR </t>
  </si>
  <si>
    <t>POLLO SALTADO (PERSONAL)</t>
  </si>
  <si>
    <t>VINO ROSADO</t>
  </si>
  <si>
    <t xml:space="preserve">RED BULL </t>
  </si>
  <si>
    <t>RON MEDELLIN 8 AÃ‘OS</t>
  </si>
  <si>
    <t>RON ZACAPA AMBAR 12 AÃ‘OS</t>
  </si>
  <si>
    <t>ROSAS Y LYCHEES</t>
  </si>
  <si>
    <t xml:space="preserve">SODA </t>
  </si>
  <si>
    <t>SODA DE LYCHEES</t>
  </si>
  <si>
    <t>SODAS</t>
  </si>
  <si>
    <t>SODA DE MARACUYÃ</t>
  </si>
  <si>
    <t>SODA FRUTOS ROJOS</t>
  </si>
  <si>
    <t>SODAS FRUTOS ROJOS</t>
  </si>
  <si>
    <t>PROTEINAS</t>
  </si>
  <si>
    <t>SPRING ROLLS AJÃ DE GALLINA</t>
  </si>
  <si>
    <t>SPRITE</t>
  </si>
  <si>
    <t>SUSPIRO CUMPLEAÃ‘OS</t>
  </si>
  <si>
    <t xml:space="preserve">SUSPIRO DE CORTESIA </t>
  </si>
  <si>
    <t xml:space="preserve">TARAPACA ROSÃ‰ </t>
  </si>
  <si>
    <t>TENTACIÃ“N DEL MAR</t>
  </si>
  <si>
    <t>TILAPIA APANADA CON ARROZ Y YUCA</t>
  </si>
  <si>
    <t>TORNADO DE SALMÃ“N</t>
  </si>
  <si>
    <t>TORREALTA</t>
  </si>
  <si>
    <t xml:space="preserve">TRAGO 400 CONEJOS </t>
  </si>
  <si>
    <t>MEZCAL</t>
  </si>
  <si>
    <t>TRAGO AGUARDIENTE AZUL</t>
  </si>
  <si>
    <t>TRAGO AGUARDIENTE ROJO</t>
  </si>
  <si>
    <t>TRAGO AMARETTO DISARONNO</t>
  </si>
  <si>
    <t>TRAGO BUCHANANS 12 AÃ‘OS</t>
  </si>
  <si>
    <t>TRAGO BUCHANANS 18 AÃ‘OS</t>
  </si>
  <si>
    <t xml:space="preserve">TRAGO BULLEIT BOURBON </t>
  </si>
  <si>
    <t>TRAGO CAMPARI</t>
  </si>
  <si>
    <t>TRAGO DE PISCO MOSTOVERDE</t>
  </si>
  <si>
    <t>TRAGO DON JULIO AÃ‘EJO</t>
  </si>
  <si>
    <t xml:space="preserve">TRAGO GREY GOOSE ORIGINAL </t>
  </si>
  <si>
    <t xml:space="preserve">TRAGO OLD PARR </t>
  </si>
  <si>
    <t>TRAGO PISCO ACHOLADO</t>
  </si>
  <si>
    <t xml:space="preserve">TRAGO PISCO QUEBRANTA </t>
  </si>
  <si>
    <t>TRAGO RESERVA DE DON JULIO BLANCO</t>
  </si>
  <si>
    <t>TRAGO RON BACARDI</t>
  </si>
  <si>
    <t>TRAGO RON MEDELLIN 3 AÃ‘OS</t>
  </si>
  <si>
    <t>TRAGO RON MEDELLIN 8 AÃ‘OS</t>
  </si>
  <si>
    <t>TRAGO RON ZACAPA 23 AÃ‘OS</t>
  </si>
  <si>
    <t>TRAGO RON ZACAPA AMBAR 12 AÃ‘OS</t>
  </si>
  <si>
    <t>TRAGO TANQUERAY LONDON DRY</t>
  </si>
  <si>
    <t>TRAGO TEQUILA 1800 REPOSADO</t>
  </si>
  <si>
    <t>TRAGO WHISKY MACALLAN</t>
  </si>
  <si>
    <t>TRILOGÃA PERÃš</t>
  </si>
  <si>
    <t>VINOS</t>
  </si>
  <si>
    <t>ZUMO DE LIMON</t>
  </si>
  <si>
    <t>Participacion %</t>
  </si>
  <si>
    <t>Rotacion</t>
  </si>
  <si>
    <t xml:space="preserve">TE HATSU </t>
  </si>
  <si>
    <t>PRECIO FINAL</t>
  </si>
  <si>
    <t>AGUARDIENTE ANTIOQUEÃ‘O VERDE 375ML</t>
  </si>
  <si>
    <t>BOLSA AL VACIO 32*42 DE 65 MICRAS N</t>
  </si>
  <si>
    <t>COBERTURA MON NEGRA X 2,5KL LUKER-CAJAX4-5%</t>
  </si>
  <si>
    <t>ESENCIA DE VAINILLA X500C.C</t>
  </si>
  <si>
    <t>LIMPION INDUSTRIAL FAMILIA 74167 *1 UND</t>
  </si>
  <si>
    <t>MAYOESA ALASENA X475G</t>
  </si>
  <si>
    <t>TIRILLA MEDI CHLORINE 10-200PPM DAV72431</t>
  </si>
  <si>
    <t>TOMILLO X KILO</t>
  </si>
  <si>
    <t>SUB. POLLO AJI DE GALLINA</t>
  </si>
  <si>
    <t xml:space="preserve">SUB. VINAGRETA ENSALADA </t>
  </si>
  <si>
    <t xml:space="preserve">MEDIA RON MEDELLIN 8 AÑOS </t>
  </si>
  <si>
    <t>TE HATSU AMARILLO</t>
  </si>
  <si>
    <t xml:space="preserve">TE HATSU AZUL </t>
  </si>
  <si>
    <t xml:space="preserve">TE HATSU BLANCO </t>
  </si>
  <si>
    <t xml:space="preserve">TE HATSU LILA </t>
  </si>
  <si>
    <t xml:space="preserve">TE HATSU NEGRO </t>
  </si>
  <si>
    <t>TE HATSU ROJO</t>
  </si>
  <si>
    <t>TE HATSU ROSAS</t>
  </si>
  <si>
    <t>ARROZ AL AJI AMARILLO</t>
  </si>
  <si>
    <t>ARROZ CHAUFA CAMARON</t>
  </si>
  <si>
    <t>CAUSA DE ATUN</t>
  </si>
  <si>
    <t>SUB. CAUSA DE ATUN</t>
  </si>
  <si>
    <t>CAUSA DE CAMARONES</t>
  </si>
  <si>
    <t>SUB. QUINUA POP</t>
  </si>
  <si>
    <t>VINO ROSALEDA SAUV BLANC 750 ML</t>
  </si>
  <si>
    <t xml:space="preserve">MAYONESA ESP ZAFRAN X 3600G 685-542-102 </t>
  </si>
  <si>
    <t>Finas láminas de atún fresco, salmón fresco y pesca blanca acompañados de tres diferentes salsas peruanas</t>
  </si>
  <si>
    <t>Trozos de salmón y pesca blanca, marinados en leche de tigre tradicional con palta, tomate concasse y toques de albaha montados sobre un espejo de mermelada de ají amarillo, acompañado con tostadas de wonton.</t>
  </si>
  <si>
    <t>Bocados de salmón fresco, queso crema philadelphia, palta, wakame, salsa dinamita y teriyaki de maíz morado.</t>
  </si>
  <si>
    <t>Crujientes de chicharrón sobre una salsa cítrica de ají amarillo, acompañados de salsa criolla peruana, chips de plátano y palta.</t>
  </si>
  <si>
    <t>Bocados de pesca blanca, rellenos con palta, queso crema philadelphia y pure de camote sobre una salsa cremosa de aji panca y trufa</t>
  </si>
  <si>
    <t>5 langostinos apanados en queso parmesano, acompañados con crema melcocha y mezclum.</t>
  </si>
  <si>
    <t>Clásica preparación peruana de pollo al ají de gallina envueltos en masa crocante, servidos con salsa huancaína</t>
  </si>
  <si>
    <t>Empanadas de maíz pintadas con tinta de calamar, rellenas de pollo al ají de gallina, servidas con salsa criolla picosa</t>
  </si>
  <si>
    <t>Crocantes de yuca y plátano con salsa huancaína y guacamole de la casa.</t>
  </si>
  <si>
    <t>Pescado, calamar, camarón y palta en leche de tigre al ají rocoto, acompañado de pescado crocante</t>
  </si>
  <si>
    <t>Pescado, calamar, camarón, camote, mango y maíz choclo en leche de tigre tradicional, acompañado de calamares crocantes y camote. </t>
  </si>
  <si>
    <t>Pescado fresco del día en leche de tigre tradicional, maíz choclo, cancha y camote</t>
  </si>
  <si>
    <t>Abundante jugo de ceviche con pescado, tempura de calamar, camote, cancha y chips de platano.</t>
  </si>
  <si>
    <t>Filete de salmón a la plancha bañado en salsa cremosa de camarones, servido sobre una cama de arroz meloso al ají amarillo con tomates cherry y puerros crocantes. </t>
  </si>
  <si>
    <t>Filete de salmón a la plancha bañado en salsa cremosa de camarones, servido sobre una cama de arroz meloso al ají amarillo con tomates cherry y puerros crocantes.</t>
  </si>
  <si>
    <t>Filete de atún maguro sellado con ajonjolí negro, servido sobre una cama de arroz cremoso en leche de coco, chimichurri peruano y puerros crocantes</t>
  </si>
  <si>
    <t>Clásica preparación peruana, Filete de pescado blanco rebosado en salsa al escabeche, huevos codorniz y aceitunas moradas. Acompañado con arroz blanco y yuca</t>
  </si>
  <si>
    <t>Arroz con mariscos, elaborado con una salsa a base de cerveza negra y ají panca, acompañado con y un langostino crocante y chips de plátano.</t>
  </si>
  <si>
    <t>Arroz cremoso de mariscos en de leche de coco, queso parmesano, acompañado de fosforitos de papa.</t>
  </si>
  <si>
    <t>Arroz meloso con vegetales,palta parrillada,chalaquita acevichada,platanito maduro y tocino crocante </t>
  </si>
  <si>
    <t>Cubos de solomito saltado al estilo peruano con tomates y cebollas, servido sobre papas a la francesa, acompañado de arroz blanco.</t>
  </si>
  <si>
    <t>Medallones de solomito bañados en salsa de queso decorado con pimienta rosada, acompañado de vegetales saltados o papas a la francesa.</t>
  </si>
  <si>
    <t>Tiernos cortes de solomito bañados en salsa anticuhera, servidos sobre pure de papa cremoso con tomates perla, queso parmesano y un toque de puerros crocantes. </t>
  </si>
  <si>
    <t>Costilla St. Louis hecha en cocción lenta al horno., bañadas en salsa anticuchera. Acompañadas de arroz norteño ( al cilantro ) o papa a la huancaina.</t>
  </si>
  <si>
    <t>Disfruta de nuestra versión del clásico Tacu - tacu peruano. calentado peruano elaborado con frijol canario encostrado en plancha, con lomo saltado huevo frito y plátano asado.</t>
  </si>
  <si>
    <t>Clásica preparación limeña de pollo desmechado, servido sobre una base de papas, bañado con una crema de ají amarillo y pecanas. Finalizado con huevo de codorniz y aceitunas </t>
  </si>
  <si>
    <t>Arroz peruano de camarones, ceviche tradicional de pescado y chicharrón de calamar con salsa huancaína.</t>
  </si>
  <si>
    <t>Clásica preparación limeña de pollo desmechado, servido sobre una base de papas, bañado con una crema de ají amarillo y pecanas. Finalizado con huevo de codorniz y aceitunas</t>
  </si>
  <si>
    <t>SUB. TARTARA RC</t>
  </si>
  <si>
    <t>Tentáculos de pulpo Parrillado en aceite de oliva y chimichurri, acompañado de papas criollas champiño, tomate cherry parrillado, cebolla y salsa huancaina</t>
  </si>
  <si>
    <t>SUB. TARTAR DE LA CASA ROCOTO</t>
  </si>
  <si>
    <t>SUB. REJILLA DE PAPA</t>
  </si>
  <si>
    <t>HOJA DE BIJAO</t>
  </si>
  <si>
    <t>ACEITE DE OLIVA VIR EXTRA GRAN S ABRIL PX1L</t>
  </si>
  <si>
    <t xml:space="preserve">SUB. MACERADO DE UCHUVA Y AJI ROCOTO </t>
  </si>
  <si>
    <t>CAUSA ACEVICHADA</t>
  </si>
  <si>
    <t>SUB. BASE PESTO PERÃš</t>
  </si>
  <si>
    <t>TRILOGIA DE CEVICHES</t>
  </si>
  <si>
    <t>FILETE DE POLLO X 180GR</t>
  </si>
  <si>
    <t>SUB. CHIPS DE CAMOTE</t>
  </si>
  <si>
    <t>SUB. BASE AJI DE GALLINA</t>
  </si>
  <si>
    <t>SUB. TORTA DE CHOCOLATE</t>
  </si>
  <si>
    <t>SUB. GANACHE DE CHOCOLATE</t>
  </si>
  <si>
    <t>HIERBA BUENA X 500 KILO</t>
  </si>
  <si>
    <t xml:space="preserve">SUB.  TIERRA DE MANI Y PECANAS </t>
  </si>
  <si>
    <t xml:space="preserve">TORTA DE CHOCOLATE </t>
  </si>
  <si>
    <t>EL PESTO DE LA ABUELA</t>
  </si>
  <si>
    <t>SUB. MASA PARA EMPANADAS ROCOTO</t>
  </si>
  <si>
    <t>SUB. RELLENO EMPANADA DE LOMO SALTADO</t>
  </si>
  <si>
    <t>ALMUERZOS</t>
  </si>
  <si>
    <t>=+[@BASE]/[@COSTO]</t>
  </si>
  <si>
    <t xml:space="preserve">VODKA SKYY 750ML </t>
  </si>
  <si>
    <t>SANDUCHE DE CHICHARRON ROCOTO</t>
  </si>
  <si>
    <t>MAYONESA ALASENA X475G</t>
  </si>
  <si>
    <t>PAN FRANCES 100GR 9.5- 10CM</t>
  </si>
  <si>
    <t>ACEITUNA VERDE DESHUESADA 330GNDO</t>
  </si>
  <si>
    <t xml:space="preserve">ADEREZO QUESO CHEDDAR X 1L </t>
  </si>
  <si>
    <t>AGUA CRISTAL P600X 24 SINPRE</t>
  </si>
  <si>
    <t>AGUA HATSU X 6UND</t>
  </si>
  <si>
    <t>AHUMADO/SALSA HUMO ASTEK X 3850ML</t>
  </si>
  <si>
    <t>AJI CHILE X KILO</t>
  </si>
  <si>
    <t>AJI JALAPEÃ‘O*1KL</t>
  </si>
  <si>
    <t>AJO EN POLVO P&amp;L GOURMET FRASCO X500G</t>
  </si>
  <si>
    <t>AL-139 TAPA Y DOMO 12 ONZAS</t>
  </si>
  <si>
    <t xml:space="preserve">AL-24 BASE </t>
  </si>
  <si>
    <t>ANÃS EN GRANO</t>
  </si>
  <si>
    <t>ARVEJA DESGRANADA X KILO</t>
  </si>
  <si>
    <t>AZUCAR MICROPULVERIZADA X 500G</t>
  </si>
  <si>
    <t>BANANO X KILO</t>
  </si>
  <si>
    <t>BASURERO PEDAL ACERINOX12LT TRAMONTINA 94538112</t>
  </si>
  <si>
    <t>BOLSA 1X0 (18X 12cm)</t>
  </si>
  <si>
    <t>BOLSA CON AGARRADERA TROQUELADA DE 29X19X32</t>
  </si>
  <si>
    <t>BOLSA KRAF NÂ° 25 *100 UND</t>
  </si>
  <si>
    <t>BOLSA KRAF NÂ° 6 X 100UNDEMP093</t>
  </si>
  <si>
    <t>BOLSA PLANA FLEXIBLE SIN IMPRESION TRANSPARENTE 20X35 CM 70 MICRAS</t>
  </si>
  <si>
    <t>BOLSA PLANA FLEXIBLE SIN IMPRESION TRANSPARENTE 32X42 CM 70 MICRAS</t>
  </si>
  <si>
    <t xml:space="preserve">BOLSA ROJA 18*24 </t>
  </si>
  <si>
    <t>BOLSA TRASNP 6*8 ALTA X100UNDJ</t>
  </si>
  <si>
    <t>BOLSA ZIPLOC 20X30X100 UND</t>
  </si>
  <si>
    <t>BREAK UP CHLOR D3.4 *20L W5172-REF:100865811</t>
  </si>
  <si>
    <t>BRETAÃ‘A FRIOPACK 300L</t>
  </si>
  <si>
    <t>BULLDOG GIN 750ML</t>
  </si>
  <si>
    <t>CABEZA DE TILAPIA NEGRA X KILO</t>
  </si>
  <si>
    <t>CACAO ORGANICO GRANULADOA</t>
  </si>
  <si>
    <t>CACHAZA 61 *970ML</t>
  </si>
  <si>
    <t>CANADA DRY X300ML</t>
  </si>
  <si>
    <t>CANELA EN POLVO BADIA X454G</t>
  </si>
  <si>
    <t>CARBON FELIX 5LB</t>
  </si>
  <si>
    <t xml:space="preserve">CARDAMOMO ORO X500GR (PELADO) </t>
  </si>
  <si>
    <t>CASCARA DE LANGOSTINO X KILO</t>
  </si>
  <si>
    <t>CEBOLLA BLANCA LIMPIA X KILO</t>
  </si>
  <si>
    <t>CEBOLLA EN POLVO BADIA x500G</t>
  </si>
  <si>
    <t>CEBOLLA PUERRO X KILO</t>
  </si>
  <si>
    <t>CERVEZA HEINIKEN BOT.NR 330 6X4</t>
  </si>
  <si>
    <t>CERVEZA PILSEN RETORNABLE 330CC</t>
  </si>
  <si>
    <t>CHAMPIÃ‘ON ORELLANA X KILO</t>
  </si>
  <si>
    <t>CHAMPIÃ‘ON PORTOBELLO X KILO</t>
  </si>
  <si>
    <t>CHICHARRON X KILO</t>
  </si>
  <si>
    <t>CLAVOS DE OLOR ENTERO SAN VALENTIN x500G</t>
  </si>
  <si>
    <t>COCA COLA 1,5 LT PET</t>
  </si>
  <si>
    <t>COCO X KILO</t>
  </si>
  <si>
    <t>COLADOR INCAINOX 10CM INCAMETAL</t>
  </si>
  <si>
    <t>COLADOR INCAINOX 20CM INCAMETAL</t>
  </si>
  <si>
    <t>COLOR LA GRAN COCINA CIX 500GR</t>
  </si>
  <si>
    <t>CONDIMENTERO DE 6 COMPARTIMIENTOS WINCO CCH-6</t>
  </si>
  <si>
    <t>CONTENEDOR C1 (REM No 46532)</t>
  </si>
  <si>
    <t>CONTENEDOR P1 (REM No 46533)</t>
  </si>
  <si>
    <t>COSTILLA X UND 500GR</t>
  </si>
  <si>
    <t>CREMA DE AGRIA X400G</t>
  </si>
  <si>
    <t>CREMA DE COCO ROLAND X 960 GR</t>
  </si>
  <si>
    <t>CUAJADA COLANTA X 500G</t>
  </si>
  <si>
    <t>CUCHILLOS NEGROS DARNEL X100UND</t>
  </si>
  <si>
    <t>CURUBA * KILO</t>
  </si>
  <si>
    <t>DELANTAL GRANDE PROTEX BLANCO</t>
  </si>
  <si>
    <t>DESENGRASANTE SANIPLUS LM BRISA MARINA X4L</t>
  </si>
  <si>
    <t>DESINFECTANTE BIOBAC *1L</t>
  </si>
  <si>
    <t>DETERGENTE CREMA FROTEX VALVULA TX1000G</t>
  </si>
  <si>
    <t>DON JULIO REPOSADO 700ML</t>
  </si>
  <si>
    <t>ESCOBILLON SANITARIO BASE</t>
  </si>
  <si>
    <t>ESCURRIDOR DE PISO BANDA PQÃ‘O 1.50X52 CM</t>
  </si>
  <si>
    <t>ESPINACA BOGOTANA X KILO</t>
  </si>
  <si>
    <t xml:space="preserve">ESPONJA DE ALAMBRE LIDER </t>
  </si>
  <si>
    <t>ESPONJA DOBLE USO LAMINADA 3M VERDE</t>
  </si>
  <si>
    <t>ESPONJA ORO PLATA BRIO NRO 1-008</t>
  </si>
  <si>
    <t>ESPONJILLA RULO DE ACERO IN BRIOX12U AUT</t>
  </si>
  <si>
    <t>ESPUMOSO BARON DE ROTHERG BRUT 750</t>
  </si>
  <si>
    <t xml:space="preserve">FABULOSO SANIPLUS LMCANELA X GARRAFA </t>
  </si>
  <si>
    <t>FECULA MAO X 12 KG</t>
  </si>
  <si>
    <t>FILETE DE PECHUGA MARIPOSA *150G</t>
  </si>
  <si>
    <t>FILETE DE POLLO X 120GR</t>
  </si>
  <si>
    <t>FRESH CITRUS 1.5LT PET (12)NVOIIDAD</t>
  </si>
  <si>
    <t>GEL ANTIBACTERIAL SOFT CARE DESE H5X950M</t>
  </si>
  <si>
    <t>GORRO TIPO MONJA VELO 6UND</t>
  </si>
  <si>
    <t>GUANTES DE NITRIO TALLA S</t>
  </si>
  <si>
    <t>GUAYABA X KILO</t>
  </si>
  <si>
    <t>GULUPA X KILO</t>
  </si>
  <si>
    <t>HOJA DE COCA*300G</t>
  </si>
  <si>
    <t>HUACATAY *250G</t>
  </si>
  <si>
    <t>HUESO DE PESCADO MAR X KILO</t>
  </si>
  <si>
    <t>HUEVOS AAA</t>
  </si>
  <si>
    <t>JUNIPER COFFE SODA CAJA X 24</t>
  </si>
  <si>
    <t>LATA CHILE CON CARNE LATA*300G</t>
  </si>
  <si>
    <t>LEMÃ“N LIME BITTER</t>
  </si>
  <si>
    <t>LIMON MANDARINO X KILO</t>
  </si>
  <si>
    <t>LIMONCILLO X KILO</t>
  </si>
  <si>
    <t>LIMPIADOR DE ACERO INOXIDABLE LATA X296ML</t>
  </si>
  <si>
    <t>LIMPION IND DESECH HD 2X305M 74079</t>
  </si>
  <si>
    <t>MAIZ MORADO X KILO</t>
  </si>
  <si>
    <t>MAIZENA X  KILO</t>
  </si>
  <si>
    <t>MANDARINA X KILO</t>
  </si>
  <si>
    <t>MANGAS REPOSTERAS #18</t>
  </si>
  <si>
    <t>MANZANA ROJA X KILO</t>
  </si>
  <si>
    <t>MARACUYA X KILO</t>
  </si>
  <si>
    <t>MEZCAL UNIÃ“N EL JOVEN *700ML</t>
  </si>
  <si>
    <t>MEZCLADOR DE CAFE MADERA 11CM FESTIVALx500U</t>
  </si>
  <si>
    <t xml:space="preserve">MIEL MAPLE BARY X 480G </t>
  </si>
  <si>
    <t>MIXTURA DE QUINUA X500G</t>
  </si>
  <si>
    <t>NITRÃ“GENO LÃQUIDO</t>
  </si>
  <si>
    <t>OCHUVA CON CAPACHO</t>
  </si>
  <si>
    <t>PALMITO DE CANGREJO x500GR</t>
  </si>
  <si>
    <t xml:space="preserve">PAN TAJADO ART. BRIOCHE 700GR </t>
  </si>
  <si>
    <t>PAN TAJADO BIMBO X 600G</t>
  </si>
  <si>
    <t>PANELA REG. SAN VALENTIN EMPACAR X PAR</t>
  </si>
  <si>
    <t>PAPA CAPIRA COROZO *1KL</t>
  </si>
  <si>
    <t>PAPRIKA P&amp;I GOURMET FRASCO X 500G</t>
  </si>
  <si>
    <t>PASTA DE TOMATE FRUCO X3000G</t>
  </si>
  <si>
    <t>PASTA LA MOLISANA ASPAGUETTI AL NERO SEPPIA*250G</t>
  </si>
  <si>
    <t>PASTAS CODOS LA MUÃ‘ECA X250G</t>
  </si>
  <si>
    <t>PECHUGA DE POLLO CON HUESO X KILO</t>
  </si>
  <si>
    <t>PEPINILLOS AGRIDULCE ENTE ALFRESCOX500G</t>
  </si>
  <si>
    <t>PH REGUL BCOHTX22MT200158-201764 FSH-M</t>
  </si>
  <si>
    <t>PIMENTON X KILO</t>
  </si>
  <si>
    <t>PIMIENTA DE OLOR X 250G</t>
  </si>
  <si>
    <t>PISTACHOS SALADOS *706 NUTOS</t>
  </si>
  <si>
    <t>PITILLOS PALA PQT *100und</t>
  </si>
  <si>
    <t>PLATANO VERDE X KILO</t>
  </si>
  <si>
    <t>PORTA CUBIERTOS DE PAPEL</t>
  </si>
  <si>
    <t>PULPA DE TAMARINDO X KILO</t>
  </si>
  <si>
    <t>QUAT TES PAPER 100 STRIP/VIAL-SANITIZER REF:DAV72432</t>
  </si>
  <si>
    <t>QUINUA BLANCA X 500 GRA</t>
  </si>
  <si>
    <t>REPOLLO BLANCO * KILO</t>
  </si>
  <si>
    <t>ROLLO BOLSA 26*40 DE 198K</t>
  </si>
  <si>
    <t xml:space="preserve">RON BACARDI CARTA BLANCA SUPERIOR 980 ML </t>
  </si>
  <si>
    <t>RON VIEJO DE CALDAS 3 AÃ‘OS 750 ML</t>
  </si>
  <si>
    <t>SAL ROSADA DEL HIMALAYA X 500G</t>
  </si>
  <si>
    <t>SALMON FRESCO 3-4TD</t>
  </si>
  <si>
    <t>SALSA BBQ 1L (BASE COOK)</t>
  </si>
  <si>
    <t>SALSA DE AJI ADEREZOS X 1050G</t>
  </si>
  <si>
    <t>SALSA DE HUMO INNOVAL X 1000</t>
  </si>
  <si>
    <t>SALSA EN POLVO TAJIN CLASICO X 142G</t>
  </si>
  <si>
    <t>SANDIA X KILO</t>
  </si>
  <si>
    <t>SEMILLA DE CORIANDRO X 300GR</t>
  </si>
  <si>
    <t>SERRIN JACK DANIELS 130GR BT</t>
  </si>
  <si>
    <t>SET DE CUBIERTOS TAMI BCO+SERXUDSCMOT101</t>
  </si>
  <si>
    <t>SMIRNOFF NO.21 RED VODKA 0,7L</t>
  </si>
  <si>
    <t>SOBRE BARRIGA X KILO</t>
  </si>
  <si>
    <t>SODA HATSU X6 UND</t>
  </si>
  <si>
    <t>SPAGHETTI NÂ°5 MONTICELLO 500GR</t>
  </si>
  <si>
    <t>SPLENDA X 700U X 1G</t>
  </si>
  <si>
    <t>STAR ANISE THAI X113GR</t>
  </si>
  <si>
    <t>SUB.  SALSA TARTARA</t>
  </si>
  <si>
    <t>SUB. ADOBO</t>
  </si>
  <si>
    <t>SUB. AJI AMARILLO AHUMADO</t>
  </si>
  <si>
    <t>SUB. AJI PANCA BLANQUEADO</t>
  </si>
  <si>
    <t>SUB. AJI ROCOTO BLANQUEADO</t>
  </si>
  <si>
    <t>SUB. ALMIBAR DE MANGO MADURO</t>
  </si>
  <si>
    <t>SUB. AROS DE CEBOLLA</t>
  </si>
  <si>
    <t>SUB. BASE ACEVICHADA (ROCOTO)</t>
  </si>
  <si>
    <t>SUB. BASE LECHE DE TIGRE MALANGA</t>
  </si>
  <si>
    <t>SUB. CEBOLLAS ENCURTIDAS</t>
  </si>
  <si>
    <t>SUB. CLARA DE HUEVO</t>
  </si>
  <si>
    <t>SUB. CORDIAL DE ALBAHACA</t>
  </si>
  <si>
    <t>SUB. CROQUETA DE POLLO</t>
  </si>
  <si>
    <t>SUB. CROQUETAS AJI DE GALLINA</t>
  </si>
  <si>
    <t>SUB. EMPANADA LOMO SALTADO MG</t>
  </si>
  <si>
    <t>SUB. EMPANADAS DE LOMO SALTADO</t>
  </si>
  <si>
    <t>SUB. FALSA LECHE DE TIGRE</t>
  </si>
  <si>
    <t>SUB. FONDO CLARO DE PESCADO</t>
  </si>
  <si>
    <t>SUB. FONDO DE POLLO</t>
  </si>
  <si>
    <t>SUB. FRESA DESHIDRATADA</t>
  </si>
  <si>
    <t>SUB. HOJUELA</t>
  </si>
  <si>
    <t>SUB. LANGOSTINOS APANADOS PANKO</t>
  </si>
  <si>
    <t>SUB. MELCOCHA</t>
  </si>
  <si>
    <t>SUB. MEZCLA NUTELLA</t>
  </si>
  <si>
    <t>SUB. PAPA DORADA</t>
  </si>
  <si>
    <t>SUB. PASTA DE AJI AMARILLO</t>
  </si>
  <si>
    <t>SUB. PASTA DE PIMENTON</t>
  </si>
  <si>
    <t>SUB. PASTA DE TOMATE</t>
  </si>
  <si>
    <t>SUB. PUERRO CROCANTE</t>
  </si>
  <si>
    <t>SUB. RELLENO DE WONTON DE POLLO</t>
  </si>
  <si>
    <t>SUB. RELLENO GYOZA</t>
  </si>
  <si>
    <t>SUB. SALSA AGRIDULCE</t>
  </si>
  <si>
    <t>SUB. SALSA BBQ DE LA CASA</t>
  </si>
  <si>
    <t>SUB. SALSA BBQ DULCE</t>
  </si>
  <si>
    <t>SUB. SIROPE DE FRUTOS ROJOS</t>
  </si>
  <si>
    <t>SUB. SPAGUETTI DE LA ABUELA</t>
  </si>
  <si>
    <t>SUB. SYRUP DE LYCHE</t>
  </si>
  <si>
    <t>SUB. SYRUP DE MANGO MADURO</t>
  </si>
  <si>
    <t>SUB. TAMARINDO-LULO Y JALAPEÃ‘O</t>
  </si>
  <si>
    <t>SUB. TEMPURA JAPONESA</t>
  </si>
  <si>
    <t>SUB. TORTILLA DE HUEVO</t>
  </si>
  <si>
    <t>SUMA BLEND X 20 L(Detergente liquido para  lavadodeloza)-Ref:AV00417</t>
  </si>
  <si>
    <t>SUMA EDEN D4.5X5L REF 101108972</t>
  </si>
  <si>
    <t>TABASCO PEPPER SAUCE*150ML</t>
  </si>
  <si>
    <t xml:space="preserve">TALLER ENSALADERA 2069.9CC ORION-CAFE PRINT    </t>
  </si>
  <si>
    <t>TANQUERAY NO. TEN GIN 750ML</t>
  </si>
  <si>
    <t>TAPA COPA SOUFFLE (1/2-1)OZ 100U AJOVER</t>
  </si>
  <si>
    <t>TE HATSU ROSADO SIX400X6</t>
  </si>
  <si>
    <t>TENEDOR DARNEL NEGRO X 100UND</t>
  </si>
  <si>
    <t>TEQUILA 1800 AÃ‘EJO 700ML</t>
  </si>
  <si>
    <t>TEQUILA JOSE CUERVO ESPECIAL REPOSADO 990 ML</t>
  </si>
  <si>
    <t>TILAPIA ROJA X UND</t>
  </si>
  <si>
    <t>TIRILLA MEDI PH 0.06PPM DAV72577</t>
  </si>
  <si>
    <t>TIRILLA MEDI QUAT TEST 0-400PPM-DAV72432</t>
  </si>
  <si>
    <t>TOALLA MANO NAT ROLL 6UX 100M 73689</t>
  </si>
  <si>
    <t>ULCX20L-REF: AV00274</t>
  </si>
  <si>
    <t>VASO ECONO TRASNSPARENTE X12ONZ X 50UND</t>
  </si>
  <si>
    <t xml:space="preserve">VINO LAS MORAS BLANCO CHARDONAY 750ML </t>
  </si>
  <si>
    <t>VINO ROSALEDA ROSE 750ML</t>
  </si>
  <si>
    <t>VINO ROSALEDA TINTO MERLOT 750ML</t>
  </si>
  <si>
    <t>VINO TARAPACA VARIETAL CABERNET 750ML</t>
  </si>
  <si>
    <t>VINO TRAPICHE MERLOT VARIETAL 750L</t>
  </si>
  <si>
    <t>WHIP TOPPING X 1 KL</t>
  </si>
  <si>
    <t>WHISKY ESCOCES GAELIK 700ML</t>
  </si>
  <si>
    <t xml:space="preserve">WYPALL X 80 AZUL 877 X 25 PAÃ‘OS </t>
  </si>
  <si>
    <t>ZUKINI VERDE X KILO</t>
  </si>
  <si>
    <t>PANELA PULV ORGANIC BLACKMILL SACHET 5GR 200U</t>
  </si>
  <si>
    <t xml:space="preserve">SUB. MAYO TRUFADA </t>
  </si>
  <si>
    <t>RON PARCE 8 AÃ‘OS 750ML</t>
  </si>
  <si>
    <t>SUB. SALSA DE FRUTOS ROJOS MALANGA</t>
  </si>
  <si>
    <t>SAL CURANTE AL 12% K 5KG</t>
  </si>
  <si>
    <t xml:space="preserve">CHILE MORITA X KILO </t>
  </si>
  <si>
    <t>SUB. FONDO DE PESCADO BISQUE</t>
  </si>
  <si>
    <t>SUB. SALSA COREANA</t>
  </si>
  <si>
    <t>SUB. CHILE DULCE (123WOK)</t>
  </si>
  <si>
    <t>CARNE MOLIDA X KILO</t>
  </si>
  <si>
    <t>SUB. SHITAKES CARAMELIZADOS</t>
  </si>
  <si>
    <t>SUB. PASTA DE SESAMO JAPONESA</t>
  </si>
  <si>
    <t>SUB. MAYONESA PICANTE</t>
  </si>
  <si>
    <t>ACHIOTE EN GRANO*1000</t>
  </si>
  <si>
    <t>RON BACARDI DE MANDARINA*750ML</t>
  </si>
  <si>
    <t>SUB. ALITAS ADOBADA APANADAS</t>
  </si>
  <si>
    <t>SUB. COCCION CHULETA</t>
  </si>
  <si>
    <t>SUB. CHEESE CAKE NEW YORK</t>
  </si>
  <si>
    <t>SUB. BECHAMEL DE QUESO CHEDDAR</t>
  </si>
  <si>
    <t>SUB. FODGE CUBIERTA</t>
  </si>
  <si>
    <t>SUB. CROQUETAS DE JAIBA</t>
  </si>
  <si>
    <t>SUB. ROLLITOS THAI</t>
  </si>
  <si>
    <t>CARNE DE JAIBA CLAWN X KILO</t>
  </si>
  <si>
    <t>SUB. FRUTOS ROJOS BAR</t>
  </si>
  <si>
    <t xml:space="preserve">SUB. SALSA CRIOLLA </t>
  </si>
  <si>
    <t>KIT MADERAS AHUMADOR POLYSCIENCE BREVILLE</t>
  </si>
  <si>
    <t>SUB. EXTRACTO DE GULUPA Y MARACUYÃ</t>
  </si>
  <si>
    <t>BAGUETTE BOLA BRILLO CON CORTE 100GR 9.5- 10CM</t>
  </si>
  <si>
    <t>BOT TANQUERAY RANG 750</t>
  </si>
  <si>
    <t>BUCHANANS MASTER 0,75L</t>
  </si>
  <si>
    <t>COM PAN BAGUETTE CONGELADO X 400G PT MB</t>
  </si>
  <si>
    <t>ESPONJILLA ACERO INOXIDABLE BRIO</t>
  </si>
  <si>
    <t>SUB. NARANJA DESHIDRATADA</t>
  </si>
  <si>
    <t>JALEA MIXTA</t>
  </si>
  <si>
    <t>JUGO DE MANDARINA / FRESA</t>
  </si>
  <si>
    <t>TRAGO 400 CONEJOS</t>
  </si>
  <si>
    <t>TRAGO WHISKY MACALLAN 12 AÑOS</t>
  </si>
  <si>
    <t>Sacar de la Carta No se vende</t>
  </si>
  <si>
    <t>VODKA BELVEDERE PURE 750ml</t>
  </si>
  <si>
    <t>VODKA BELVEDERE</t>
  </si>
  <si>
    <t>TRAGO VODKA BELVEDERE</t>
  </si>
  <si>
    <t>COCTELES DE LA CASA</t>
  </si>
  <si>
    <t xml:space="preserve">AHUMADO DE NOCHE BUENA </t>
  </si>
  <si>
    <t>JALAPEÃ‘O X KILO</t>
  </si>
  <si>
    <t>CAJA DE HIELO CUBO IGLU X 18UN</t>
  </si>
  <si>
    <t xml:space="preserve">SUB. MIEL DE ROCOTO </t>
  </si>
  <si>
    <t xml:space="preserve">MARGARITA SPICY </t>
  </si>
  <si>
    <t xml:space="preserve">AGUARDIENTE SPICY </t>
  </si>
  <si>
    <t xml:space="preserve">SUB. ALMIBAR DE TAMARINDO </t>
  </si>
  <si>
    <t>JAGERMEISTER - JAGER 750ML</t>
  </si>
  <si>
    <t xml:space="preserve">SUB. ALMIBAR DE GUAYABA </t>
  </si>
  <si>
    <t>TIERRA ASTEKA</t>
  </si>
  <si>
    <t>SUB. VINAGRE BLANCO</t>
  </si>
  <si>
    <t>SUB. ALMIBAR COCINA</t>
  </si>
  <si>
    <t>GIN FEIJOA</t>
  </si>
  <si>
    <t>CHILCANO DE MARACUYA</t>
  </si>
  <si>
    <t>POSTRE</t>
  </si>
  <si>
    <t>Descripcion de la carta</t>
  </si>
  <si>
    <t>Asar el pan, untarlo de mantequila</t>
  </si>
  <si>
    <t>PROCESO DE ELABORACIÓN</t>
  </si>
  <si>
    <t>CARAJILLO</t>
  </si>
  <si>
    <t>ARRIERO</t>
  </si>
  <si>
    <t>AGUARDIENTE ANTIOQUEÃ‘O REAL SIN AZUCAR 24Â° 75OML</t>
  </si>
  <si>
    <t>RON CARBON 750ML</t>
  </si>
  <si>
    <t>SUGG DE CAFE X 750 ML</t>
  </si>
  <si>
    <t>PALOMITA</t>
  </si>
  <si>
    <t>HEINIKEN</t>
  </si>
  <si>
    <t xml:space="preserve">SUB. LANGOSTINOS CROCANTES </t>
  </si>
  <si>
    <t>CERVEZA PILSEN  NEGRA COCINA</t>
  </si>
  <si>
    <t>ARROZ PERUANO</t>
  </si>
  <si>
    <t>CHAUFA DE SOLOMITO Y MARISCOS</t>
  </si>
  <si>
    <t xml:space="preserve">SUB. FOSFORITOS DE PAPA </t>
  </si>
  <si>
    <t>ARROZ NORTEÑO</t>
  </si>
  <si>
    <t>CEVICHE DE CHAMPIÑON</t>
  </si>
  <si>
    <t xml:space="preserve">SUB. YUCA COCIDA </t>
  </si>
  <si>
    <t>SUB. PAPA PRENSADA</t>
  </si>
  <si>
    <t>CAUSA DE SALMON ACEVICHADA</t>
  </si>
  <si>
    <t>SUB. TARTAR DE SALMON</t>
  </si>
  <si>
    <t>SUB. PULPA DE CANGREJO</t>
  </si>
  <si>
    <t>Entradas</t>
  </si>
  <si>
    <t>Fuertes</t>
  </si>
  <si>
    <t>Postre</t>
  </si>
  <si>
    <t>Bebidas</t>
  </si>
  <si>
    <t>Te Hatsu</t>
  </si>
  <si>
    <t xml:space="preserve">Cerveza </t>
  </si>
  <si>
    <t>Café</t>
  </si>
  <si>
    <t>SUB. SALSA ANTICUCHERA BBQ ANTICUCHERA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</si>
</sst>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[$-10C0A]#,##0.000;\(#,##0.000\)"/>
    <numFmt numFmtId="166" formatCode="[$-10C0A]#,##0.000;\-#,##0.000"/>
    <numFmt numFmtId="167" formatCode="_-&quot;$&quot;\ * #,##0.0_-;\-&quot;$&quot;\ * #,##0.0_-;_-&quot;$&quot;\ * &quot;-&quot;??_-;_-@_-"/>
    <numFmt numFmtId="168" formatCode="0.0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b/>
      <sz val="10"/>
      <color theme="0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sz val="10"/>
      <color theme="0"/>
      <name val="Arial"/>
      <family val="2"/>
    </font>
    <font>
      <sz val="11"/>
      <name val="Calibri"/>
      <family val="2"/>
    </font>
    <font>
      <sz val="10"/>
      <color rgb="FFFFFFFF"/>
      <name val="Arial"/>
      <family val="2"/>
    </font>
    <font>
      <sz val="11"/>
      <color rgb="FFFF0000"/>
      <name val="Arial"/>
      <family val="2"/>
    </font>
    <font>
      <sz val="10"/>
      <color rgb="FFFF0000"/>
      <name val="Arial"/>
      <family val="2"/>
    </font>
    <font>
      <sz val="8"/>
      <color theme="9" tint="0.39997558519241921"/>
      <name val="Arial"/>
      <family val="2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9" tint="0.39997558519241921"/>
      <name val="Arial"/>
      <family val="2"/>
    </font>
    <font>
      <sz val="12"/>
      <name val="Arial"/>
      <family val="2"/>
    </font>
    <font>
      <u/>
      <sz val="8"/>
      <color theme="9" tint="0.39997558519241921"/>
      <name val="Arial"/>
      <family val="2"/>
    </font>
    <font>
      <b/>
      <sz val="12"/>
      <color theme="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2"/>
      <name val="Arial"/>
      <family val="2"/>
    </font>
    <font>
      <sz val="12"/>
      <color theme="0"/>
      <name val="Arial"/>
      <family val="2"/>
    </font>
    <font>
      <b/>
      <sz val="11"/>
      <color theme="1"/>
      <name val="Arial"/>
      <family val="2"/>
    </font>
    <font>
      <u/>
      <sz val="10"/>
      <color theme="0"/>
      <name val="Arial"/>
      <family val="2"/>
    </font>
    <font>
      <u/>
      <sz val="11"/>
      <color theme="0"/>
      <name val="Calibri"/>
      <family val="2"/>
      <scheme val="minor"/>
    </font>
    <font>
      <b/>
      <sz val="13.5"/>
      <color theme="0"/>
      <name val="Arial"/>
      <family val="2"/>
    </font>
    <font>
      <sz val="11"/>
      <color rgb="FFFF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theme="4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/>
      <bottom style="thin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double">
        <color theme="1"/>
      </top>
      <bottom style="thin">
        <color theme="1"/>
      </bottom>
      <diagonal/>
    </border>
    <border>
      <left/>
      <right/>
      <top style="double">
        <color theme="1"/>
      </top>
      <bottom style="thin">
        <color theme="1"/>
      </bottom>
      <diagonal/>
    </border>
    <border>
      <left/>
      <right style="thin">
        <color theme="1"/>
      </right>
      <top style="double">
        <color theme="1"/>
      </top>
      <bottom style="thin">
        <color theme="1"/>
      </bottom>
      <diagonal/>
    </border>
    <border>
      <left/>
      <right/>
      <top style="medium">
        <color indexed="64"/>
      </top>
      <bottom/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295">
    <xf numFmtId="0" fontId="0" fillId="0" borderId="0" xfId="0"/>
    <xf numFmtId="0" fontId="6" fillId="2" borderId="1" xfId="0" applyFont="1" applyFill="1" applyBorder="1" applyAlignment="1">
      <alignment horizontal="center" vertical="top" readingOrder="1"/>
    </xf>
    <xf numFmtId="0" fontId="6" fillId="2" borderId="2" xfId="0" applyFont="1" applyFill="1" applyBorder="1" applyAlignment="1">
      <alignment vertical="top" readingOrder="1"/>
    </xf>
    <xf numFmtId="164" fontId="6" fillId="2" borderId="2" xfId="1" applyNumberFormat="1" applyFont="1" applyFill="1" applyBorder="1" applyAlignment="1">
      <alignment vertical="top" readingOrder="1"/>
    </xf>
    <xf numFmtId="0" fontId="7" fillId="3" borderId="0" xfId="0" applyFont="1" applyFill="1"/>
    <xf numFmtId="0" fontId="7" fillId="3" borderId="5" xfId="0" applyFont="1" applyFill="1" applyBorder="1"/>
    <xf numFmtId="164" fontId="7" fillId="3" borderId="5" xfId="1" applyNumberFormat="1" applyFont="1" applyFill="1" applyBorder="1" applyAlignment="1"/>
    <xf numFmtId="0" fontId="9" fillId="3" borderId="4" xfId="0" applyFont="1" applyFill="1" applyBorder="1" applyAlignment="1">
      <alignment vertical="top" readingOrder="1"/>
    </xf>
    <xf numFmtId="165" fontId="9" fillId="3" borderId="4" xfId="0" applyNumberFormat="1" applyFont="1" applyFill="1" applyBorder="1" applyAlignment="1">
      <alignment horizontal="center" vertical="center" wrapText="1" readingOrder="1"/>
    </xf>
    <xf numFmtId="1" fontId="9" fillId="2" borderId="4" xfId="0" applyNumberFormat="1" applyFont="1" applyFill="1" applyBorder="1" applyAlignment="1">
      <alignment horizontal="center" vertical="center" wrapText="1" readingOrder="1"/>
    </xf>
    <xf numFmtId="164" fontId="9" fillId="3" borderId="4" xfId="1" applyNumberFormat="1" applyFont="1" applyFill="1" applyBorder="1" applyAlignment="1">
      <alignment vertical="top" wrapText="1" readingOrder="1"/>
    </xf>
    <xf numFmtId="164" fontId="9" fillId="3" borderId="1" xfId="1" applyNumberFormat="1" applyFont="1" applyFill="1" applyBorder="1" applyAlignment="1">
      <alignment vertical="top" wrapText="1" readingOrder="1"/>
    </xf>
    <xf numFmtId="164" fontId="7" fillId="3" borderId="5" xfId="1" applyNumberFormat="1" applyFont="1" applyFill="1" applyBorder="1"/>
    <xf numFmtId="0" fontId="11" fillId="4" borderId="4" xfId="0" applyFont="1" applyFill="1" applyBorder="1" applyAlignment="1">
      <alignment horizontal="center" vertical="top" readingOrder="1"/>
    </xf>
    <xf numFmtId="1" fontId="11" fillId="4" borderId="4" xfId="0" applyNumberFormat="1" applyFont="1" applyFill="1" applyBorder="1" applyAlignment="1">
      <alignment horizontal="center" vertical="center" readingOrder="1"/>
    </xf>
    <xf numFmtId="164" fontId="11" fillId="4" borderId="4" xfId="0" applyNumberFormat="1" applyFont="1" applyFill="1" applyBorder="1" applyAlignment="1">
      <alignment horizontal="center" vertical="top" readingOrder="1"/>
    </xf>
    <xf numFmtId="0" fontId="6" fillId="2" borderId="1" xfId="0" applyFont="1" applyFill="1" applyBorder="1" applyAlignment="1">
      <alignment horizontal="left" vertical="top" readingOrder="1"/>
    </xf>
    <xf numFmtId="0" fontId="14" fillId="5" borderId="5" xfId="0" applyFont="1" applyFill="1" applyBorder="1"/>
    <xf numFmtId="164" fontId="14" fillId="5" borderId="5" xfId="1" applyNumberFormat="1" applyFont="1" applyFill="1" applyBorder="1"/>
    <xf numFmtId="9" fontId="10" fillId="3" borderId="5" xfId="2" applyFont="1" applyFill="1" applyBorder="1"/>
    <xf numFmtId="164" fontId="10" fillId="3" borderId="5" xfId="0" applyNumberFormat="1" applyFont="1" applyFill="1" applyBorder="1"/>
    <xf numFmtId="166" fontId="9" fillId="0" borderId="4" xfId="4" applyNumberFormat="1" applyFont="1" applyBorder="1" applyAlignment="1">
      <alignment vertical="top" readingOrder="1"/>
    </xf>
    <xf numFmtId="2" fontId="10" fillId="3" borderId="5" xfId="0" applyNumberFormat="1" applyFont="1" applyFill="1" applyBorder="1"/>
    <xf numFmtId="164" fontId="7" fillId="3" borderId="0" xfId="1" applyNumberFormat="1" applyFont="1" applyFill="1"/>
    <xf numFmtId="0" fontId="15" fillId="0" borderId="0" xfId="0" applyFont="1"/>
    <xf numFmtId="0" fontId="4" fillId="3" borderId="0" xfId="0" applyFont="1" applyFill="1"/>
    <xf numFmtId="0" fontId="0" fillId="3" borderId="0" xfId="0" applyFill="1"/>
    <xf numFmtId="0" fontId="4" fillId="3" borderId="0" xfId="0" applyFont="1" applyFill="1" applyAlignment="1">
      <alignment horizontal="left" vertical="center"/>
    </xf>
    <xf numFmtId="164" fontId="11" fillId="4" borderId="4" xfId="1" applyNumberFormat="1" applyFont="1" applyFill="1" applyBorder="1" applyAlignment="1">
      <alignment horizontal="center" vertical="top" readingOrder="1"/>
    </xf>
    <xf numFmtId="2" fontId="10" fillId="3" borderId="0" xfId="0" applyNumberFormat="1" applyFont="1" applyFill="1"/>
    <xf numFmtId="0" fontId="12" fillId="0" borderId="0" xfId="0" applyFont="1"/>
    <xf numFmtId="0" fontId="24" fillId="3" borderId="0" xfId="0" applyFont="1" applyFill="1"/>
    <xf numFmtId="0" fontId="27" fillId="2" borderId="2" xfId="0" applyFont="1" applyFill="1" applyBorder="1" applyAlignment="1">
      <alignment vertical="top" readingOrder="1"/>
    </xf>
    <xf numFmtId="0" fontId="24" fillId="3" borderId="5" xfId="0" applyFont="1" applyFill="1" applyBorder="1"/>
    <xf numFmtId="164" fontId="24" fillId="3" borderId="5" xfId="1" applyNumberFormat="1" applyFont="1" applyFill="1" applyBorder="1" applyAlignment="1"/>
    <xf numFmtId="0" fontId="28" fillId="3" borderId="4" xfId="0" applyFont="1" applyFill="1" applyBorder="1" applyAlignment="1">
      <alignment vertical="top" readingOrder="1"/>
    </xf>
    <xf numFmtId="165" fontId="28" fillId="3" borderId="4" xfId="0" applyNumberFormat="1" applyFont="1" applyFill="1" applyBorder="1" applyAlignment="1">
      <alignment horizontal="center" vertical="center" wrapText="1" readingOrder="1"/>
    </xf>
    <xf numFmtId="1" fontId="28" fillId="2" borderId="4" xfId="0" applyNumberFormat="1" applyFont="1" applyFill="1" applyBorder="1" applyAlignment="1">
      <alignment horizontal="center" vertical="center" wrapText="1" readingOrder="1"/>
    </xf>
    <xf numFmtId="164" fontId="28" fillId="3" borderId="4" xfId="1" applyNumberFormat="1" applyFont="1" applyFill="1" applyBorder="1" applyAlignment="1">
      <alignment vertical="top" wrapText="1" readingOrder="1"/>
    </xf>
    <xf numFmtId="164" fontId="28" fillId="3" borderId="1" xfId="1" applyNumberFormat="1" applyFont="1" applyFill="1" applyBorder="1" applyAlignment="1">
      <alignment vertical="top" wrapText="1" readingOrder="1"/>
    </xf>
    <xf numFmtId="164" fontId="24" fillId="3" borderId="5" xfId="1" applyNumberFormat="1" applyFont="1" applyFill="1" applyBorder="1"/>
    <xf numFmtId="0" fontId="26" fillId="4" borderId="4" xfId="0" applyFont="1" applyFill="1" applyBorder="1" applyAlignment="1">
      <alignment horizontal="center" vertical="top" readingOrder="1"/>
    </xf>
    <xf numFmtId="1" fontId="26" fillId="4" borderId="4" xfId="0" applyNumberFormat="1" applyFont="1" applyFill="1" applyBorder="1" applyAlignment="1">
      <alignment horizontal="center" vertical="center" readingOrder="1"/>
    </xf>
    <xf numFmtId="164" fontId="26" fillId="4" borderId="4" xfId="0" applyNumberFormat="1" applyFont="1" applyFill="1" applyBorder="1" applyAlignment="1">
      <alignment horizontal="center" vertical="top" readingOrder="1"/>
    </xf>
    <xf numFmtId="0" fontId="0" fillId="11" borderId="0" xfId="0" applyFill="1"/>
    <xf numFmtId="0" fontId="11" fillId="3" borderId="1" xfId="0" applyFont="1" applyFill="1" applyBorder="1" applyAlignment="1">
      <alignment horizontal="center" vertical="top" readingOrder="1"/>
    </xf>
    <xf numFmtId="1" fontId="11" fillId="3" borderId="2" xfId="0" applyNumberFormat="1" applyFont="1" applyFill="1" applyBorder="1" applyAlignment="1">
      <alignment horizontal="center" vertical="center" readingOrder="1"/>
    </xf>
    <xf numFmtId="164" fontId="11" fillId="3" borderId="2" xfId="0" applyNumberFormat="1" applyFont="1" applyFill="1" applyBorder="1" applyAlignment="1">
      <alignment horizontal="center" vertical="top" readingOrder="1"/>
    </xf>
    <xf numFmtId="1" fontId="9" fillId="2" borderId="4" xfId="0" applyNumberFormat="1" applyFont="1" applyFill="1" applyBorder="1" applyAlignment="1">
      <alignment horizontal="center" vertical="center" readingOrder="1"/>
    </xf>
    <xf numFmtId="167" fontId="0" fillId="0" borderId="0" xfId="1" applyNumberFormat="1" applyFont="1"/>
    <xf numFmtId="0" fontId="27" fillId="2" borderId="1" xfId="0" applyFont="1" applyFill="1" applyBorder="1" applyAlignment="1">
      <alignment horizontal="center" vertical="top" readingOrder="1"/>
    </xf>
    <xf numFmtId="164" fontId="27" fillId="2" borderId="2" xfId="1" applyNumberFormat="1" applyFont="1" applyFill="1" applyBorder="1" applyAlignment="1">
      <alignment vertical="top" readingOrder="1"/>
    </xf>
    <xf numFmtId="164" fontId="26" fillId="4" borderId="4" xfId="1" applyNumberFormat="1" applyFont="1" applyFill="1" applyBorder="1" applyAlignment="1">
      <alignment horizontal="center" vertical="top" readingOrder="1"/>
    </xf>
    <xf numFmtId="0" fontId="30" fillId="5" borderId="5" xfId="0" applyFont="1" applyFill="1" applyBorder="1"/>
    <xf numFmtId="164" fontId="30" fillId="5" borderId="5" xfId="1" applyNumberFormat="1" applyFont="1" applyFill="1" applyBorder="1"/>
    <xf numFmtId="9" fontId="24" fillId="3" borderId="5" xfId="2" applyFont="1" applyFill="1" applyBorder="1"/>
    <xf numFmtId="164" fontId="24" fillId="3" borderId="5" xfId="0" applyNumberFormat="1" applyFont="1" applyFill="1" applyBorder="1"/>
    <xf numFmtId="2" fontId="24" fillId="3" borderId="5" xfId="0" applyNumberFormat="1" applyFont="1" applyFill="1" applyBorder="1"/>
    <xf numFmtId="164" fontId="0" fillId="0" borderId="0" xfId="1" applyNumberFormat="1" applyFont="1" applyAlignment="1"/>
    <xf numFmtId="164" fontId="16" fillId="3" borderId="0" xfId="1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2" fillId="0" borderId="5" xfId="0" applyFont="1" applyBorder="1" applyAlignment="1">
      <alignment horizontal="left"/>
    </xf>
    <xf numFmtId="0" fontId="17" fillId="0" borderId="5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1" fontId="2" fillId="0" borderId="5" xfId="0" applyNumberFormat="1" applyFont="1" applyBorder="1" applyAlignment="1">
      <alignment horizontal="left"/>
    </xf>
    <xf numFmtId="1" fontId="2" fillId="0" borderId="9" xfId="0" applyNumberFormat="1" applyFont="1" applyBorder="1" applyAlignment="1">
      <alignment horizontal="left"/>
    </xf>
    <xf numFmtId="0" fontId="17" fillId="0" borderId="9" xfId="0" applyFont="1" applyBorder="1" applyAlignment="1">
      <alignment horizontal="left"/>
    </xf>
    <xf numFmtId="0" fontId="13" fillId="6" borderId="7" xfId="0" applyFont="1" applyFill="1" applyBorder="1" applyAlignment="1">
      <alignment horizontal="left"/>
    </xf>
    <xf numFmtId="164" fontId="13" fillId="6" borderId="7" xfId="1" applyNumberFormat="1" applyFont="1" applyFill="1" applyBorder="1" applyAlignment="1">
      <alignment horizontal="center" vertical="center"/>
    </xf>
    <xf numFmtId="0" fontId="2" fillId="0" borderId="0" xfId="0" applyFont="1"/>
    <xf numFmtId="164" fontId="2" fillId="0" borderId="5" xfId="1" applyNumberFormat="1" applyFont="1" applyBorder="1"/>
    <xf numFmtId="164" fontId="2" fillId="0" borderId="9" xfId="1" applyNumberFormat="1" applyFont="1" applyBorder="1"/>
    <xf numFmtId="164" fontId="2" fillId="0" borderId="10" xfId="1" applyNumberFormat="1" applyFont="1" applyBorder="1"/>
    <xf numFmtId="164" fontId="2" fillId="0" borderId="8" xfId="1" applyNumberFormat="1" applyFont="1" applyBorder="1"/>
    <xf numFmtId="0" fontId="2" fillId="0" borderId="0" xfId="0" applyFont="1" applyAlignment="1">
      <alignment horizontal="left"/>
    </xf>
    <xf numFmtId="164" fontId="2" fillId="0" borderId="0" xfId="1" applyNumberFormat="1" applyFont="1"/>
    <xf numFmtId="164" fontId="2" fillId="0" borderId="5" xfId="1" applyNumberFormat="1" applyFont="1" applyFill="1" applyBorder="1"/>
    <xf numFmtId="164" fontId="2" fillId="0" borderId="9" xfId="1" applyNumberFormat="1" applyFont="1" applyFill="1" applyBorder="1"/>
    <xf numFmtId="164" fontId="2" fillId="0" borderId="10" xfId="1" applyNumberFormat="1" applyFont="1" applyFill="1" applyBorder="1"/>
    <xf numFmtId="164" fontId="2" fillId="0" borderId="8" xfId="1" applyNumberFormat="1" applyFont="1" applyFill="1" applyBorder="1"/>
    <xf numFmtId="164" fontId="17" fillId="0" borderId="5" xfId="1" applyNumberFormat="1" applyFont="1" applyFill="1" applyBorder="1"/>
    <xf numFmtId="164" fontId="2" fillId="0" borderId="0" xfId="1" applyNumberFormat="1" applyFont="1" applyFill="1"/>
    <xf numFmtId="0" fontId="7" fillId="3" borderId="4" xfId="0" applyFont="1" applyFill="1" applyBorder="1" applyAlignment="1">
      <alignment vertical="top" readingOrder="1"/>
    </xf>
    <xf numFmtId="166" fontId="7" fillId="0" borderId="4" xfId="4" applyNumberFormat="1" applyFont="1" applyBorder="1" applyAlignment="1">
      <alignment vertical="top" readingOrder="1"/>
    </xf>
    <xf numFmtId="166" fontId="9" fillId="3" borderId="4" xfId="4" applyNumberFormat="1" applyFont="1" applyFill="1" applyBorder="1" applyAlignment="1">
      <alignment vertical="top" readingOrder="1"/>
    </xf>
    <xf numFmtId="0" fontId="9" fillId="11" borderId="4" xfId="0" applyFont="1" applyFill="1" applyBorder="1" applyAlignment="1">
      <alignment vertical="top" readingOrder="1"/>
    </xf>
    <xf numFmtId="1" fontId="11" fillId="4" borderId="4" xfId="0" applyNumberFormat="1" applyFont="1" applyFill="1" applyBorder="1" applyAlignment="1">
      <alignment horizontal="center" vertical="center" wrapText="1" readingOrder="1"/>
    </xf>
    <xf numFmtId="0" fontId="6" fillId="2" borderId="12" xfId="0" applyFont="1" applyFill="1" applyBorder="1" applyAlignment="1">
      <alignment vertical="top" readingOrder="1"/>
    </xf>
    <xf numFmtId="0" fontId="6" fillId="2" borderId="11" xfId="0" applyFont="1" applyFill="1" applyBorder="1" applyAlignment="1">
      <alignment horizontal="right" vertical="top" readingOrder="1"/>
    </xf>
    <xf numFmtId="0" fontId="6" fillId="2" borderId="12" xfId="0" applyFont="1" applyFill="1" applyBorder="1" applyAlignment="1">
      <alignment horizontal="right" vertical="top" readingOrder="1"/>
    </xf>
    <xf numFmtId="0" fontId="11" fillId="4" borderId="4" xfId="0" applyFont="1" applyFill="1" applyBorder="1" applyAlignment="1">
      <alignment horizontal="center" vertical="center" readingOrder="1"/>
    </xf>
    <xf numFmtId="164" fontId="11" fillId="4" borderId="4" xfId="1" applyNumberFormat="1" applyFont="1" applyFill="1" applyBorder="1" applyAlignment="1">
      <alignment horizontal="center" vertical="center" readingOrder="1"/>
    </xf>
    <xf numFmtId="0" fontId="7" fillId="3" borderId="0" xfId="0" applyFont="1" applyFill="1" applyAlignment="1">
      <alignment vertical="center"/>
    </xf>
    <xf numFmtId="0" fontId="7" fillId="3" borderId="5" xfId="0" applyFont="1" applyFill="1" applyBorder="1" applyAlignment="1">
      <alignment vertical="center"/>
    </xf>
    <xf numFmtId="164" fontId="7" fillId="3" borderId="5" xfId="1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0" fontId="6" fillId="2" borderId="11" xfId="0" applyFont="1" applyFill="1" applyBorder="1" applyAlignment="1">
      <alignment vertical="top" readingOrder="1"/>
    </xf>
    <xf numFmtId="164" fontId="11" fillId="3" borderId="0" xfId="0" applyNumberFormat="1" applyFont="1" applyFill="1" applyAlignment="1">
      <alignment horizontal="center" vertical="top" readingOrder="1"/>
    </xf>
    <xf numFmtId="164" fontId="6" fillId="2" borderId="0" xfId="1" applyNumberFormat="1" applyFont="1" applyFill="1" applyBorder="1" applyAlignment="1">
      <alignment vertical="top" readingOrder="1"/>
    </xf>
    <xf numFmtId="0" fontId="11" fillId="4" borderId="4" xfId="0" applyFont="1" applyFill="1" applyBorder="1" applyAlignment="1">
      <alignment horizontal="center" vertical="center" wrapText="1" readingOrder="1"/>
    </xf>
    <xf numFmtId="164" fontId="11" fillId="4" borderId="4" xfId="1" applyNumberFormat="1" applyFont="1" applyFill="1" applyBorder="1" applyAlignment="1">
      <alignment horizontal="center" vertical="center" wrapText="1" readingOrder="1"/>
    </xf>
    <xf numFmtId="0" fontId="8" fillId="2" borderId="3" xfId="0" applyFont="1" applyFill="1" applyBorder="1" applyAlignment="1">
      <alignment horizontal="center"/>
    </xf>
    <xf numFmtId="164" fontId="9" fillId="3" borderId="4" xfId="0" applyNumberFormat="1" applyFont="1" applyFill="1" applyBorder="1" applyAlignment="1">
      <alignment vertical="top" wrapText="1" readingOrder="1"/>
    </xf>
    <xf numFmtId="164" fontId="9" fillId="3" borderId="1" xfId="0" applyNumberFormat="1" applyFont="1" applyFill="1" applyBorder="1" applyAlignment="1">
      <alignment vertical="top" wrapText="1" readingOrder="1"/>
    </xf>
    <xf numFmtId="0" fontId="7" fillId="3" borderId="0" xfId="0" applyFont="1" applyFill="1" applyAlignment="1">
      <alignment wrapText="1"/>
    </xf>
    <xf numFmtId="0" fontId="7" fillId="3" borderId="5" xfId="0" applyFont="1" applyFill="1" applyBorder="1" applyAlignment="1">
      <alignment wrapText="1"/>
    </xf>
    <xf numFmtId="164" fontId="7" fillId="3" borderId="5" xfId="1" applyNumberFormat="1" applyFont="1" applyFill="1" applyBorder="1" applyAlignment="1">
      <alignment wrapText="1"/>
    </xf>
    <xf numFmtId="0" fontId="0" fillId="0" borderId="0" xfId="0" applyAlignment="1">
      <alignment wrapText="1"/>
    </xf>
    <xf numFmtId="165" fontId="9" fillId="3" borderId="4" xfId="0" applyNumberFormat="1" applyFont="1" applyFill="1" applyBorder="1" applyAlignment="1">
      <alignment horizontal="center" vertical="center" readingOrder="1"/>
    </xf>
    <xf numFmtId="164" fontId="9" fillId="3" borderId="4" xfId="1" applyNumberFormat="1" applyFont="1" applyFill="1" applyBorder="1" applyAlignment="1">
      <alignment vertical="top" readingOrder="1"/>
    </xf>
    <xf numFmtId="164" fontId="9" fillId="3" borderId="1" xfId="1" applyNumberFormat="1" applyFont="1" applyFill="1" applyBorder="1" applyAlignment="1">
      <alignment vertical="top" readingOrder="1"/>
    </xf>
    <xf numFmtId="164" fontId="14" fillId="5" borderId="5" xfId="1" applyNumberFormat="1" applyFont="1" applyFill="1" applyBorder="1" applyAlignment="1"/>
    <xf numFmtId="9" fontId="10" fillId="3" borderId="5" xfId="2" applyFont="1" applyFill="1" applyBorder="1" applyAlignment="1"/>
    <xf numFmtId="164" fontId="7" fillId="3" borderId="0" xfId="1" applyNumberFormat="1" applyFont="1" applyFill="1" applyAlignment="1"/>
    <xf numFmtId="0" fontId="2" fillId="0" borderId="0" xfId="0" applyFont="1" applyAlignment="1">
      <alignment horizontal="center"/>
    </xf>
    <xf numFmtId="0" fontId="16" fillId="3" borderId="0" xfId="0" applyFont="1" applyFill="1" applyAlignment="1">
      <alignment horizontal="center" vertical="center"/>
    </xf>
    <xf numFmtId="164" fontId="14" fillId="8" borderId="0" xfId="1" applyNumberFormat="1" applyFont="1" applyFill="1" applyBorder="1" applyAlignment="1">
      <alignment horizontal="center" vertical="center"/>
    </xf>
    <xf numFmtId="9" fontId="16" fillId="3" borderId="0" xfId="2" applyFont="1" applyFill="1" applyBorder="1" applyAlignment="1">
      <alignment horizontal="center" vertical="center"/>
    </xf>
    <xf numFmtId="164" fontId="4" fillId="4" borderId="0" xfId="1" applyNumberFormat="1" applyFont="1" applyFill="1" applyBorder="1" applyAlignment="1">
      <alignment horizontal="center" vertical="center"/>
    </xf>
    <xf numFmtId="44" fontId="4" fillId="4" borderId="0" xfId="1" applyFont="1" applyFill="1" applyBorder="1" applyAlignment="1">
      <alignment horizontal="center" vertical="center"/>
    </xf>
    <xf numFmtId="9" fontId="4" fillId="4" borderId="0" xfId="2" applyFont="1" applyFill="1" applyBorder="1" applyAlignment="1">
      <alignment horizontal="center" vertical="center"/>
    </xf>
    <xf numFmtId="164" fontId="4" fillId="3" borderId="0" xfId="1" applyNumberFormat="1" applyFont="1" applyFill="1" applyBorder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9" fontId="4" fillId="3" borderId="0" xfId="2" applyFont="1" applyFill="1" applyBorder="1" applyAlignment="1">
      <alignment horizontal="center" vertical="center"/>
    </xf>
    <xf numFmtId="2" fontId="4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4" fontId="7" fillId="9" borderId="6" xfId="1" applyNumberFormat="1" applyFont="1" applyFill="1" applyBorder="1" applyAlignment="1">
      <alignment vertical="center"/>
    </xf>
    <xf numFmtId="164" fontId="4" fillId="9" borderId="0" xfId="0" applyNumberFormat="1" applyFont="1" applyFill="1" applyAlignment="1">
      <alignment horizontal="center" vertical="center"/>
    </xf>
    <xf numFmtId="164" fontId="4" fillId="3" borderId="0" xfId="1" applyNumberFormat="1" applyFont="1" applyFill="1" applyBorder="1" applyAlignment="1">
      <alignment horizontal="right" vertical="center"/>
    </xf>
    <xf numFmtId="164" fontId="7" fillId="9" borderId="0" xfId="1" applyNumberFormat="1" applyFont="1" applyFill="1" applyBorder="1" applyAlignment="1">
      <alignment vertical="center"/>
    </xf>
    <xf numFmtId="9" fontId="4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right" vertical="center"/>
    </xf>
    <xf numFmtId="164" fontId="4" fillId="5" borderId="0" xfId="1" applyNumberFormat="1" applyFont="1" applyFill="1" applyBorder="1" applyAlignment="1">
      <alignment horizontal="right" vertical="center"/>
    </xf>
    <xf numFmtId="164" fontId="18" fillId="3" borderId="0" xfId="1" applyNumberFormat="1" applyFont="1" applyFill="1" applyBorder="1" applyAlignment="1">
      <alignment horizontal="center" vertical="center"/>
    </xf>
    <xf numFmtId="164" fontId="18" fillId="3" borderId="0" xfId="1" applyNumberFormat="1" applyFont="1" applyFill="1" applyBorder="1" applyAlignment="1">
      <alignment horizontal="right" vertical="center"/>
    </xf>
    <xf numFmtId="164" fontId="7" fillId="3" borderId="6" xfId="1" applyNumberFormat="1" applyFont="1" applyFill="1" applyBorder="1" applyAlignment="1">
      <alignment vertical="center"/>
    </xf>
    <xf numFmtId="164" fontId="7" fillId="3" borderId="0" xfId="1" applyNumberFormat="1" applyFont="1" applyFill="1" applyBorder="1" applyAlignment="1">
      <alignment vertical="center"/>
    </xf>
    <xf numFmtId="164" fontId="4" fillId="12" borderId="0" xfId="1" applyNumberFormat="1" applyFont="1" applyFill="1" applyBorder="1" applyAlignment="1">
      <alignment horizontal="right" vertical="center"/>
    </xf>
    <xf numFmtId="165" fontId="7" fillId="3" borderId="4" xfId="0" applyNumberFormat="1" applyFont="1" applyFill="1" applyBorder="1" applyAlignment="1">
      <alignment horizontal="center" vertical="center" readingOrder="1"/>
    </xf>
    <xf numFmtId="0" fontId="4" fillId="4" borderId="7" xfId="0" applyFont="1" applyFill="1" applyBorder="1" applyAlignment="1">
      <alignment horizontal="center" vertical="center"/>
    </xf>
    <xf numFmtId="164" fontId="4" fillId="4" borderId="7" xfId="1" applyNumberFormat="1" applyFont="1" applyFill="1" applyBorder="1" applyAlignment="1">
      <alignment horizontal="center" vertical="center"/>
    </xf>
    <xf numFmtId="44" fontId="4" fillId="4" borderId="7" xfId="1" applyFont="1" applyFill="1" applyBorder="1" applyAlignment="1">
      <alignment horizontal="center" vertical="center"/>
    </xf>
    <xf numFmtId="9" fontId="4" fillId="4" borderId="7" xfId="2" applyFont="1" applyFill="1" applyBorder="1" applyAlignment="1">
      <alignment horizontal="center" vertical="center"/>
    </xf>
    <xf numFmtId="164" fontId="4" fillId="5" borderId="7" xfId="1" applyNumberFormat="1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164" fontId="4" fillId="3" borderId="5" xfId="1" applyNumberFormat="1" applyFont="1" applyFill="1" applyBorder="1" applyAlignment="1">
      <alignment horizontal="center" vertical="center"/>
    </xf>
    <xf numFmtId="164" fontId="4" fillId="3" borderId="5" xfId="0" applyNumberFormat="1" applyFont="1" applyFill="1" applyBorder="1" applyAlignment="1">
      <alignment horizontal="center" vertical="center"/>
    </xf>
    <xf numFmtId="9" fontId="4" fillId="3" borderId="5" xfId="2" applyFont="1" applyFill="1" applyBorder="1" applyAlignment="1">
      <alignment horizontal="center" vertical="center"/>
    </xf>
    <xf numFmtId="2" fontId="4" fillId="3" borderId="5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164" fontId="7" fillId="9" borderId="5" xfId="1" applyNumberFormat="1" applyFont="1" applyFill="1" applyBorder="1" applyAlignment="1">
      <alignment vertical="center"/>
    </xf>
    <xf numFmtId="164" fontId="4" fillId="9" borderId="5" xfId="0" applyNumberFormat="1" applyFont="1" applyFill="1" applyBorder="1" applyAlignment="1">
      <alignment horizontal="center" vertical="center"/>
    </xf>
    <xf numFmtId="164" fontId="4" fillId="3" borderId="5" xfId="1" applyNumberFormat="1" applyFont="1" applyFill="1" applyBorder="1" applyAlignment="1">
      <alignment horizontal="right" vertical="center"/>
    </xf>
    <xf numFmtId="0" fontId="4" fillId="3" borderId="16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center" vertical="center"/>
    </xf>
    <xf numFmtId="9" fontId="4" fillId="3" borderId="9" xfId="0" applyNumberFormat="1" applyFont="1" applyFill="1" applyBorder="1" applyAlignment="1">
      <alignment horizontal="center" vertical="center"/>
    </xf>
    <xf numFmtId="0" fontId="7" fillId="3" borderId="9" xfId="0" applyFont="1" applyFill="1" applyBorder="1" applyAlignment="1">
      <alignment vertical="center"/>
    </xf>
    <xf numFmtId="0" fontId="4" fillId="3" borderId="9" xfId="0" applyFont="1" applyFill="1" applyBorder="1" applyAlignment="1">
      <alignment horizontal="right" vertical="center"/>
    </xf>
    <xf numFmtId="164" fontId="4" fillId="5" borderId="7" xfId="1" applyNumberFormat="1" applyFont="1" applyFill="1" applyBorder="1" applyAlignment="1">
      <alignment horizontal="right" vertical="center"/>
    </xf>
    <xf numFmtId="0" fontId="4" fillId="3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164" fontId="4" fillId="0" borderId="0" xfId="1" applyNumberFormat="1" applyFont="1" applyAlignment="1">
      <alignment vertical="center"/>
    </xf>
    <xf numFmtId="44" fontId="4" fillId="0" borderId="0" xfId="1" applyFont="1" applyAlignment="1">
      <alignment vertical="center"/>
    </xf>
    <xf numFmtId="9" fontId="4" fillId="0" borderId="0" xfId="2" applyFont="1" applyAlignment="1">
      <alignment vertical="center"/>
    </xf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vertical="center"/>
    </xf>
    <xf numFmtId="164" fontId="4" fillId="4" borderId="7" xfId="1" applyNumberFormat="1" applyFont="1" applyFill="1" applyBorder="1" applyAlignment="1">
      <alignment vertical="center"/>
    </xf>
    <xf numFmtId="2" fontId="4" fillId="4" borderId="14" xfId="0" applyNumberFormat="1" applyFont="1" applyFill="1" applyBorder="1" applyAlignment="1">
      <alignment vertical="center"/>
    </xf>
    <xf numFmtId="164" fontId="4" fillId="3" borderId="5" xfId="1" applyNumberFormat="1" applyFont="1" applyFill="1" applyBorder="1" applyAlignment="1">
      <alignment vertical="center"/>
    </xf>
    <xf numFmtId="164" fontId="4" fillId="9" borderId="5" xfId="1" applyNumberFormat="1" applyFont="1" applyFill="1" applyBorder="1" applyAlignment="1">
      <alignment vertical="center"/>
    </xf>
    <xf numFmtId="2" fontId="4" fillId="3" borderId="8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2" fontId="4" fillId="3" borderId="10" xfId="0" applyNumberFormat="1" applyFont="1" applyFill="1" applyBorder="1" applyAlignment="1">
      <alignment vertical="center"/>
    </xf>
    <xf numFmtId="0" fontId="32" fillId="4" borderId="13" xfId="3" applyFont="1" applyFill="1" applyBorder="1" applyAlignment="1">
      <alignment horizontal="center" vertical="center"/>
    </xf>
    <xf numFmtId="0" fontId="32" fillId="4" borderId="0" xfId="3" applyFont="1" applyFill="1" applyAlignment="1">
      <alignment horizontal="center" vertical="center"/>
    </xf>
    <xf numFmtId="164" fontId="4" fillId="4" borderId="0" xfId="1" applyNumberFormat="1" applyFont="1" applyFill="1" applyBorder="1" applyAlignment="1">
      <alignment vertical="center"/>
    </xf>
    <xf numFmtId="2" fontId="4" fillId="4" borderId="0" xfId="0" applyNumberFormat="1" applyFont="1" applyFill="1" applyAlignment="1">
      <alignment vertical="center"/>
    </xf>
    <xf numFmtId="164" fontId="4" fillId="3" borderId="0" xfId="1" applyNumberFormat="1" applyFont="1" applyFill="1" applyBorder="1" applyAlignment="1">
      <alignment vertical="center"/>
    </xf>
    <xf numFmtId="164" fontId="4" fillId="9" borderId="0" xfId="1" applyNumberFormat="1" applyFont="1" applyFill="1" applyBorder="1" applyAlignment="1">
      <alignment vertical="center"/>
    </xf>
    <xf numFmtId="2" fontId="4" fillId="3" borderId="0" xfId="0" applyNumberFormat="1" applyFont="1" applyFill="1" applyAlignment="1">
      <alignment vertical="center"/>
    </xf>
    <xf numFmtId="164" fontId="18" fillId="3" borderId="5" xfId="1" applyNumberFormat="1" applyFont="1" applyFill="1" applyBorder="1" applyAlignment="1">
      <alignment horizontal="center" vertical="center"/>
    </xf>
    <xf numFmtId="164" fontId="18" fillId="3" borderId="5" xfId="1" applyNumberFormat="1" applyFont="1" applyFill="1" applyBorder="1" applyAlignment="1">
      <alignment horizontal="right" vertical="center"/>
    </xf>
    <xf numFmtId="0" fontId="31" fillId="0" borderId="15" xfId="0" applyFont="1" applyBorder="1"/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9" fontId="2" fillId="0" borderId="5" xfId="2" applyFont="1" applyBorder="1" applyAlignment="1">
      <alignment horizontal="center"/>
    </xf>
    <xf numFmtId="9" fontId="2" fillId="0" borderId="8" xfId="2" applyFont="1" applyBorder="1" applyAlignment="1">
      <alignment horizontal="center"/>
    </xf>
    <xf numFmtId="9" fontId="2" fillId="0" borderId="0" xfId="2" applyFont="1" applyAlignment="1">
      <alignment horizontal="center"/>
    </xf>
    <xf numFmtId="0" fontId="31" fillId="13" borderId="13" xfId="0" applyFont="1" applyFill="1" applyBorder="1" applyAlignment="1">
      <alignment vertical="center" wrapText="1"/>
    </xf>
    <xf numFmtId="0" fontId="31" fillId="13" borderId="7" xfId="0" applyFont="1" applyFill="1" applyBorder="1" applyAlignment="1">
      <alignment vertical="center" wrapText="1"/>
    </xf>
    <xf numFmtId="0" fontId="31" fillId="13" borderId="7" xfId="0" applyFont="1" applyFill="1" applyBorder="1" applyAlignment="1">
      <alignment horizontal="center" vertical="center" wrapText="1"/>
    </xf>
    <xf numFmtId="164" fontId="31" fillId="13" borderId="7" xfId="1" applyNumberFormat="1" applyFont="1" applyFill="1" applyBorder="1" applyAlignment="1">
      <alignment vertical="center" wrapText="1"/>
    </xf>
    <xf numFmtId="9" fontId="31" fillId="13" borderId="14" xfId="2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left" vertical="top" readingOrder="1"/>
    </xf>
    <xf numFmtId="0" fontId="27" fillId="2" borderId="1" xfId="0" applyFont="1" applyFill="1" applyBorder="1" applyAlignment="1">
      <alignment horizontal="left" vertical="top" readingOrder="1"/>
    </xf>
    <xf numFmtId="0" fontId="32" fillId="4" borderId="0" xfId="3" applyFont="1" applyFill="1" applyAlignment="1">
      <alignment horizontal="left" vertical="center"/>
    </xf>
    <xf numFmtId="0" fontId="32" fillId="0" borderId="0" xfId="3" applyFont="1" applyFill="1"/>
    <xf numFmtId="164" fontId="7" fillId="3" borderId="0" xfId="0" applyNumberFormat="1" applyFont="1" applyFill="1"/>
    <xf numFmtId="164" fontId="4" fillId="3" borderId="9" xfId="1" applyNumberFormat="1" applyFont="1" applyFill="1" applyBorder="1" applyAlignment="1">
      <alignment vertical="center"/>
    </xf>
    <xf numFmtId="164" fontId="4" fillId="3" borderId="9" xfId="1" applyNumberFormat="1" applyFont="1" applyFill="1" applyBorder="1" applyAlignment="1">
      <alignment horizontal="center" vertical="center"/>
    </xf>
    <xf numFmtId="164" fontId="4" fillId="3" borderId="9" xfId="0" applyNumberFormat="1" applyFont="1" applyFill="1" applyBorder="1" applyAlignment="1">
      <alignment horizontal="center" vertical="center"/>
    </xf>
    <xf numFmtId="9" fontId="4" fillId="3" borderId="9" xfId="2" applyFont="1" applyFill="1" applyBorder="1" applyAlignment="1">
      <alignment horizontal="center" vertical="center"/>
    </xf>
    <xf numFmtId="2" fontId="4" fillId="3" borderId="9" xfId="0" applyNumberFormat="1" applyFont="1" applyFill="1" applyBorder="1" applyAlignment="1">
      <alignment horizontal="center" vertical="center"/>
    </xf>
    <xf numFmtId="164" fontId="7" fillId="9" borderId="9" xfId="1" applyNumberFormat="1" applyFont="1" applyFill="1" applyBorder="1" applyAlignment="1">
      <alignment vertical="center"/>
    </xf>
    <xf numFmtId="164" fontId="4" fillId="9" borderId="9" xfId="1" applyNumberFormat="1" applyFont="1" applyFill="1" applyBorder="1" applyAlignment="1">
      <alignment vertical="center"/>
    </xf>
    <xf numFmtId="164" fontId="4" fillId="9" borderId="9" xfId="0" applyNumberFormat="1" applyFont="1" applyFill="1" applyBorder="1" applyAlignment="1">
      <alignment horizontal="center" vertical="center"/>
    </xf>
    <xf numFmtId="164" fontId="4" fillId="3" borderId="9" xfId="1" applyNumberFormat="1" applyFont="1" applyFill="1" applyBorder="1" applyAlignment="1">
      <alignment horizontal="right" vertical="center"/>
    </xf>
    <xf numFmtId="0" fontId="4" fillId="11" borderId="5" xfId="0" applyFont="1" applyFill="1" applyBorder="1" applyAlignment="1">
      <alignment horizontal="left" vertical="center"/>
    </xf>
    <xf numFmtId="164" fontId="4" fillId="11" borderId="5" xfId="1" applyNumberFormat="1" applyFont="1" applyFill="1" applyBorder="1" applyAlignment="1">
      <alignment horizontal="right" vertical="center"/>
    </xf>
    <xf numFmtId="164" fontId="4" fillId="11" borderId="0" xfId="1" applyNumberFormat="1" applyFont="1" applyFill="1" applyBorder="1" applyAlignment="1">
      <alignment horizontal="right" vertical="center"/>
    </xf>
    <xf numFmtId="168" fontId="9" fillId="2" borderId="4" xfId="0" applyNumberFormat="1" applyFont="1" applyFill="1" applyBorder="1" applyAlignment="1">
      <alignment horizontal="center" vertical="center" wrapText="1" readingOrder="1"/>
    </xf>
    <xf numFmtId="2" fontId="9" fillId="2" borderId="4" xfId="0" applyNumberFormat="1" applyFont="1" applyFill="1" applyBorder="1" applyAlignment="1">
      <alignment horizontal="center" vertical="center" wrapText="1" readingOrder="1"/>
    </xf>
    <xf numFmtId="2" fontId="9" fillId="2" borderId="4" xfId="0" applyNumberFormat="1" applyFont="1" applyFill="1" applyBorder="1" applyAlignment="1">
      <alignment horizontal="center" vertical="center" readingOrder="1"/>
    </xf>
    <xf numFmtId="0" fontId="4" fillId="15" borderId="5" xfId="0" applyFont="1" applyFill="1" applyBorder="1" applyAlignment="1">
      <alignment horizontal="left" vertical="center"/>
    </xf>
    <xf numFmtId="165" fontId="9" fillId="3" borderId="4" xfId="0" applyNumberFormat="1" applyFont="1" applyFill="1" applyBorder="1" applyAlignment="1">
      <alignment horizontal="center" vertical="top" wrapText="1" readingOrder="1"/>
    </xf>
    <xf numFmtId="1" fontId="9" fillId="2" borderId="4" xfId="0" applyNumberFormat="1" applyFont="1" applyFill="1" applyBorder="1" applyAlignment="1">
      <alignment horizontal="center" vertical="top" wrapText="1" readingOrder="1"/>
    </xf>
    <xf numFmtId="0" fontId="9" fillId="3" borderId="4" xfId="0" applyFont="1" applyFill="1" applyBorder="1" applyAlignment="1">
      <alignment horizontal="left" vertical="top" readingOrder="1"/>
    </xf>
    <xf numFmtId="166" fontId="9" fillId="0" borderId="4" xfId="4" applyNumberFormat="1" applyFont="1" applyBorder="1" applyAlignment="1">
      <alignment horizontal="left" vertical="top" readingOrder="1"/>
    </xf>
    <xf numFmtId="0" fontId="4" fillId="11" borderId="9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center" vertical="top" readingOrder="1"/>
    </xf>
    <xf numFmtId="1" fontId="11" fillId="3" borderId="12" xfId="0" applyNumberFormat="1" applyFont="1" applyFill="1" applyBorder="1" applyAlignment="1">
      <alignment horizontal="center" vertical="center" readingOrder="1"/>
    </xf>
    <xf numFmtId="164" fontId="4" fillId="3" borderId="0" xfId="2" applyNumberFormat="1" applyFont="1" applyFill="1" applyBorder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164" fontId="11" fillId="4" borderId="18" xfId="1" applyNumberFormat="1" applyFont="1" applyFill="1" applyBorder="1" applyAlignment="1">
      <alignment vertical="center"/>
    </xf>
    <xf numFmtId="164" fontId="11" fillId="4" borderId="18" xfId="1" applyNumberFormat="1" applyFont="1" applyFill="1" applyBorder="1" applyAlignment="1">
      <alignment horizontal="center" vertical="center"/>
    </xf>
    <xf numFmtId="44" fontId="11" fillId="4" borderId="18" xfId="1" applyFont="1" applyFill="1" applyBorder="1" applyAlignment="1">
      <alignment horizontal="center" vertical="center"/>
    </xf>
    <xf numFmtId="9" fontId="11" fillId="4" borderId="18" xfId="2" applyFont="1" applyFill="1" applyBorder="1" applyAlignment="1">
      <alignment horizontal="center" vertical="center"/>
    </xf>
    <xf numFmtId="164" fontId="11" fillId="5" borderId="18" xfId="1" applyNumberFormat="1" applyFont="1" applyFill="1" applyBorder="1" applyAlignment="1">
      <alignment horizontal="right" vertical="center"/>
    </xf>
    <xf numFmtId="9" fontId="11" fillId="4" borderId="19" xfId="2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left" vertical="center"/>
    </xf>
    <xf numFmtId="0" fontId="4" fillId="3" borderId="18" xfId="0" applyFont="1" applyFill="1" applyBorder="1" applyAlignment="1">
      <alignment horizontal="left" vertical="center"/>
    </xf>
    <xf numFmtId="164" fontId="4" fillId="3" borderId="18" xfId="1" applyNumberFormat="1" applyFont="1" applyFill="1" applyBorder="1" applyAlignment="1">
      <alignment vertical="center"/>
    </xf>
    <xf numFmtId="164" fontId="4" fillId="3" borderId="18" xfId="1" applyNumberFormat="1" applyFont="1" applyFill="1" applyBorder="1" applyAlignment="1">
      <alignment horizontal="center" vertical="center"/>
    </xf>
    <xf numFmtId="164" fontId="4" fillId="3" borderId="18" xfId="0" applyNumberFormat="1" applyFont="1" applyFill="1" applyBorder="1" applyAlignment="1">
      <alignment horizontal="center" vertical="center"/>
    </xf>
    <xf numFmtId="9" fontId="4" fillId="3" borderId="18" xfId="2" applyFont="1" applyFill="1" applyBorder="1" applyAlignment="1">
      <alignment horizontal="center" vertical="center"/>
    </xf>
    <xf numFmtId="2" fontId="4" fillId="3" borderId="18" xfId="0" applyNumberFormat="1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164" fontId="4" fillId="12" borderId="18" xfId="1" applyNumberFormat="1" applyFont="1" applyFill="1" applyBorder="1" applyAlignment="1">
      <alignment horizontal="right" vertical="center"/>
    </xf>
    <xf numFmtId="9" fontId="4" fillId="3" borderId="19" xfId="2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left" vertical="center"/>
    </xf>
    <xf numFmtId="0" fontId="5" fillId="3" borderId="21" xfId="0" applyFont="1" applyFill="1" applyBorder="1" applyAlignment="1">
      <alignment horizontal="left" vertical="center"/>
    </xf>
    <xf numFmtId="0" fontId="5" fillId="3" borderId="21" xfId="0" applyFont="1" applyFill="1" applyBorder="1" applyAlignment="1">
      <alignment vertical="center"/>
    </xf>
    <xf numFmtId="0" fontId="5" fillId="3" borderId="21" xfId="0" applyFont="1" applyFill="1" applyBorder="1" applyAlignment="1">
      <alignment horizontal="center" vertical="center"/>
    </xf>
    <xf numFmtId="9" fontId="5" fillId="3" borderId="21" xfId="0" applyNumberFormat="1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vertical="center"/>
    </xf>
    <xf numFmtId="0" fontId="5" fillId="3" borderId="21" xfId="0" applyFont="1" applyFill="1" applyBorder="1" applyAlignment="1">
      <alignment horizontal="right" vertical="center"/>
    </xf>
    <xf numFmtId="0" fontId="5" fillId="3" borderId="22" xfId="0" applyFont="1" applyFill="1" applyBorder="1" applyAlignment="1">
      <alignment horizontal="center" vertical="center"/>
    </xf>
    <xf numFmtId="0" fontId="0" fillId="11" borderId="0" xfId="0" applyFill="1" applyAlignment="1">
      <alignment vertical="center"/>
    </xf>
    <xf numFmtId="0" fontId="0" fillId="5" borderId="0" xfId="0" applyFill="1"/>
    <xf numFmtId="0" fontId="4" fillId="0" borderId="15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64" fontId="4" fillId="0" borderId="5" xfId="1" applyNumberFormat="1" applyFont="1" applyFill="1" applyBorder="1" applyAlignment="1">
      <alignment vertical="center"/>
    </xf>
    <xf numFmtId="164" fontId="4" fillId="0" borderId="5" xfId="1" applyNumberFormat="1" applyFont="1" applyFill="1" applyBorder="1" applyAlignment="1">
      <alignment horizontal="center" vertical="center"/>
    </xf>
    <xf numFmtId="0" fontId="33" fillId="4" borderId="0" xfId="3" applyFont="1" applyFill="1" applyAlignment="1">
      <alignment horizontal="center" vertical="center"/>
    </xf>
    <xf numFmtId="0" fontId="33" fillId="4" borderId="0" xfId="3" applyFont="1" applyFill="1" applyAlignment="1">
      <alignment horizontal="left" vertical="center"/>
    </xf>
    <xf numFmtId="0" fontId="4" fillId="16" borderId="0" xfId="0" applyFont="1" applyFill="1" applyAlignment="1">
      <alignment horizontal="left" vertical="center"/>
    </xf>
    <xf numFmtId="0" fontId="33" fillId="0" borderId="0" xfId="3" applyFont="1"/>
    <xf numFmtId="0" fontId="4" fillId="11" borderId="0" xfId="0" applyFont="1" applyFill="1" applyAlignment="1">
      <alignment horizontal="left" vertical="center"/>
    </xf>
    <xf numFmtId="0" fontId="4" fillId="11" borderId="15" xfId="0" applyFont="1" applyFill="1" applyBorder="1" applyAlignment="1">
      <alignment horizontal="left" vertical="center"/>
    </xf>
    <xf numFmtId="168" fontId="9" fillId="2" borderId="4" xfId="0" applyNumberFormat="1" applyFont="1" applyFill="1" applyBorder="1" applyAlignment="1">
      <alignment horizontal="center" vertical="center" readingOrder="1"/>
    </xf>
    <xf numFmtId="1" fontId="9" fillId="2" borderId="4" xfId="2" applyNumberFormat="1" applyFont="1" applyFill="1" applyBorder="1" applyAlignment="1">
      <alignment horizontal="center" vertical="center" wrapText="1" readingOrder="1"/>
    </xf>
    <xf numFmtId="0" fontId="34" fillId="0" borderId="23" xfId="0" applyFont="1" applyBorder="1" applyAlignment="1">
      <alignment vertical="center"/>
    </xf>
    <xf numFmtId="0" fontId="34" fillId="0" borderId="0" xfId="0" applyFont="1" applyAlignment="1">
      <alignment vertical="center"/>
    </xf>
    <xf numFmtId="1" fontId="9" fillId="3" borderId="4" xfId="0" applyNumberFormat="1" applyFont="1" applyFill="1" applyBorder="1" applyAlignment="1">
      <alignment horizontal="center" vertical="center" wrapText="1" readingOrder="1"/>
    </xf>
    <xf numFmtId="164" fontId="11" fillId="3" borderId="12" xfId="0" applyNumberFormat="1" applyFont="1" applyFill="1" applyBorder="1" applyAlignment="1">
      <alignment horizontal="center" vertical="top" readingOrder="1"/>
    </xf>
    <xf numFmtId="1" fontId="9" fillId="2" borderId="4" xfId="1" applyNumberFormat="1" applyFont="1" applyFill="1" applyBorder="1" applyAlignment="1">
      <alignment horizontal="center" vertical="center" wrapText="1" readingOrder="1"/>
    </xf>
    <xf numFmtId="1" fontId="9" fillId="3" borderId="4" xfId="0" applyNumberFormat="1" applyFont="1" applyFill="1" applyBorder="1" applyAlignment="1">
      <alignment horizontal="center" vertical="center" readingOrder="1"/>
    </xf>
    <xf numFmtId="166" fontId="9" fillId="9" borderId="4" xfId="4" applyNumberFormat="1" applyFont="1" applyFill="1" applyBorder="1" applyAlignment="1">
      <alignment vertical="top" readingOrder="1"/>
    </xf>
    <xf numFmtId="0" fontId="0" fillId="17" borderId="0" xfId="0" applyFill="1"/>
    <xf numFmtId="164" fontId="0" fillId="0" borderId="0" xfId="1" applyNumberFormat="1" applyFont="1"/>
    <xf numFmtId="164" fontId="0" fillId="17" borderId="0" xfId="1" applyNumberFormat="1" applyFont="1" applyFill="1"/>
    <xf numFmtId="164" fontId="35" fillId="0" borderId="0" xfId="1" applyNumberFormat="1" applyFont="1"/>
    <xf numFmtId="9" fontId="0" fillId="0" borderId="0" xfId="2" applyFont="1"/>
    <xf numFmtId="0" fontId="8" fillId="2" borderId="3" xfId="0" applyFont="1" applyFill="1" applyBorder="1" applyAlignment="1">
      <alignment horizontal="center"/>
    </xf>
    <xf numFmtId="0" fontId="7" fillId="7" borderId="0" xfId="0" applyFont="1" applyFill="1" applyAlignment="1">
      <alignment horizontal="center" vertical="center"/>
    </xf>
    <xf numFmtId="9" fontId="16" fillId="14" borderId="0" xfId="2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top" readingOrder="1"/>
    </xf>
    <xf numFmtId="0" fontId="6" fillId="2" borderId="12" xfId="0" applyFont="1" applyFill="1" applyBorder="1" applyAlignment="1">
      <alignment horizontal="center" vertical="top" readingOrder="1"/>
    </xf>
    <xf numFmtId="0" fontId="4" fillId="2" borderId="0" xfId="0" applyFont="1" applyFill="1" applyAlignment="1">
      <alignment horizontal="center"/>
    </xf>
    <xf numFmtId="0" fontId="26" fillId="10" borderId="0" xfId="0" applyFont="1" applyFill="1" applyAlignment="1">
      <alignment horizontal="center"/>
    </xf>
    <xf numFmtId="0" fontId="25" fillId="3" borderId="0" xfId="3" applyFont="1" applyFill="1" applyAlignment="1">
      <alignment horizontal="center" vertical="center"/>
    </xf>
    <xf numFmtId="0" fontId="25" fillId="3" borderId="0" xfId="3" quotePrefix="1" applyFont="1" applyFill="1" applyAlignment="1">
      <alignment horizontal="center" vertical="center" wrapText="1"/>
    </xf>
    <xf numFmtId="0" fontId="25" fillId="3" borderId="0" xfId="3" applyFont="1" applyFill="1" applyAlignment="1">
      <alignment horizontal="center" vertical="center" wrapText="1"/>
    </xf>
    <xf numFmtId="0" fontId="4" fillId="3" borderId="0" xfId="0" applyFont="1" applyFill="1" applyAlignment="1">
      <alignment horizontal="center"/>
    </xf>
    <xf numFmtId="0" fontId="19" fillId="3" borderId="0" xfId="3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/>
    </xf>
    <xf numFmtId="0" fontId="19" fillId="3" borderId="0" xfId="3" quotePrefix="1" applyFont="1" applyFill="1" applyAlignment="1">
      <alignment horizontal="center" vertical="center" wrapText="1"/>
    </xf>
    <xf numFmtId="0" fontId="19" fillId="3" borderId="0" xfId="3" applyFont="1" applyFill="1" applyAlignment="1">
      <alignment horizontal="center" vertical="center" wrapText="1"/>
    </xf>
    <xf numFmtId="0" fontId="5" fillId="3" borderId="0" xfId="0" applyFont="1" applyFill="1" applyAlignment="1">
      <alignment horizontal="center"/>
    </xf>
    <xf numFmtId="0" fontId="29" fillId="2" borderId="3" xfId="0" applyFont="1" applyFill="1" applyBorder="1" applyAlignment="1">
      <alignment horizontal="center"/>
    </xf>
    <xf numFmtId="164" fontId="6" fillId="2" borderId="12" xfId="1" applyNumberFormat="1" applyFont="1" applyFill="1" applyBorder="1" applyAlignment="1">
      <alignment horizontal="center" vertical="top" readingOrder="1"/>
    </xf>
  </cellXfs>
  <cellStyles count="6">
    <cellStyle name="Hipervínculo" xfId="3" builtinId="8"/>
    <cellStyle name="Moneda" xfId="1" builtinId="4"/>
    <cellStyle name="Moneda 2" xfId="5" xr:uid="{21C73EE4-BD41-4B65-BA9B-EA7173703976}"/>
    <cellStyle name="Normal" xfId="0" builtinId="0"/>
    <cellStyle name="Normal 2" xfId="4" xr:uid="{8A7BDF0D-323E-42D8-91A7-1B00A6B4AC00}"/>
    <cellStyle name="Porcentaje" xfId="2" builtinId="5"/>
  </cellStyles>
  <dxfs count="7814"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9" tint="0.40000610370189521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9" tint="0.40000610370189521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9" tint="0.40000610370189521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9" tint="0.40000610370189521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9" tint="0.40000610370189521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9" tint="0.40000610370189521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9" tint="0.40000610370189521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9" tint="0.40000610370189521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9" tint="0.40000610370189521"/>
          </stop>
          <stop position="1">
            <color theme="0"/>
          </stop>
        </gradient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 outline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2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 outline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2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 outline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2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 outline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2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 outline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2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 outline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2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 outline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2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 outline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2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 outline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2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3" formatCode="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3" formatCode="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_-&quot;$&quot;\ * #,##0_-;\-&quot;$&quot;\ * #,##0_-;_-&quot;$&quot;\ 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_-&quot;$&quot;\ * #,##0_-;\-&quot;$&quot;\ * #,##0_-;_-&quot;$&quot;\ 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_-&quot;$&quot;\ * #,##0_-;\-&quot;$&quot;\ * #,##0_-;_-&quot;$&quot;\ 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_-&quot;$&quot;\ * #,##0_-;\-&quot;$&quot;\ * #,##0_-;_-&quot;$&quot;\ 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_-&quot;$&quot;\ * #,##0_-;\-&quot;$&quot;\ * #,##0_-;_-&quot;$&quot;\ * &quot;-&quot;??_-;_-@_-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_-&quot;$&quot;\ * #,##0_-;\-&quot;$&quot;\ * #,##0_-;_-&quot;$&quot;\ * &quot;-&quot;??_-;_-@_-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theme="4" tint="0.79998168889431442"/>
          <bgColor theme="1"/>
        </patternFill>
      </fill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 outline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2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 outline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2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 outline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2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 outline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2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 outline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2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 outline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2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 outline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2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 outline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2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 outline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2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 outline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2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 outline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2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 outline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2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.5"/>
        <color theme="0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.5"/>
        <color theme="0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.5"/>
        <color theme="0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.5"/>
        <color theme="0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.5"/>
        <color theme="0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.5"/>
        <color theme="0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.5"/>
        <color theme="0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.5"/>
        <color theme="0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.5"/>
        <color theme="0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.5"/>
        <color theme="0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 outline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alignment textRotation="0" wrapText="0" indent="0" justifyLastLine="0" shrinkToFit="0"/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textRotation="0" wrapText="0" indent="0" justifyLastLine="0" shrinkToFit="0"/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alignment textRotation="0" wrapText="0" indent="0" justifyLastLine="0" shrinkToFit="0"/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textRotation="0" wrapText="0" indent="0" justifyLastLine="0" shrinkToFit="0"/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alignment textRotation="0" wrapText="0" indent="0" justifyLastLine="0" shrinkToFit="0"/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textRotation="0" wrapText="0" indent="0" justifyLastLine="0" shrinkToFit="0"/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alignment textRotation="0" wrapText="0" indent="0" justifyLastLine="0" shrinkToFit="0"/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textRotation="0" wrapText="0" indent="0" justifyLastLine="0" shrinkToFit="0"/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alignment textRotation="0" wrapText="0" indent="0" justifyLastLine="0" shrinkToFit="0"/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textRotation="0" wrapText="0" indent="0" justifyLastLine="0" shrinkToFit="0"/>
    </dxf>
    <dxf>
      <border outline="0"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" formatCode="0"/>
      <alignment textRotation="0" wrapText="0" indent="0" justifyLastLine="0" shrinkToFit="0"/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C0A]#,##0.000;\(#,##0.0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rgb="FFD3D3D3"/>
        </bottom>
      </border>
    </dxf>
    <dxf>
      <alignment textRotation="0" wrapText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5999938962981048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0"/>
        <color auto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theme="1" tint="0.34998626667073579"/>
        </patternFill>
      </fill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9031A280-5BA8-46E3-B246-C50CFBDF09F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PRINCIPAL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PRINCIPAL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PRINCIPAL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PRINCIPAL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PRINCIPAL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PRINCIPAL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PRINCIPAL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'MATRIZ CARTA'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PRINCIPAL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PRINCIPAL!A1"/></Relationships>
</file>

<file path=xl/drawings/_rels/drawing11.xml.rels><?xml version="1.0" encoding="UTF-8" standalone="yes"?>
<Relationships xmlns="http://schemas.openxmlformats.org/package/2006/relationships"><Relationship Id="rId13" Type="http://schemas.openxmlformats.org/officeDocument/2006/relationships/hyperlink" Target="#INSUMOS!A1"/><Relationship Id="rId18" Type="http://schemas.openxmlformats.org/officeDocument/2006/relationships/hyperlink" Target="#'COCTELES A BASE DE PISCO'!A1"/><Relationship Id="rId26" Type="http://schemas.openxmlformats.org/officeDocument/2006/relationships/hyperlink" Target="#RON!A1"/><Relationship Id="rId3" Type="http://schemas.openxmlformats.org/officeDocument/2006/relationships/hyperlink" Target="#ENTRADAS!A1"/><Relationship Id="rId21" Type="http://schemas.openxmlformats.org/officeDocument/2006/relationships/hyperlink" Target="#'COCTELES '!A1"/><Relationship Id="rId34" Type="http://schemas.openxmlformats.org/officeDocument/2006/relationships/hyperlink" Target="#ADICIONES!A1"/><Relationship Id="rId7" Type="http://schemas.openxmlformats.org/officeDocument/2006/relationships/hyperlink" Target="#CEVICHES!A1"/><Relationship Id="rId12" Type="http://schemas.openxmlformats.org/officeDocument/2006/relationships/hyperlink" Target="#POSTRES!A1"/><Relationship Id="rId17" Type="http://schemas.openxmlformats.org/officeDocument/2006/relationships/hyperlink" Target="#'BEBIDAS ESPECIALES SIN ALCOHOL'!A1"/><Relationship Id="rId25" Type="http://schemas.openxmlformats.org/officeDocument/2006/relationships/hyperlink" Target="#'LIMONADAS Y JUGOS'!A1"/><Relationship Id="rId33" Type="http://schemas.openxmlformats.org/officeDocument/2006/relationships/hyperlink" Target="#ESPUMOSOS!A1"/><Relationship Id="rId2" Type="http://schemas.openxmlformats.org/officeDocument/2006/relationships/hyperlink" Target="#'ESPECIALIDADES DEL CHEF'!A1"/><Relationship Id="rId16" Type="http://schemas.openxmlformats.org/officeDocument/2006/relationships/hyperlink" Target="#'RECETAS BASE'!A1"/><Relationship Id="rId20" Type="http://schemas.openxmlformats.org/officeDocument/2006/relationships/hyperlink" Target="#SODAS!A1"/><Relationship Id="rId29" Type="http://schemas.openxmlformats.org/officeDocument/2006/relationships/hyperlink" Target="#'APERITIVOS Y DIGESTIVOS'!A1"/><Relationship Id="rId1" Type="http://schemas.openxmlformats.org/officeDocument/2006/relationships/hyperlink" Target="#ARROCES!A1"/><Relationship Id="rId6" Type="http://schemas.openxmlformats.org/officeDocument/2006/relationships/hyperlink" Target="#SOPAS!A1"/><Relationship Id="rId11" Type="http://schemas.openxmlformats.org/officeDocument/2006/relationships/hyperlink" Target="#CARNES!A1"/><Relationship Id="rId24" Type="http://schemas.openxmlformats.org/officeDocument/2006/relationships/hyperlink" Target="#'VINOS BLANCOS'!A1"/><Relationship Id="rId32" Type="http://schemas.openxmlformats.org/officeDocument/2006/relationships/hyperlink" Target="#VODKA!A1"/><Relationship Id="rId5" Type="http://schemas.openxmlformats.org/officeDocument/2006/relationships/hyperlink" Target="#'PESCADOS Y MARISCOS'!A1"/><Relationship Id="rId15" Type="http://schemas.openxmlformats.org/officeDocument/2006/relationships/hyperlink" Target="#SANGRIA!A1"/><Relationship Id="rId23" Type="http://schemas.openxmlformats.org/officeDocument/2006/relationships/hyperlink" Target="#'VINOS POR COPA'!A1"/><Relationship Id="rId28" Type="http://schemas.openxmlformats.org/officeDocument/2006/relationships/hyperlink" Target="#'TEQUILA Y MEZCAL'!A1"/><Relationship Id="rId10" Type="http://schemas.openxmlformats.org/officeDocument/2006/relationships/hyperlink" Target="#CAUSAS!A1"/><Relationship Id="rId19" Type="http://schemas.openxmlformats.org/officeDocument/2006/relationships/hyperlink" Target="#'PISCOS SOUR'!A1"/><Relationship Id="rId31" Type="http://schemas.openxmlformats.org/officeDocument/2006/relationships/hyperlink" Target="#GINEBRA!A1"/><Relationship Id="rId4" Type="http://schemas.openxmlformats.org/officeDocument/2006/relationships/hyperlink" Target="#'PARA COMPARTIR'!A1"/><Relationship Id="rId9" Type="http://schemas.openxmlformats.org/officeDocument/2006/relationships/hyperlink" Target="#'MENU INFANTIL'!A1"/><Relationship Id="rId14" Type="http://schemas.openxmlformats.org/officeDocument/2006/relationships/hyperlink" Target="#CERVEZA!A1"/><Relationship Id="rId22" Type="http://schemas.openxmlformats.org/officeDocument/2006/relationships/hyperlink" Target="#ROTACION!A1"/><Relationship Id="rId27" Type="http://schemas.openxmlformats.org/officeDocument/2006/relationships/hyperlink" Target="#AGUARDIENTE!A1"/><Relationship Id="rId30" Type="http://schemas.openxmlformats.org/officeDocument/2006/relationships/hyperlink" Target="#'WHISKY Y WHISKEY'!A1"/><Relationship Id="rId35" Type="http://schemas.openxmlformats.org/officeDocument/2006/relationships/hyperlink" Target="#'VINOS TINTOS'!A1"/><Relationship Id="rId8" Type="http://schemas.openxmlformats.org/officeDocument/2006/relationships/hyperlink" Target="#'MATRIZ CARTA'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PRINCIPAL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'MATRIZ CARTA'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'MATRIZ CARTA'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PRINCIPAL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PRINCIPAL!A1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PRINCIPAL!A1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hyperlink" Target="#PRINCIPAL!A1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hyperlink" Target="#PRINCIPAL!A1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hyperlink" Target="#'MATRIZ CARTA'!A1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hyperlink" Target="#PRINCIPAL!A1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hyperlink" Target="#PRINCIPAL!A1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hyperlink" Target="#PRINCIPAL!A1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hyperlink" Target="#PRINCIPAL!A1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hyperlink" Target="#PRINCIPAL!A1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hyperlink" Target="#PRINCIPAL!A1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hyperlink" Target="#'MATRIZ CARTA'!A1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hyperlink" Target="#PRINCIPAL!A1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hyperlink" Target="#PRINCIPAL!A1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hyperlink" Target="#PRINCIPAL!A1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hyperlink" Target="#PRINCIPAL!A1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hyperlink" Target="#PRINCIPAL!A1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hyperlink" Target="#PRINCIPAL!A1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hyperlink" Target="#'MATRIZ CARTA'!A1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hyperlink" Target="#PRINCIPAL!A1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hyperlink" Target="#PRINCIPAL!A1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hyperlink" Target="#PRINCIPAL!A1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hyperlink" Target="#PRINCIPAL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15482</xdr:colOff>
      <xdr:row>0</xdr:row>
      <xdr:rowOff>27032</xdr:rowOff>
    </xdr:from>
    <xdr:to>
      <xdr:col>1</xdr:col>
      <xdr:colOff>1686308</xdr:colOff>
      <xdr:row>3</xdr:row>
      <xdr:rowOff>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C62FAE-587E-48A1-9A28-E3A0E206682B}"/>
            </a:ext>
          </a:extLst>
        </xdr:cNvPr>
        <xdr:cNvSpPr/>
      </xdr:nvSpPr>
      <xdr:spPr>
        <a:xfrm>
          <a:off x="253607" y="27032"/>
          <a:ext cx="1670826" cy="532562"/>
        </a:xfrm>
        <a:prstGeom prst="leftArrow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latin typeface="Arial" panose="020B0604020202020204" pitchFamily="34" charset="0"/>
              <a:cs typeface="Arial" panose="020B0604020202020204" pitchFamily="34" charset="0"/>
            </a:rPr>
            <a:t>PRINCIPAL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50800</xdr:colOff>
      <xdr:row>0</xdr:row>
      <xdr:rowOff>146050</xdr:rowOff>
    </xdr:from>
    <xdr:to>
      <xdr:col>1</xdr:col>
      <xdr:colOff>1715911</xdr:colOff>
      <xdr:row>3</xdr:row>
      <xdr:rowOff>129822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F5393A-F56F-41D1-A457-D456F74C7595}"/>
            </a:ext>
          </a:extLst>
        </xdr:cNvPr>
        <xdr:cNvSpPr/>
      </xdr:nvSpPr>
      <xdr:spPr>
        <a:xfrm>
          <a:off x="485140" y="146050"/>
          <a:ext cx="1665111" cy="532412"/>
        </a:xfrm>
        <a:prstGeom prst="leftArrow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latin typeface="Arial" panose="020B0604020202020204" pitchFamily="34" charset="0"/>
              <a:cs typeface="Arial" panose="020B0604020202020204" pitchFamily="34" charset="0"/>
            </a:rPr>
            <a:t>PRINCIPAL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50800</xdr:colOff>
      <xdr:row>0</xdr:row>
      <xdr:rowOff>146050</xdr:rowOff>
    </xdr:from>
    <xdr:to>
      <xdr:col>1</xdr:col>
      <xdr:colOff>1715911</xdr:colOff>
      <xdr:row>3</xdr:row>
      <xdr:rowOff>129822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B6D9A8-5CB9-490B-91D2-35630312C60E}"/>
            </a:ext>
          </a:extLst>
        </xdr:cNvPr>
        <xdr:cNvSpPr/>
      </xdr:nvSpPr>
      <xdr:spPr>
        <a:xfrm>
          <a:off x="485140" y="146050"/>
          <a:ext cx="1665111" cy="532412"/>
        </a:xfrm>
        <a:prstGeom prst="leftArrow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latin typeface="Arial" panose="020B0604020202020204" pitchFamily="34" charset="0"/>
              <a:cs typeface="Arial" panose="020B0604020202020204" pitchFamily="34" charset="0"/>
            </a:rPr>
            <a:t>PRINCIPAL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50800</xdr:colOff>
      <xdr:row>0</xdr:row>
      <xdr:rowOff>146050</xdr:rowOff>
    </xdr:from>
    <xdr:to>
      <xdr:col>1</xdr:col>
      <xdr:colOff>1715911</xdr:colOff>
      <xdr:row>3</xdr:row>
      <xdr:rowOff>129822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CB2AAC-F963-4563-BF5B-99FB86CAEC99}"/>
            </a:ext>
          </a:extLst>
        </xdr:cNvPr>
        <xdr:cNvSpPr/>
      </xdr:nvSpPr>
      <xdr:spPr>
        <a:xfrm>
          <a:off x="485140" y="146050"/>
          <a:ext cx="1665111" cy="532412"/>
        </a:xfrm>
        <a:prstGeom prst="leftArrow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latin typeface="Arial" panose="020B0604020202020204" pitchFamily="34" charset="0"/>
              <a:cs typeface="Arial" panose="020B0604020202020204" pitchFamily="34" charset="0"/>
            </a:rPr>
            <a:t>PRINCIPAL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50800</xdr:colOff>
      <xdr:row>0</xdr:row>
      <xdr:rowOff>146050</xdr:rowOff>
    </xdr:from>
    <xdr:to>
      <xdr:col>1</xdr:col>
      <xdr:colOff>1715911</xdr:colOff>
      <xdr:row>3</xdr:row>
      <xdr:rowOff>129822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AB2138-7F00-4AE6-8755-09760631157F}"/>
            </a:ext>
          </a:extLst>
        </xdr:cNvPr>
        <xdr:cNvSpPr/>
      </xdr:nvSpPr>
      <xdr:spPr>
        <a:xfrm>
          <a:off x="485140" y="146050"/>
          <a:ext cx="1665111" cy="532412"/>
        </a:xfrm>
        <a:prstGeom prst="leftArrow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latin typeface="Arial" panose="020B0604020202020204" pitchFamily="34" charset="0"/>
              <a:cs typeface="Arial" panose="020B0604020202020204" pitchFamily="34" charset="0"/>
            </a:rPr>
            <a:t>PRINCIPAL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50800</xdr:colOff>
      <xdr:row>0</xdr:row>
      <xdr:rowOff>146050</xdr:rowOff>
    </xdr:from>
    <xdr:to>
      <xdr:col>1</xdr:col>
      <xdr:colOff>1715911</xdr:colOff>
      <xdr:row>3</xdr:row>
      <xdr:rowOff>129822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0E7A8D-8CBA-47D6-9B9B-DF672FB2F416}"/>
            </a:ext>
          </a:extLst>
        </xdr:cNvPr>
        <xdr:cNvSpPr/>
      </xdr:nvSpPr>
      <xdr:spPr>
        <a:xfrm>
          <a:off x="330200" y="146050"/>
          <a:ext cx="1665111" cy="536222"/>
        </a:xfrm>
        <a:prstGeom prst="leftArrow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latin typeface="Arial" panose="020B0604020202020204" pitchFamily="34" charset="0"/>
              <a:cs typeface="Arial" panose="020B0604020202020204" pitchFamily="34" charset="0"/>
            </a:rPr>
            <a:t>PRINCIPAL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50800</xdr:colOff>
      <xdr:row>0</xdr:row>
      <xdr:rowOff>146050</xdr:rowOff>
    </xdr:from>
    <xdr:to>
      <xdr:col>1</xdr:col>
      <xdr:colOff>1715911</xdr:colOff>
      <xdr:row>3</xdr:row>
      <xdr:rowOff>129822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1EF8B4-4584-480A-B47A-84160B173DC5}"/>
            </a:ext>
          </a:extLst>
        </xdr:cNvPr>
        <xdr:cNvSpPr/>
      </xdr:nvSpPr>
      <xdr:spPr>
        <a:xfrm>
          <a:off x="485140" y="146050"/>
          <a:ext cx="1665111" cy="532412"/>
        </a:xfrm>
        <a:prstGeom prst="leftArrow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latin typeface="Arial" panose="020B0604020202020204" pitchFamily="34" charset="0"/>
              <a:cs typeface="Arial" panose="020B0604020202020204" pitchFamily="34" charset="0"/>
            </a:rPr>
            <a:t>PRINCIPAL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50800</xdr:colOff>
      <xdr:row>0</xdr:row>
      <xdr:rowOff>146050</xdr:rowOff>
    </xdr:from>
    <xdr:to>
      <xdr:col>1</xdr:col>
      <xdr:colOff>1715911</xdr:colOff>
      <xdr:row>3</xdr:row>
      <xdr:rowOff>129822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6CB156-4E34-48C9-A177-5EC5617BA9DE}"/>
            </a:ext>
          </a:extLst>
        </xdr:cNvPr>
        <xdr:cNvSpPr/>
      </xdr:nvSpPr>
      <xdr:spPr>
        <a:xfrm>
          <a:off x="485140" y="146050"/>
          <a:ext cx="1665111" cy="532412"/>
        </a:xfrm>
        <a:prstGeom prst="leftArrow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latin typeface="Arial" panose="020B0604020202020204" pitchFamily="34" charset="0"/>
              <a:cs typeface="Arial" panose="020B0604020202020204" pitchFamily="34" charset="0"/>
            </a:rPr>
            <a:t>PRINCIPAL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50800</xdr:colOff>
      <xdr:row>0</xdr:row>
      <xdr:rowOff>146050</xdr:rowOff>
    </xdr:from>
    <xdr:to>
      <xdr:col>1</xdr:col>
      <xdr:colOff>1715911</xdr:colOff>
      <xdr:row>3</xdr:row>
      <xdr:rowOff>129822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18ECD8-542D-47C1-B4C8-6787B4AE13EA}"/>
            </a:ext>
          </a:extLst>
        </xdr:cNvPr>
        <xdr:cNvSpPr/>
      </xdr:nvSpPr>
      <xdr:spPr>
        <a:xfrm>
          <a:off x="492760" y="144145"/>
          <a:ext cx="1661301" cy="532412"/>
        </a:xfrm>
        <a:prstGeom prst="leftArrow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latin typeface="Arial" panose="020B0604020202020204" pitchFamily="34" charset="0"/>
              <a:cs typeface="Arial" panose="020B0604020202020204" pitchFamily="34" charset="0"/>
            </a:rPr>
            <a:t>PRINCIPAL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50800</xdr:colOff>
      <xdr:row>0</xdr:row>
      <xdr:rowOff>146050</xdr:rowOff>
    </xdr:from>
    <xdr:to>
      <xdr:col>1</xdr:col>
      <xdr:colOff>1715911</xdr:colOff>
      <xdr:row>3</xdr:row>
      <xdr:rowOff>129822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C311DA-3B1A-4C8F-954A-8F8490538E33}"/>
            </a:ext>
          </a:extLst>
        </xdr:cNvPr>
        <xdr:cNvSpPr/>
      </xdr:nvSpPr>
      <xdr:spPr>
        <a:xfrm>
          <a:off x="485140" y="146050"/>
          <a:ext cx="1665111" cy="532412"/>
        </a:xfrm>
        <a:prstGeom prst="leftArrow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latin typeface="Arial" panose="020B0604020202020204" pitchFamily="34" charset="0"/>
              <a:cs typeface="Arial" panose="020B0604020202020204" pitchFamily="34" charset="0"/>
            </a:rPr>
            <a:t>PRINCIPAL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152400</xdr:rowOff>
    </xdr:from>
    <xdr:to>
      <xdr:col>2</xdr:col>
      <xdr:colOff>640080</xdr:colOff>
      <xdr:row>7</xdr:row>
      <xdr:rowOff>144780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AB8746-B327-4B0B-AC45-098F3EE63F10}"/>
            </a:ext>
          </a:extLst>
        </xdr:cNvPr>
        <xdr:cNvSpPr/>
      </xdr:nvSpPr>
      <xdr:spPr>
        <a:xfrm>
          <a:off x="0" y="853440"/>
          <a:ext cx="906780" cy="42672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br>
            <a:rPr lang="es-CO" sz="7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s-CO" sz="7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 </a:t>
          </a:r>
          <a:r>
            <a:rPr lang="es-CO" sz="8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ARROCES</a:t>
          </a:r>
        </a:p>
      </xdr:txBody>
    </xdr:sp>
    <xdr:clientData/>
  </xdr:twoCellAnchor>
  <xdr:twoCellAnchor>
    <xdr:from>
      <xdr:col>8</xdr:col>
      <xdr:colOff>83820</xdr:colOff>
      <xdr:row>4</xdr:row>
      <xdr:rowOff>137160</xdr:rowOff>
    </xdr:from>
    <xdr:to>
      <xdr:col>11</xdr:col>
      <xdr:colOff>68580</xdr:colOff>
      <xdr:row>7</xdr:row>
      <xdr:rowOff>129540</xdr:rowOff>
    </xdr:to>
    <xdr:sp macro="" textlink="">
      <xdr:nvSpPr>
        <xdr:cNvPr id="4" name="Rectángulo: esquinas redondeada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0DC7003-DD4D-4D4C-A253-5C74D2193035}"/>
            </a:ext>
          </a:extLst>
        </xdr:cNvPr>
        <xdr:cNvSpPr/>
      </xdr:nvSpPr>
      <xdr:spPr>
        <a:xfrm>
          <a:off x="2880360" y="838200"/>
          <a:ext cx="899160" cy="42672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7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ESPECIALIDADES</a:t>
          </a:r>
          <a:r>
            <a:rPr lang="es-CO" sz="8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DEL CHEF</a:t>
          </a:r>
        </a:p>
      </xdr:txBody>
    </xdr:sp>
    <xdr:clientData/>
  </xdr:twoCellAnchor>
  <xdr:twoCellAnchor>
    <xdr:from>
      <xdr:col>0</xdr:col>
      <xdr:colOff>0</xdr:colOff>
      <xdr:row>2</xdr:row>
      <xdr:rowOff>7620</xdr:rowOff>
    </xdr:from>
    <xdr:to>
      <xdr:col>2</xdr:col>
      <xdr:colOff>640080</xdr:colOff>
      <xdr:row>4</xdr:row>
      <xdr:rowOff>99060</xdr:rowOff>
    </xdr:to>
    <xdr:sp macro="" textlink="">
      <xdr:nvSpPr>
        <xdr:cNvPr id="5" name="Rectángulo: esquinas redondeada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F0852BA-187E-4542-A453-9C3FE21824B6}"/>
            </a:ext>
          </a:extLst>
        </xdr:cNvPr>
        <xdr:cNvSpPr/>
      </xdr:nvSpPr>
      <xdr:spPr>
        <a:xfrm>
          <a:off x="0" y="373380"/>
          <a:ext cx="906780" cy="42672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br>
            <a:rPr lang="es-CO" sz="7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s-CO" sz="7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 </a:t>
          </a:r>
          <a:r>
            <a:rPr lang="es-CO" sz="8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ENTRADAS</a:t>
          </a:r>
        </a:p>
      </xdr:txBody>
    </xdr:sp>
    <xdr:clientData/>
  </xdr:twoCellAnchor>
  <xdr:twoCellAnchor>
    <xdr:from>
      <xdr:col>3</xdr:col>
      <xdr:colOff>30480</xdr:colOff>
      <xdr:row>2</xdr:row>
      <xdr:rowOff>0</xdr:rowOff>
    </xdr:from>
    <xdr:to>
      <xdr:col>5</xdr:col>
      <xdr:colOff>60960</xdr:colOff>
      <xdr:row>4</xdr:row>
      <xdr:rowOff>91440</xdr:rowOff>
    </xdr:to>
    <xdr:sp macro="" textlink="">
      <xdr:nvSpPr>
        <xdr:cNvPr id="6" name="Rectángulo: esquinas redondeada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FFDAE8C-9889-46A8-BEC6-FDFAC1EDAFD4}"/>
            </a:ext>
          </a:extLst>
        </xdr:cNvPr>
        <xdr:cNvSpPr/>
      </xdr:nvSpPr>
      <xdr:spPr>
        <a:xfrm>
          <a:off x="944880" y="365760"/>
          <a:ext cx="906780" cy="42672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7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 </a:t>
          </a:r>
          <a:r>
            <a:rPr lang="es-CO" sz="8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PARA COMPARTIR</a:t>
          </a:r>
        </a:p>
      </xdr:txBody>
    </xdr:sp>
    <xdr:clientData/>
  </xdr:twoCellAnchor>
  <xdr:twoCellAnchor>
    <xdr:from>
      <xdr:col>11</xdr:col>
      <xdr:colOff>114300</xdr:colOff>
      <xdr:row>2</xdr:row>
      <xdr:rowOff>7620</xdr:rowOff>
    </xdr:from>
    <xdr:to>
      <xdr:col>12</xdr:col>
      <xdr:colOff>419100</xdr:colOff>
      <xdr:row>4</xdr:row>
      <xdr:rowOff>99060</xdr:rowOff>
    </xdr:to>
    <xdr:sp macro="" textlink="">
      <xdr:nvSpPr>
        <xdr:cNvPr id="7" name="Rectángulo: esquinas redondeada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DBD5056-6BD3-4F4B-A3E8-DDC5FB495729}"/>
            </a:ext>
          </a:extLst>
        </xdr:cNvPr>
        <xdr:cNvSpPr/>
      </xdr:nvSpPr>
      <xdr:spPr>
        <a:xfrm>
          <a:off x="3825240" y="373380"/>
          <a:ext cx="906780" cy="42672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7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 </a:t>
          </a:r>
          <a:r>
            <a:rPr lang="es-CO" sz="8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PESCADOS Y MARISCO</a:t>
          </a:r>
        </a:p>
      </xdr:txBody>
    </xdr:sp>
    <xdr:clientData/>
  </xdr:twoCellAnchor>
  <xdr:twoCellAnchor>
    <xdr:from>
      <xdr:col>6</xdr:col>
      <xdr:colOff>60960</xdr:colOff>
      <xdr:row>4</xdr:row>
      <xdr:rowOff>160020</xdr:rowOff>
    </xdr:from>
    <xdr:to>
      <xdr:col>8</xdr:col>
      <xdr:colOff>45720</xdr:colOff>
      <xdr:row>7</xdr:row>
      <xdr:rowOff>152400</xdr:rowOff>
    </xdr:to>
    <xdr:sp macro="" textlink="">
      <xdr:nvSpPr>
        <xdr:cNvPr id="8" name="Rectángulo: esquinas redondeadas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DF6BA6F-769B-4B6D-AD19-5DBA178ACE53}"/>
            </a:ext>
          </a:extLst>
        </xdr:cNvPr>
        <xdr:cNvSpPr/>
      </xdr:nvSpPr>
      <xdr:spPr>
        <a:xfrm>
          <a:off x="1935480" y="861060"/>
          <a:ext cx="906780" cy="42672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br>
            <a:rPr lang="es-CO" sz="7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s-CO" sz="7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 </a:t>
          </a:r>
          <a:r>
            <a:rPr lang="es-CO" sz="8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SOPAS</a:t>
          </a:r>
        </a:p>
      </xdr:txBody>
    </xdr:sp>
    <xdr:clientData/>
  </xdr:twoCellAnchor>
  <xdr:twoCellAnchor>
    <xdr:from>
      <xdr:col>6</xdr:col>
      <xdr:colOff>30480</xdr:colOff>
      <xdr:row>2</xdr:row>
      <xdr:rowOff>7620</xdr:rowOff>
    </xdr:from>
    <xdr:to>
      <xdr:col>8</xdr:col>
      <xdr:colOff>15240</xdr:colOff>
      <xdr:row>4</xdr:row>
      <xdr:rowOff>99060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0157FD0-C64A-44E4-8134-017E1A06F74E}"/>
            </a:ext>
          </a:extLst>
        </xdr:cNvPr>
        <xdr:cNvSpPr/>
      </xdr:nvSpPr>
      <xdr:spPr>
        <a:xfrm>
          <a:off x="1905000" y="373380"/>
          <a:ext cx="906780" cy="42672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br>
            <a:rPr lang="es-CO" sz="7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s-CO" sz="7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 </a:t>
          </a:r>
          <a:r>
            <a:rPr lang="es-CO" sz="8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CEVICHES</a:t>
          </a:r>
        </a:p>
      </xdr:txBody>
    </xdr:sp>
    <xdr:clientData/>
  </xdr:twoCellAnchor>
  <xdr:twoCellAnchor>
    <xdr:from>
      <xdr:col>6</xdr:col>
      <xdr:colOff>76200</xdr:colOff>
      <xdr:row>8</xdr:row>
      <xdr:rowOff>68580</xdr:rowOff>
    </xdr:from>
    <xdr:to>
      <xdr:col>8</xdr:col>
      <xdr:colOff>30480</xdr:colOff>
      <xdr:row>10</xdr:row>
      <xdr:rowOff>160020</xdr:rowOff>
    </xdr:to>
    <xdr:sp macro="" textlink="">
      <xdr:nvSpPr>
        <xdr:cNvPr id="10" name="Rectángulo: esquinas redondeadas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0C697E6-4F80-4FED-B0D6-B99C2366ECE3}"/>
            </a:ext>
          </a:extLst>
        </xdr:cNvPr>
        <xdr:cNvSpPr/>
      </xdr:nvSpPr>
      <xdr:spPr>
        <a:xfrm>
          <a:off x="1950720" y="1371600"/>
          <a:ext cx="876300" cy="426720"/>
        </a:xfrm>
        <a:prstGeom prst="roundRect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7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MATRIZ DE LA CARTA</a:t>
          </a:r>
          <a:endParaRPr lang="es-CO" sz="8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0</xdr:colOff>
      <xdr:row>8</xdr:row>
      <xdr:rowOff>45720</xdr:rowOff>
    </xdr:from>
    <xdr:to>
      <xdr:col>2</xdr:col>
      <xdr:colOff>640080</xdr:colOff>
      <xdr:row>10</xdr:row>
      <xdr:rowOff>137160</xdr:rowOff>
    </xdr:to>
    <xdr:sp macro="" textlink="">
      <xdr:nvSpPr>
        <xdr:cNvPr id="11" name="Rectángulo: esquinas redondeadas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DA13842-C91A-4085-B0D3-26BE1ACBD226}"/>
            </a:ext>
          </a:extLst>
        </xdr:cNvPr>
        <xdr:cNvSpPr/>
      </xdr:nvSpPr>
      <xdr:spPr>
        <a:xfrm>
          <a:off x="0" y="1348740"/>
          <a:ext cx="906780" cy="42672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7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MENU INFANTIL</a:t>
          </a:r>
          <a:br>
            <a:rPr lang="es-CO" sz="7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s-CO" sz="7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 </a:t>
          </a:r>
          <a:endParaRPr lang="es-CO" sz="8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60960</xdr:colOff>
      <xdr:row>2</xdr:row>
      <xdr:rowOff>7620</xdr:rowOff>
    </xdr:from>
    <xdr:to>
      <xdr:col>11</xdr:col>
      <xdr:colOff>53340</xdr:colOff>
      <xdr:row>4</xdr:row>
      <xdr:rowOff>99060</xdr:rowOff>
    </xdr:to>
    <xdr:sp macro="" textlink="">
      <xdr:nvSpPr>
        <xdr:cNvPr id="12" name="Rectángulo: esquinas redondeadas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8821730-F718-48D0-95FD-B9790BE3C8FA}"/>
            </a:ext>
          </a:extLst>
        </xdr:cNvPr>
        <xdr:cNvSpPr/>
      </xdr:nvSpPr>
      <xdr:spPr>
        <a:xfrm>
          <a:off x="2857500" y="373380"/>
          <a:ext cx="906780" cy="42672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br>
            <a:rPr lang="es-CO" sz="7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s-CO" sz="7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 </a:t>
          </a:r>
          <a:r>
            <a:rPr lang="es-CO" sz="8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CAUSAS</a:t>
          </a:r>
        </a:p>
      </xdr:txBody>
    </xdr:sp>
    <xdr:clientData/>
  </xdr:twoCellAnchor>
  <xdr:twoCellAnchor>
    <xdr:from>
      <xdr:col>3</xdr:col>
      <xdr:colOff>45720</xdr:colOff>
      <xdr:row>5</xdr:row>
      <xdr:rowOff>0</xdr:rowOff>
    </xdr:from>
    <xdr:to>
      <xdr:col>5</xdr:col>
      <xdr:colOff>76200</xdr:colOff>
      <xdr:row>7</xdr:row>
      <xdr:rowOff>160020</xdr:rowOff>
    </xdr:to>
    <xdr:sp macro="" textlink="">
      <xdr:nvSpPr>
        <xdr:cNvPr id="13" name="Rectángulo: esquinas redondeadas 1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2C7856B2-94E0-407E-8BE7-91D76548067F}"/>
            </a:ext>
          </a:extLst>
        </xdr:cNvPr>
        <xdr:cNvSpPr/>
      </xdr:nvSpPr>
      <xdr:spPr>
        <a:xfrm>
          <a:off x="960120" y="868680"/>
          <a:ext cx="906780" cy="42672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br>
            <a:rPr lang="es-CO" sz="7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s-CO" sz="7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 </a:t>
          </a:r>
          <a:r>
            <a:rPr lang="es-CO" sz="8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CARNES</a:t>
          </a:r>
        </a:p>
      </xdr:txBody>
    </xdr:sp>
    <xdr:clientData/>
  </xdr:twoCellAnchor>
  <xdr:twoCellAnchor>
    <xdr:from>
      <xdr:col>11</xdr:col>
      <xdr:colOff>137160</xdr:colOff>
      <xdr:row>4</xdr:row>
      <xdr:rowOff>137160</xdr:rowOff>
    </xdr:from>
    <xdr:to>
      <xdr:col>12</xdr:col>
      <xdr:colOff>441960</xdr:colOff>
      <xdr:row>7</xdr:row>
      <xdr:rowOff>129540</xdr:rowOff>
    </xdr:to>
    <xdr:sp macro="" textlink="">
      <xdr:nvSpPr>
        <xdr:cNvPr id="14" name="Rectángulo: esquinas redondeadas 1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7314B5A4-6330-4114-90E9-45305D713017}"/>
            </a:ext>
          </a:extLst>
        </xdr:cNvPr>
        <xdr:cNvSpPr/>
      </xdr:nvSpPr>
      <xdr:spPr>
        <a:xfrm>
          <a:off x="3848100" y="838200"/>
          <a:ext cx="906780" cy="42672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br>
            <a:rPr lang="es-CO" sz="7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s-CO" sz="7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 </a:t>
          </a:r>
          <a:r>
            <a:rPr lang="es-CO" sz="8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POSTRES</a:t>
          </a:r>
        </a:p>
      </xdr:txBody>
    </xdr:sp>
    <xdr:clientData/>
  </xdr:twoCellAnchor>
  <xdr:twoCellAnchor>
    <xdr:from>
      <xdr:col>3</xdr:col>
      <xdr:colOff>53340</xdr:colOff>
      <xdr:row>8</xdr:row>
      <xdr:rowOff>68580</xdr:rowOff>
    </xdr:from>
    <xdr:to>
      <xdr:col>5</xdr:col>
      <xdr:colOff>80010</xdr:colOff>
      <xdr:row>10</xdr:row>
      <xdr:rowOff>163830</xdr:rowOff>
    </xdr:to>
    <xdr:sp macro="" textlink="">
      <xdr:nvSpPr>
        <xdr:cNvPr id="15" name="Rectángulo: esquinas redondeadas 14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6A111241-80DD-4F2D-B2D6-F3EB9B04F64E}"/>
            </a:ext>
          </a:extLst>
        </xdr:cNvPr>
        <xdr:cNvSpPr/>
      </xdr:nvSpPr>
      <xdr:spPr>
        <a:xfrm>
          <a:off x="967740" y="1371600"/>
          <a:ext cx="902970" cy="430530"/>
        </a:xfrm>
        <a:prstGeom prst="roundRect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7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 BASE DE COMPRAS</a:t>
          </a:r>
          <a:endParaRPr lang="es-CO" sz="8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14</xdr:col>
      <xdr:colOff>3811</xdr:colOff>
      <xdr:row>5</xdr:row>
      <xdr:rowOff>38100</xdr:rowOff>
    </xdr:from>
    <xdr:to>
      <xdr:col>15</xdr:col>
      <xdr:colOff>173356</xdr:colOff>
      <xdr:row>8</xdr:row>
      <xdr:rowOff>34290</xdr:rowOff>
    </xdr:to>
    <xdr:sp macro="" textlink="">
      <xdr:nvSpPr>
        <xdr:cNvPr id="16" name="Rectángulo: esquinas redondeadas 15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C99958F-FE85-448E-A845-33510B6AE21B}"/>
            </a:ext>
          </a:extLst>
        </xdr:cNvPr>
        <xdr:cNvSpPr/>
      </xdr:nvSpPr>
      <xdr:spPr>
        <a:xfrm>
          <a:off x="5345431" y="906780"/>
          <a:ext cx="771525" cy="43053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s-CO" sz="7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s-CO" sz="7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CERVEZAS</a:t>
          </a:r>
          <a:endParaRPr lang="es-CO" sz="8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14</xdr:col>
      <xdr:colOff>7620</xdr:colOff>
      <xdr:row>2</xdr:row>
      <xdr:rowOff>22860</xdr:rowOff>
    </xdr:from>
    <xdr:to>
      <xdr:col>15</xdr:col>
      <xdr:colOff>167640</xdr:colOff>
      <xdr:row>4</xdr:row>
      <xdr:rowOff>118110</xdr:rowOff>
    </xdr:to>
    <xdr:sp macro="" textlink="">
      <xdr:nvSpPr>
        <xdr:cNvPr id="17" name="Rectángulo: esquinas redondeadas 16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A3F628BA-C973-47E5-8501-29126CE46AEA}"/>
            </a:ext>
          </a:extLst>
        </xdr:cNvPr>
        <xdr:cNvSpPr/>
      </xdr:nvSpPr>
      <xdr:spPr>
        <a:xfrm>
          <a:off x="5349240" y="388620"/>
          <a:ext cx="762000" cy="43053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7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SANGRIAS</a:t>
          </a:r>
          <a:endParaRPr lang="es-CO" sz="8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91440</xdr:colOff>
      <xdr:row>8</xdr:row>
      <xdr:rowOff>68580</xdr:rowOff>
    </xdr:from>
    <xdr:to>
      <xdr:col>11</xdr:col>
      <xdr:colOff>83820</xdr:colOff>
      <xdr:row>10</xdr:row>
      <xdr:rowOff>163830</xdr:rowOff>
    </xdr:to>
    <xdr:sp macro="" textlink="">
      <xdr:nvSpPr>
        <xdr:cNvPr id="18" name="Rectángulo: esquinas redondeadas 17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2118B92E-829E-41FC-9AEE-80DE2276A4CE}"/>
            </a:ext>
          </a:extLst>
        </xdr:cNvPr>
        <xdr:cNvSpPr/>
      </xdr:nvSpPr>
      <xdr:spPr>
        <a:xfrm>
          <a:off x="2887980" y="1371600"/>
          <a:ext cx="906780" cy="430530"/>
        </a:xfrm>
        <a:prstGeom prst="roundRect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7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RECETAS BASE</a:t>
          </a:r>
          <a:br>
            <a:rPr lang="es-CO" sz="7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s-CO" sz="7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 </a:t>
          </a:r>
          <a:endParaRPr lang="es-CO" sz="8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15</xdr:col>
      <xdr:colOff>217170</xdr:colOff>
      <xdr:row>5</xdr:row>
      <xdr:rowOff>49530</xdr:rowOff>
    </xdr:from>
    <xdr:to>
      <xdr:col>16</xdr:col>
      <xdr:colOff>561975</xdr:colOff>
      <xdr:row>8</xdr:row>
      <xdr:rowOff>45720</xdr:rowOff>
    </xdr:to>
    <xdr:sp macro="" textlink="">
      <xdr:nvSpPr>
        <xdr:cNvPr id="19" name="Rectángulo: esquinas redondeadas 18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F0FCF362-CC84-4CF3-9F9C-569D2A39B138}"/>
            </a:ext>
          </a:extLst>
        </xdr:cNvPr>
        <xdr:cNvSpPr/>
      </xdr:nvSpPr>
      <xdr:spPr>
        <a:xfrm>
          <a:off x="6160770" y="935355"/>
          <a:ext cx="944880" cy="43434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7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 BEBIDAS SIN ALCOHOL</a:t>
          </a:r>
          <a:endParaRPr lang="es-CO" sz="8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15</xdr:col>
      <xdr:colOff>228600</xdr:colOff>
      <xdr:row>2</xdr:row>
      <xdr:rowOff>9525</xdr:rowOff>
    </xdr:from>
    <xdr:to>
      <xdr:col>16</xdr:col>
      <xdr:colOff>552450</xdr:colOff>
      <xdr:row>4</xdr:row>
      <xdr:rowOff>110490</xdr:rowOff>
    </xdr:to>
    <xdr:sp macro="" textlink="">
      <xdr:nvSpPr>
        <xdr:cNvPr id="21" name="Rectángulo: esquinas redondeadas 20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514669B3-BB44-4FAF-B69E-8151175EE457}"/>
            </a:ext>
          </a:extLst>
        </xdr:cNvPr>
        <xdr:cNvSpPr/>
      </xdr:nvSpPr>
      <xdr:spPr>
        <a:xfrm>
          <a:off x="6172200" y="381000"/>
          <a:ext cx="923925" cy="443865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7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COCTELES</a:t>
          </a:r>
          <a:r>
            <a:rPr lang="es-CO" sz="7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A BASE DE PISCO</a:t>
          </a:r>
          <a:br>
            <a:rPr lang="es-CO" sz="7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s-CO" sz="7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 </a:t>
          </a:r>
          <a:endParaRPr lang="es-CO" sz="8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19</xdr:col>
      <xdr:colOff>436245</xdr:colOff>
      <xdr:row>1</xdr:row>
      <xdr:rowOff>177165</xdr:rowOff>
    </xdr:from>
    <xdr:to>
      <xdr:col>21</xdr:col>
      <xdr:colOff>7620</xdr:colOff>
      <xdr:row>4</xdr:row>
      <xdr:rowOff>83820</xdr:rowOff>
    </xdr:to>
    <xdr:sp macro="" textlink="">
      <xdr:nvSpPr>
        <xdr:cNvPr id="22" name="Rectángulo: esquinas redondeadas 21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1EB206FF-1828-4E37-9F08-AA8418FF43FE}"/>
            </a:ext>
          </a:extLst>
        </xdr:cNvPr>
        <xdr:cNvSpPr/>
      </xdr:nvSpPr>
      <xdr:spPr>
        <a:xfrm>
          <a:off x="8780145" y="348615"/>
          <a:ext cx="771525" cy="44958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7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PISCO SOUR </a:t>
          </a:r>
          <a:endParaRPr lang="es-CO" sz="8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16</xdr:col>
      <xdr:colOff>590550</xdr:colOff>
      <xdr:row>2</xdr:row>
      <xdr:rowOff>0</xdr:rowOff>
    </xdr:from>
    <xdr:to>
      <xdr:col>18</xdr:col>
      <xdr:colOff>190500</xdr:colOff>
      <xdr:row>4</xdr:row>
      <xdr:rowOff>91440</xdr:rowOff>
    </xdr:to>
    <xdr:sp macro="" textlink="">
      <xdr:nvSpPr>
        <xdr:cNvPr id="23" name="Rectángulo: esquinas redondeadas 22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165700BB-6A53-4697-9DF3-D4383B9595D6}"/>
            </a:ext>
          </a:extLst>
        </xdr:cNvPr>
        <xdr:cNvSpPr/>
      </xdr:nvSpPr>
      <xdr:spPr>
        <a:xfrm>
          <a:off x="7134225" y="371475"/>
          <a:ext cx="800100" cy="43434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br>
            <a:rPr lang="es-CO" sz="7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s-CO" sz="7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SODAS  </a:t>
          </a:r>
          <a:endParaRPr lang="es-CO" sz="8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18</xdr:col>
      <xdr:colOff>268605</xdr:colOff>
      <xdr:row>1</xdr:row>
      <xdr:rowOff>190500</xdr:rowOff>
    </xdr:from>
    <xdr:to>
      <xdr:col>19</xdr:col>
      <xdr:colOff>398145</xdr:colOff>
      <xdr:row>4</xdr:row>
      <xdr:rowOff>87630</xdr:rowOff>
    </xdr:to>
    <xdr:sp macro="" textlink="">
      <xdr:nvSpPr>
        <xdr:cNvPr id="24" name="Rectángulo: esquinas redondeadas 23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FE97BEB4-2B4D-4815-8307-21DD1912DC66}"/>
            </a:ext>
          </a:extLst>
        </xdr:cNvPr>
        <xdr:cNvSpPr/>
      </xdr:nvSpPr>
      <xdr:spPr>
        <a:xfrm>
          <a:off x="8012430" y="361950"/>
          <a:ext cx="729615" cy="440055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7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COCTELES</a:t>
          </a:r>
          <a:br>
            <a:rPr lang="es-CO" sz="7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s-CO" sz="7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 </a:t>
          </a:r>
          <a:endParaRPr lang="es-CO" sz="8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160020</xdr:colOff>
      <xdr:row>8</xdr:row>
      <xdr:rowOff>60960</xdr:rowOff>
    </xdr:from>
    <xdr:to>
      <xdr:col>13</xdr:col>
      <xdr:colOff>22860</xdr:colOff>
      <xdr:row>10</xdr:row>
      <xdr:rowOff>156210</xdr:rowOff>
    </xdr:to>
    <xdr:sp macro="" textlink="">
      <xdr:nvSpPr>
        <xdr:cNvPr id="25" name="Rectángulo: esquinas redondeadas 24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AE4CAA6-DD94-4046-A8C2-817886695425}"/>
            </a:ext>
          </a:extLst>
        </xdr:cNvPr>
        <xdr:cNvSpPr/>
      </xdr:nvSpPr>
      <xdr:spPr>
        <a:xfrm>
          <a:off x="3870960" y="1363980"/>
          <a:ext cx="891540" cy="430530"/>
        </a:xfrm>
        <a:prstGeom prst="roundRect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7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ROTACION </a:t>
          </a:r>
          <a:endParaRPr lang="es-CO" sz="8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18</xdr:col>
      <xdr:colOff>255270</xdr:colOff>
      <xdr:row>5</xdr:row>
      <xdr:rowOff>5715</xdr:rowOff>
    </xdr:from>
    <xdr:to>
      <xdr:col>19</xdr:col>
      <xdr:colOff>426720</xdr:colOff>
      <xdr:row>8</xdr:row>
      <xdr:rowOff>5715</xdr:rowOff>
    </xdr:to>
    <xdr:sp macro="" textlink="">
      <xdr:nvSpPr>
        <xdr:cNvPr id="26" name="Rectángulo: esquinas redondeadas 25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B17A0B54-14D6-4993-9D82-FB757F866EEB}"/>
            </a:ext>
          </a:extLst>
        </xdr:cNvPr>
        <xdr:cNvSpPr/>
      </xdr:nvSpPr>
      <xdr:spPr>
        <a:xfrm>
          <a:off x="7999095" y="891540"/>
          <a:ext cx="771525" cy="4381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7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VINOS </a:t>
          </a:r>
          <a:r>
            <a:rPr lang="es-CO" sz="7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POR COPA</a:t>
          </a:r>
          <a:endParaRPr lang="es-CO" sz="8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13</xdr:col>
      <xdr:colOff>581025</xdr:colOff>
      <xdr:row>8</xdr:row>
      <xdr:rowOff>95250</xdr:rowOff>
    </xdr:from>
    <xdr:to>
      <xdr:col>15</xdr:col>
      <xdr:colOff>148590</xdr:colOff>
      <xdr:row>11</xdr:row>
      <xdr:rowOff>19050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D365D34C-DD6A-4685-AD14-BB5F011363AF}"/>
            </a:ext>
          </a:extLst>
        </xdr:cNvPr>
        <xdr:cNvSpPr/>
      </xdr:nvSpPr>
      <xdr:spPr>
        <a:xfrm>
          <a:off x="5324475" y="1419225"/>
          <a:ext cx="767715" cy="4381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br>
            <a:rPr lang="es-CO" sz="7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s-CO" sz="7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PISCO  </a:t>
          </a:r>
          <a:endParaRPr lang="es-CO" sz="8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19</xdr:col>
      <xdr:colOff>476250</xdr:colOff>
      <xdr:row>5</xdr:row>
      <xdr:rowOff>0</xdr:rowOff>
    </xdr:from>
    <xdr:to>
      <xdr:col>21</xdr:col>
      <xdr:colOff>15241</xdr:colOff>
      <xdr:row>8</xdr:row>
      <xdr:rowOff>0</xdr:rowOff>
    </xdr:to>
    <xdr:sp macro="" textlink="">
      <xdr:nvSpPr>
        <xdr:cNvPr id="28" name="Rectángulo: esquinas redondeadas 27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46FDB61F-9B96-4A23-915D-A9564FA477B2}"/>
            </a:ext>
          </a:extLst>
        </xdr:cNvPr>
        <xdr:cNvSpPr/>
      </xdr:nvSpPr>
      <xdr:spPr>
        <a:xfrm>
          <a:off x="8820150" y="885825"/>
          <a:ext cx="739141" cy="4381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7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VINOS</a:t>
          </a:r>
          <a:r>
            <a:rPr lang="es-CO" sz="7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BLANCOS</a:t>
          </a:r>
          <a:endParaRPr lang="es-CO" sz="8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17</xdr:col>
      <xdr:colOff>1</xdr:colOff>
      <xdr:row>5</xdr:row>
      <xdr:rowOff>57149</xdr:rowOff>
    </xdr:from>
    <xdr:to>
      <xdr:col>18</xdr:col>
      <xdr:colOff>180975</xdr:colOff>
      <xdr:row>8</xdr:row>
      <xdr:rowOff>26670</xdr:rowOff>
    </xdr:to>
    <xdr:sp macro="" textlink="">
      <xdr:nvSpPr>
        <xdr:cNvPr id="29" name="Rectángulo: esquinas redondeadas 28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9C9230DE-0119-4A03-835A-572A11247E07}"/>
            </a:ext>
          </a:extLst>
        </xdr:cNvPr>
        <xdr:cNvSpPr/>
      </xdr:nvSpPr>
      <xdr:spPr>
        <a:xfrm>
          <a:off x="7143751" y="942974"/>
          <a:ext cx="781049" cy="407671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7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LIMONADAS</a:t>
          </a:r>
          <a:r>
            <a:rPr lang="es-CO" sz="7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Y JUEGO</a:t>
          </a:r>
          <a:endParaRPr lang="es-CO" sz="8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16</xdr:col>
      <xdr:colOff>590550</xdr:colOff>
      <xdr:row>8</xdr:row>
      <xdr:rowOff>104775</xdr:rowOff>
    </xdr:from>
    <xdr:to>
      <xdr:col>18</xdr:col>
      <xdr:colOff>161925</xdr:colOff>
      <xdr:row>11</xdr:row>
      <xdr:rowOff>24765</xdr:rowOff>
    </xdr:to>
    <xdr:sp macro="" textlink="">
      <xdr:nvSpPr>
        <xdr:cNvPr id="30" name="Rectángulo: esquinas redondeadas 29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22F7B68A-3416-4C29-805D-D5734AC5BFC0}"/>
            </a:ext>
          </a:extLst>
        </xdr:cNvPr>
        <xdr:cNvSpPr/>
      </xdr:nvSpPr>
      <xdr:spPr>
        <a:xfrm>
          <a:off x="7134225" y="1428750"/>
          <a:ext cx="771525" cy="43434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br>
            <a:rPr lang="es-CO" sz="7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s-CO" sz="7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 RON</a:t>
          </a:r>
          <a:endParaRPr lang="es-CO" sz="8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15</xdr:col>
      <xdr:colOff>243840</xdr:colOff>
      <xdr:row>8</xdr:row>
      <xdr:rowOff>91440</xdr:rowOff>
    </xdr:from>
    <xdr:to>
      <xdr:col>16</xdr:col>
      <xdr:colOff>554355</xdr:colOff>
      <xdr:row>11</xdr:row>
      <xdr:rowOff>19050</xdr:rowOff>
    </xdr:to>
    <xdr:sp macro="" textlink="">
      <xdr:nvSpPr>
        <xdr:cNvPr id="31" name="Rectángulo: esquinas redondeadas 30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B7FDC8F1-D5E2-4F2E-BD35-B8C925D7B326}"/>
            </a:ext>
          </a:extLst>
        </xdr:cNvPr>
        <xdr:cNvSpPr/>
      </xdr:nvSpPr>
      <xdr:spPr>
        <a:xfrm>
          <a:off x="6187440" y="1415415"/>
          <a:ext cx="910590" cy="44196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s-CO" sz="7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s-CO" sz="7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AGUARDIENTE</a:t>
          </a:r>
          <a:endParaRPr lang="es-CO" sz="8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18</xdr:col>
      <xdr:colOff>240030</xdr:colOff>
      <xdr:row>8</xdr:row>
      <xdr:rowOff>87630</xdr:rowOff>
    </xdr:from>
    <xdr:to>
      <xdr:col>19</xdr:col>
      <xdr:colOff>438150</xdr:colOff>
      <xdr:row>11</xdr:row>
      <xdr:rowOff>7620</xdr:rowOff>
    </xdr:to>
    <xdr:sp macro="" textlink="">
      <xdr:nvSpPr>
        <xdr:cNvPr id="32" name="Rectángulo: esquinas redondeadas 31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A1C9A3FD-7777-4559-875C-28AC0005EC2D}"/>
            </a:ext>
          </a:extLst>
        </xdr:cNvPr>
        <xdr:cNvSpPr/>
      </xdr:nvSpPr>
      <xdr:spPr>
        <a:xfrm>
          <a:off x="7983855" y="1411605"/>
          <a:ext cx="798195" cy="43434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7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 TEQUILA Y MEZCAL</a:t>
          </a:r>
          <a:endParaRPr lang="es-CO" sz="8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17</xdr:col>
      <xdr:colOff>15240</xdr:colOff>
      <xdr:row>11</xdr:row>
      <xdr:rowOff>76200</xdr:rowOff>
    </xdr:from>
    <xdr:to>
      <xdr:col>18</xdr:col>
      <xdr:colOff>219075</xdr:colOff>
      <xdr:row>14</xdr:row>
      <xdr:rowOff>0</xdr:rowOff>
    </xdr:to>
    <xdr:sp macro="" textlink="">
      <xdr:nvSpPr>
        <xdr:cNvPr id="33" name="Rectángulo: esquinas redondeadas 32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FDB1B641-5585-4D98-9E81-D4ADCDF7DB60}"/>
            </a:ext>
          </a:extLst>
        </xdr:cNvPr>
        <xdr:cNvSpPr/>
      </xdr:nvSpPr>
      <xdr:spPr>
        <a:xfrm>
          <a:off x="7158990" y="1914525"/>
          <a:ext cx="803910" cy="4381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APERITIVOS Y</a:t>
          </a:r>
          <a:r>
            <a:rPr lang="es-CO" sz="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DIGESTIVOS</a:t>
          </a:r>
          <a:endParaRPr lang="es-CO" sz="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19</xdr:col>
      <xdr:colOff>495300</xdr:colOff>
      <xdr:row>8</xdr:row>
      <xdr:rowOff>62865</xdr:rowOff>
    </xdr:from>
    <xdr:to>
      <xdr:col>21</xdr:col>
      <xdr:colOff>64770</xdr:colOff>
      <xdr:row>10</xdr:row>
      <xdr:rowOff>161925</xdr:rowOff>
    </xdr:to>
    <xdr:sp macro="" textlink="">
      <xdr:nvSpPr>
        <xdr:cNvPr id="34" name="Rectángulo: esquinas redondeadas 33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5ABACE8B-C95C-4D15-9F9B-3029DFF50397}"/>
            </a:ext>
          </a:extLst>
        </xdr:cNvPr>
        <xdr:cNvSpPr/>
      </xdr:nvSpPr>
      <xdr:spPr>
        <a:xfrm>
          <a:off x="8839200" y="1386840"/>
          <a:ext cx="769620" cy="44196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7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 WHISKY Y WHISKEY</a:t>
          </a:r>
          <a:endParaRPr lang="es-CO" sz="8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15</xdr:col>
      <xdr:colOff>266700</xdr:colOff>
      <xdr:row>11</xdr:row>
      <xdr:rowOff>87630</xdr:rowOff>
    </xdr:from>
    <xdr:to>
      <xdr:col>16</xdr:col>
      <xdr:colOff>561975</xdr:colOff>
      <xdr:row>14</xdr:row>
      <xdr:rowOff>11430</xdr:rowOff>
    </xdr:to>
    <xdr:sp macro="" textlink="">
      <xdr:nvSpPr>
        <xdr:cNvPr id="35" name="Rectángulo: esquinas redondeadas 34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84792031-5A33-4585-B832-F11C14CABDD8}"/>
            </a:ext>
          </a:extLst>
        </xdr:cNvPr>
        <xdr:cNvSpPr/>
      </xdr:nvSpPr>
      <xdr:spPr>
        <a:xfrm>
          <a:off x="6210300" y="1925955"/>
          <a:ext cx="895350" cy="4381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br>
            <a:rPr lang="es-CO" sz="7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s-CO" sz="7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 GINEBRA</a:t>
          </a:r>
          <a:endParaRPr lang="es-CO" sz="8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14</xdr:col>
      <xdr:colOff>0</xdr:colOff>
      <xdr:row>11</xdr:row>
      <xdr:rowOff>104775</xdr:rowOff>
    </xdr:from>
    <xdr:to>
      <xdr:col>15</xdr:col>
      <xdr:colOff>167640</xdr:colOff>
      <xdr:row>14</xdr:row>
      <xdr:rowOff>28575</xdr:rowOff>
    </xdr:to>
    <xdr:sp macro="" textlink="">
      <xdr:nvSpPr>
        <xdr:cNvPr id="36" name="Rectángulo: esquinas redondeadas 35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0C998843-4A97-4E65-9A5A-F49CF3E74A28}"/>
            </a:ext>
          </a:extLst>
        </xdr:cNvPr>
        <xdr:cNvSpPr/>
      </xdr:nvSpPr>
      <xdr:spPr>
        <a:xfrm>
          <a:off x="5343525" y="1943100"/>
          <a:ext cx="767715" cy="4381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br>
            <a:rPr lang="es-CO" sz="7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s-CO" sz="7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 VODKA</a:t>
          </a:r>
          <a:endParaRPr lang="es-CO" sz="8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19</xdr:col>
      <xdr:colOff>495300</xdr:colOff>
      <xdr:row>11</xdr:row>
      <xdr:rowOff>66675</xdr:rowOff>
    </xdr:from>
    <xdr:to>
      <xdr:col>21</xdr:col>
      <xdr:colOff>40006</xdr:colOff>
      <xdr:row>13</xdr:row>
      <xdr:rowOff>158115</xdr:rowOff>
    </xdr:to>
    <xdr:sp macro="" textlink="">
      <xdr:nvSpPr>
        <xdr:cNvPr id="37" name="Rectángulo: esquinas redondeadas 36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D67EA0B9-8C1D-497B-9EDD-9F7FF534291F}"/>
            </a:ext>
          </a:extLst>
        </xdr:cNvPr>
        <xdr:cNvSpPr/>
      </xdr:nvSpPr>
      <xdr:spPr>
        <a:xfrm>
          <a:off x="8839200" y="1905000"/>
          <a:ext cx="744856" cy="43434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8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ESPUMOSOS</a:t>
          </a:r>
        </a:p>
      </xdr:txBody>
    </xdr:sp>
    <xdr:clientData/>
  </xdr:twoCellAnchor>
  <xdr:twoCellAnchor>
    <xdr:from>
      <xdr:col>0</xdr:col>
      <xdr:colOff>11430</xdr:colOff>
      <xdr:row>11</xdr:row>
      <xdr:rowOff>11430</xdr:rowOff>
    </xdr:from>
    <xdr:to>
      <xdr:col>3</xdr:col>
      <xdr:colOff>9525</xdr:colOff>
      <xdr:row>13</xdr:row>
      <xdr:rowOff>102870</xdr:rowOff>
    </xdr:to>
    <xdr:sp macro="" textlink="">
      <xdr:nvSpPr>
        <xdr:cNvPr id="38" name="Rectángulo: esquinas redondeadas 37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42FE6905-8917-4A5B-BDE2-C4840DB59E5A}"/>
            </a:ext>
          </a:extLst>
        </xdr:cNvPr>
        <xdr:cNvSpPr/>
      </xdr:nvSpPr>
      <xdr:spPr>
        <a:xfrm>
          <a:off x="11430" y="1849755"/>
          <a:ext cx="912495" cy="43434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s-CO" sz="8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s-CO" sz="8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ADICIONES</a:t>
          </a:r>
        </a:p>
      </xdr:txBody>
    </xdr:sp>
    <xdr:clientData/>
  </xdr:twoCellAnchor>
  <xdr:twoCellAnchor>
    <xdr:from>
      <xdr:col>18</xdr:col>
      <xdr:colOff>266700</xdr:colOff>
      <xdr:row>11</xdr:row>
      <xdr:rowOff>66675</xdr:rowOff>
    </xdr:from>
    <xdr:to>
      <xdr:col>19</xdr:col>
      <xdr:colOff>409576</xdr:colOff>
      <xdr:row>13</xdr:row>
      <xdr:rowOff>161925</xdr:rowOff>
    </xdr:to>
    <xdr:sp macro="" textlink="">
      <xdr:nvSpPr>
        <xdr:cNvPr id="39" name="Rectángulo: esquinas redondeadas 38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86F2DB74-6E8B-4907-AAB7-37E782114E1C}"/>
            </a:ext>
          </a:extLst>
        </xdr:cNvPr>
        <xdr:cNvSpPr/>
      </xdr:nvSpPr>
      <xdr:spPr>
        <a:xfrm>
          <a:off x="8010525" y="1905000"/>
          <a:ext cx="742951" cy="4381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8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VINOS TINTOS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50800</xdr:colOff>
      <xdr:row>0</xdr:row>
      <xdr:rowOff>146050</xdr:rowOff>
    </xdr:from>
    <xdr:to>
      <xdr:col>1</xdr:col>
      <xdr:colOff>1715911</xdr:colOff>
      <xdr:row>3</xdr:row>
      <xdr:rowOff>129822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7F0842-1E70-41FA-A924-7F46BFD81664}"/>
            </a:ext>
          </a:extLst>
        </xdr:cNvPr>
        <xdr:cNvSpPr/>
      </xdr:nvSpPr>
      <xdr:spPr>
        <a:xfrm>
          <a:off x="325120" y="146050"/>
          <a:ext cx="1665111" cy="532412"/>
        </a:xfrm>
        <a:prstGeom prst="leftArrow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latin typeface="Arial" panose="020B0604020202020204" pitchFamily="34" charset="0"/>
              <a:cs typeface="Arial" panose="020B0604020202020204" pitchFamily="34" charset="0"/>
            </a:rPr>
            <a:t>PRINCIPAL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50800</xdr:colOff>
      <xdr:row>0</xdr:row>
      <xdr:rowOff>146050</xdr:rowOff>
    </xdr:from>
    <xdr:to>
      <xdr:col>1</xdr:col>
      <xdr:colOff>1715911</xdr:colOff>
      <xdr:row>3</xdr:row>
      <xdr:rowOff>129822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0818A4-F34E-4CBC-9506-50EF3BAD3C4B}"/>
            </a:ext>
          </a:extLst>
        </xdr:cNvPr>
        <xdr:cNvSpPr/>
      </xdr:nvSpPr>
      <xdr:spPr>
        <a:xfrm>
          <a:off x="485140" y="146050"/>
          <a:ext cx="1665111" cy="532412"/>
        </a:xfrm>
        <a:prstGeom prst="leftArrow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latin typeface="Arial" panose="020B0604020202020204" pitchFamily="34" charset="0"/>
              <a:cs typeface="Arial" panose="020B0604020202020204" pitchFamily="34" charset="0"/>
            </a:rPr>
            <a:t>PRINCIPAL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50800</xdr:colOff>
      <xdr:row>0</xdr:row>
      <xdr:rowOff>146050</xdr:rowOff>
    </xdr:from>
    <xdr:to>
      <xdr:col>1</xdr:col>
      <xdr:colOff>1715911</xdr:colOff>
      <xdr:row>3</xdr:row>
      <xdr:rowOff>129822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0395B0-E4BD-42C4-AE29-C7D613CAB856}"/>
            </a:ext>
          </a:extLst>
        </xdr:cNvPr>
        <xdr:cNvSpPr/>
      </xdr:nvSpPr>
      <xdr:spPr>
        <a:xfrm>
          <a:off x="485140" y="146050"/>
          <a:ext cx="1665111" cy="532412"/>
        </a:xfrm>
        <a:prstGeom prst="leftArrow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latin typeface="Arial" panose="020B0604020202020204" pitchFamily="34" charset="0"/>
              <a:cs typeface="Arial" panose="020B0604020202020204" pitchFamily="34" charset="0"/>
            </a:rPr>
            <a:t>PRINCIPAL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50800</xdr:colOff>
      <xdr:row>0</xdr:row>
      <xdr:rowOff>146050</xdr:rowOff>
    </xdr:from>
    <xdr:to>
      <xdr:col>1</xdr:col>
      <xdr:colOff>1715911</xdr:colOff>
      <xdr:row>3</xdr:row>
      <xdr:rowOff>129822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87580A-5AB6-470B-9824-433A04AA302A}"/>
            </a:ext>
          </a:extLst>
        </xdr:cNvPr>
        <xdr:cNvSpPr/>
      </xdr:nvSpPr>
      <xdr:spPr>
        <a:xfrm>
          <a:off x="485140" y="146050"/>
          <a:ext cx="1665111" cy="532412"/>
        </a:xfrm>
        <a:prstGeom prst="leftArrow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latin typeface="Arial" panose="020B0604020202020204" pitchFamily="34" charset="0"/>
              <a:cs typeface="Arial" panose="020B0604020202020204" pitchFamily="34" charset="0"/>
            </a:rPr>
            <a:t>PRINCIPAL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50800</xdr:colOff>
      <xdr:row>0</xdr:row>
      <xdr:rowOff>146050</xdr:rowOff>
    </xdr:from>
    <xdr:to>
      <xdr:col>1</xdr:col>
      <xdr:colOff>1715911</xdr:colOff>
      <xdr:row>3</xdr:row>
      <xdr:rowOff>129822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5016D4-DD0E-46C9-9875-775E9B92CD56}"/>
            </a:ext>
          </a:extLst>
        </xdr:cNvPr>
        <xdr:cNvSpPr/>
      </xdr:nvSpPr>
      <xdr:spPr>
        <a:xfrm>
          <a:off x="492760" y="144145"/>
          <a:ext cx="1661301" cy="532412"/>
        </a:xfrm>
        <a:prstGeom prst="leftArrow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latin typeface="Arial" panose="020B0604020202020204" pitchFamily="34" charset="0"/>
              <a:cs typeface="Arial" panose="020B0604020202020204" pitchFamily="34" charset="0"/>
            </a:rPr>
            <a:t>PRINCIPAL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50800</xdr:colOff>
      <xdr:row>0</xdr:row>
      <xdr:rowOff>146050</xdr:rowOff>
    </xdr:from>
    <xdr:to>
      <xdr:col>1</xdr:col>
      <xdr:colOff>1715911</xdr:colOff>
      <xdr:row>3</xdr:row>
      <xdr:rowOff>129822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E3C91A-04A2-40FE-BB9A-CE4D2D3844E6}"/>
            </a:ext>
          </a:extLst>
        </xdr:cNvPr>
        <xdr:cNvSpPr/>
      </xdr:nvSpPr>
      <xdr:spPr>
        <a:xfrm>
          <a:off x="485140" y="146050"/>
          <a:ext cx="1665111" cy="532412"/>
        </a:xfrm>
        <a:prstGeom prst="leftArrow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latin typeface="Arial" panose="020B0604020202020204" pitchFamily="34" charset="0"/>
              <a:cs typeface="Arial" panose="020B0604020202020204" pitchFamily="34" charset="0"/>
            </a:rPr>
            <a:t>PRINCIPAL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0</xdr:row>
      <xdr:rowOff>146050</xdr:rowOff>
    </xdr:from>
    <xdr:to>
      <xdr:col>0</xdr:col>
      <xdr:colOff>1715911</xdr:colOff>
      <xdr:row>3</xdr:row>
      <xdr:rowOff>129822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8CE522-4733-4CFD-B3C9-71003EB553BB}"/>
            </a:ext>
          </a:extLst>
        </xdr:cNvPr>
        <xdr:cNvSpPr/>
      </xdr:nvSpPr>
      <xdr:spPr>
        <a:xfrm>
          <a:off x="54610" y="144145"/>
          <a:ext cx="1661301" cy="532412"/>
        </a:xfrm>
        <a:prstGeom prst="leftArrow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latin typeface="Arial" panose="020B0604020202020204" pitchFamily="34" charset="0"/>
              <a:cs typeface="Arial" panose="020B0604020202020204" pitchFamily="34" charset="0"/>
            </a:rPr>
            <a:t>PRINCIPAL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0</xdr:row>
      <xdr:rowOff>146050</xdr:rowOff>
    </xdr:from>
    <xdr:to>
      <xdr:col>0</xdr:col>
      <xdr:colOff>1715911</xdr:colOff>
      <xdr:row>3</xdr:row>
      <xdr:rowOff>129822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A8849B-35A8-4E05-8DDA-AA04A886EAF7}"/>
            </a:ext>
          </a:extLst>
        </xdr:cNvPr>
        <xdr:cNvSpPr/>
      </xdr:nvSpPr>
      <xdr:spPr>
        <a:xfrm>
          <a:off x="54610" y="144145"/>
          <a:ext cx="1661301" cy="532412"/>
        </a:xfrm>
        <a:prstGeom prst="leftArrow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latin typeface="Arial" panose="020B0604020202020204" pitchFamily="34" charset="0"/>
              <a:cs typeface="Arial" panose="020B0604020202020204" pitchFamily="34" charset="0"/>
            </a:rPr>
            <a:t>PRINCIPAL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50800</xdr:colOff>
      <xdr:row>0</xdr:row>
      <xdr:rowOff>146050</xdr:rowOff>
    </xdr:from>
    <xdr:to>
      <xdr:col>1</xdr:col>
      <xdr:colOff>1715911</xdr:colOff>
      <xdr:row>3</xdr:row>
      <xdr:rowOff>129822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4DF199-B6B1-4B4F-8104-BA857D571151}"/>
            </a:ext>
          </a:extLst>
        </xdr:cNvPr>
        <xdr:cNvSpPr/>
      </xdr:nvSpPr>
      <xdr:spPr>
        <a:xfrm>
          <a:off x="485140" y="146050"/>
          <a:ext cx="1665111" cy="532412"/>
        </a:xfrm>
        <a:prstGeom prst="leftArrow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latin typeface="Arial" panose="020B0604020202020204" pitchFamily="34" charset="0"/>
              <a:cs typeface="Arial" panose="020B0604020202020204" pitchFamily="34" charset="0"/>
            </a:rPr>
            <a:t>PRINCIPAL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50800</xdr:colOff>
      <xdr:row>0</xdr:row>
      <xdr:rowOff>146050</xdr:rowOff>
    </xdr:from>
    <xdr:to>
      <xdr:col>1</xdr:col>
      <xdr:colOff>1715911</xdr:colOff>
      <xdr:row>3</xdr:row>
      <xdr:rowOff>129822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DEFF8F-F782-44FB-8EB8-3251C16E45C9}"/>
            </a:ext>
          </a:extLst>
        </xdr:cNvPr>
        <xdr:cNvSpPr/>
      </xdr:nvSpPr>
      <xdr:spPr>
        <a:xfrm>
          <a:off x="492760" y="144145"/>
          <a:ext cx="1661301" cy="532412"/>
        </a:xfrm>
        <a:prstGeom prst="leftArrow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latin typeface="Arial" panose="020B0604020202020204" pitchFamily="34" charset="0"/>
              <a:cs typeface="Arial" panose="020B0604020202020204" pitchFamily="34" charset="0"/>
            </a:rPr>
            <a:t>PRINCIPAL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50800</xdr:colOff>
      <xdr:row>0</xdr:row>
      <xdr:rowOff>146050</xdr:rowOff>
    </xdr:from>
    <xdr:to>
      <xdr:col>1</xdr:col>
      <xdr:colOff>1715911</xdr:colOff>
      <xdr:row>3</xdr:row>
      <xdr:rowOff>129822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B29498-E3C6-4276-B7F8-5264666DDA3F}"/>
            </a:ext>
          </a:extLst>
        </xdr:cNvPr>
        <xdr:cNvSpPr/>
      </xdr:nvSpPr>
      <xdr:spPr>
        <a:xfrm>
          <a:off x="492760" y="144145"/>
          <a:ext cx="1661301" cy="532412"/>
        </a:xfrm>
        <a:prstGeom prst="leftArrow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latin typeface="Arial" panose="020B0604020202020204" pitchFamily="34" charset="0"/>
              <a:cs typeface="Arial" panose="020B0604020202020204" pitchFamily="34" charset="0"/>
            </a:rPr>
            <a:t>PRINCIPAL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50800</xdr:colOff>
      <xdr:row>0</xdr:row>
      <xdr:rowOff>146050</xdr:rowOff>
    </xdr:from>
    <xdr:to>
      <xdr:col>1</xdr:col>
      <xdr:colOff>1715911</xdr:colOff>
      <xdr:row>3</xdr:row>
      <xdr:rowOff>129822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1B4CE5-2792-40E4-9373-27DD6FF8D276}"/>
            </a:ext>
          </a:extLst>
        </xdr:cNvPr>
        <xdr:cNvSpPr/>
      </xdr:nvSpPr>
      <xdr:spPr>
        <a:xfrm>
          <a:off x="492760" y="144145"/>
          <a:ext cx="1661301" cy="532412"/>
        </a:xfrm>
        <a:prstGeom prst="leftArrow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latin typeface="Arial" panose="020B0604020202020204" pitchFamily="34" charset="0"/>
              <a:cs typeface="Arial" panose="020B0604020202020204" pitchFamily="34" charset="0"/>
            </a:rPr>
            <a:t>PRINCIPAL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50800</xdr:colOff>
      <xdr:row>0</xdr:row>
      <xdr:rowOff>146050</xdr:rowOff>
    </xdr:from>
    <xdr:to>
      <xdr:col>1</xdr:col>
      <xdr:colOff>1715911</xdr:colOff>
      <xdr:row>3</xdr:row>
      <xdr:rowOff>129822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9E49B6-1CC1-4D39-9612-EE48103FE9AD}"/>
            </a:ext>
          </a:extLst>
        </xdr:cNvPr>
        <xdr:cNvSpPr/>
      </xdr:nvSpPr>
      <xdr:spPr>
        <a:xfrm>
          <a:off x="485140" y="146050"/>
          <a:ext cx="1665111" cy="532412"/>
        </a:xfrm>
        <a:prstGeom prst="leftArrow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latin typeface="Arial" panose="020B0604020202020204" pitchFamily="34" charset="0"/>
              <a:cs typeface="Arial" panose="020B0604020202020204" pitchFamily="34" charset="0"/>
            </a:rPr>
            <a:t>PRINCIPAL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50800</xdr:colOff>
      <xdr:row>1</xdr:row>
      <xdr:rowOff>146050</xdr:rowOff>
    </xdr:from>
    <xdr:to>
      <xdr:col>1</xdr:col>
      <xdr:colOff>1715911</xdr:colOff>
      <xdr:row>4</xdr:row>
      <xdr:rowOff>129822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A02E9D-6F6A-4962-8129-DD240783A5F1}"/>
            </a:ext>
          </a:extLst>
        </xdr:cNvPr>
        <xdr:cNvSpPr/>
      </xdr:nvSpPr>
      <xdr:spPr>
        <a:xfrm>
          <a:off x="485140" y="146050"/>
          <a:ext cx="1665111" cy="532412"/>
        </a:xfrm>
        <a:prstGeom prst="leftArrow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latin typeface="Arial" panose="020B0604020202020204" pitchFamily="34" charset="0"/>
              <a:cs typeface="Arial" panose="020B0604020202020204" pitchFamily="34" charset="0"/>
            </a:rPr>
            <a:t>PRINCIPAL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0</xdr:row>
      <xdr:rowOff>146050</xdr:rowOff>
    </xdr:from>
    <xdr:to>
      <xdr:col>0</xdr:col>
      <xdr:colOff>1715911</xdr:colOff>
      <xdr:row>3</xdr:row>
      <xdr:rowOff>129822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B2C195-6FB3-4D61-82C7-21FBE426375A}"/>
            </a:ext>
          </a:extLst>
        </xdr:cNvPr>
        <xdr:cNvSpPr/>
      </xdr:nvSpPr>
      <xdr:spPr>
        <a:xfrm>
          <a:off x="485140" y="146050"/>
          <a:ext cx="1665111" cy="532412"/>
        </a:xfrm>
        <a:prstGeom prst="leftArrow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latin typeface="Arial" panose="020B0604020202020204" pitchFamily="34" charset="0"/>
              <a:cs typeface="Arial" panose="020B0604020202020204" pitchFamily="34" charset="0"/>
            </a:rPr>
            <a:t>PRINCIPAL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76200</xdr:rowOff>
    </xdr:from>
    <xdr:to>
      <xdr:col>0</xdr:col>
      <xdr:colOff>1947051</xdr:colOff>
      <xdr:row>3</xdr:row>
      <xdr:rowOff>52352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7A92D3-55A9-4FB6-A5E0-8FC43CF1DF9C}"/>
            </a:ext>
          </a:extLst>
        </xdr:cNvPr>
        <xdr:cNvSpPr/>
      </xdr:nvSpPr>
      <xdr:spPr>
        <a:xfrm>
          <a:off x="0" y="76200"/>
          <a:ext cx="1947051" cy="547652"/>
        </a:xfrm>
        <a:prstGeom prst="leftArrow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latin typeface="Arial" panose="020B0604020202020204" pitchFamily="34" charset="0"/>
              <a:cs typeface="Arial" panose="020B0604020202020204" pitchFamily="34" charset="0"/>
            </a:rPr>
            <a:t>PRINCIPAL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50800</xdr:colOff>
      <xdr:row>0</xdr:row>
      <xdr:rowOff>146050</xdr:rowOff>
    </xdr:from>
    <xdr:to>
      <xdr:col>1</xdr:col>
      <xdr:colOff>1715911</xdr:colOff>
      <xdr:row>3</xdr:row>
      <xdr:rowOff>129822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B4941F-14DF-40CB-9956-78E48E8C0AFA}"/>
            </a:ext>
          </a:extLst>
        </xdr:cNvPr>
        <xdr:cNvSpPr/>
      </xdr:nvSpPr>
      <xdr:spPr>
        <a:xfrm>
          <a:off x="492760" y="144145"/>
          <a:ext cx="1661301" cy="532412"/>
        </a:xfrm>
        <a:prstGeom prst="leftArrow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latin typeface="Arial" panose="020B0604020202020204" pitchFamily="34" charset="0"/>
              <a:cs typeface="Arial" panose="020B0604020202020204" pitchFamily="34" charset="0"/>
            </a:rPr>
            <a:t>PRINCIPAL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50800</xdr:colOff>
      <xdr:row>0</xdr:row>
      <xdr:rowOff>146050</xdr:rowOff>
    </xdr:from>
    <xdr:to>
      <xdr:col>1</xdr:col>
      <xdr:colOff>1715911</xdr:colOff>
      <xdr:row>3</xdr:row>
      <xdr:rowOff>129822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3C861F-EB3A-4C38-A84A-653C4555C425}"/>
            </a:ext>
          </a:extLst>
        </xdr:cNvPr>
        <xdr:cNvSpPr/>
      </xdr:nvSpPr>
      <xdr:spPr>
        <a:xfrm>
          <a:off x="492760" y="144145"/>
          <a:ext cx="1661301" cy="532412"/>
        </a:xfrm>
        <a:prstGeom prst="leftArrow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latin typeface="Arial" panose="020B0604020202020204" pitchFamily="34" charset="0"/>
              <a:cs typeface="Arial" panose="020B0604020202020204" pitchFamily="34" charset="0"/>
            </a:rPr>
            <a:t>PRINCIPAL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0</xdr:row>
      <xdr:rowOff>146050</xdr:rowOff>
    </xdr:from>
    <xdr:to>
      <xdr:col>0</xdr:col>
      <xdr:colOff>1715911</xdr:colOff>
      <xdr:row>3</xdr:row>
      <xdr:rowOff>129822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F0C731-8AF3-4B97-A51D-2D21B9AFB16D}"/>
            </a:ext>
          </a:extLst>
        </xdr:cNvPr>
        <xdr:cNvSpPr/>
      </xdr:nvSpPr>
      <xdr:spPr>
        <a:xfrm>
          <a:off x="54610" y="144145"/>
          <a:ext cx="1661301" cy="532412"/>
        </a:xfrm>
        <a:prstGeom prst="leftArrow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latin typeface="Arial" panose="020B0604020202020204" pitchFamily="34" charset="0"/>
              <a:cs typeface="Arial" panose="020B0604020202020204" pitchFamily="34" charset="0"/>
            </a:rPr>
            <a:t>PRINCIPAL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0</xdr:row>
      <xdr:rowOff>146050</xdr:rowOff>
    </xdr:from>
    <xdr:to>
      <xdr:col>0</xdr:col>
      <xdr:colOff>1715911</xdr:colOff>
      <xdr:row>3</xdr:row>
      <xdr:rowOff>129822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D1AA27-4B72-4ABF-96A6-07B5ED676065}"/>
            </a:ext>
          </a:extLst>
        </xdr:cNvPr>
        <xdr:cNvSpPr/>
      </xdr:nvSpPr>
      <xdr:spPr>
        <a:xfrm>
          <a:off x="54610" y="144145"/>
          <a:ext cx="1661301" cy="532412"/>
        </a:xfrm>
        <a:prstGeom prst="leftArrow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latin typeface="Arial" panose="020B0604020202020204" pitchFamily="34" charset="0"/>
              <a:cs typeface="Arial" panose="020B0604020202020204" pitchFamily="34" charset="0"/>
            </a:rPr>
            <a:t>PRINCIPAL</a:t>
          </a: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91440</xdr:colOff>
      <xdr:row>0</xdr:row>
      <xdr:rowOff>0</xdr:rowOff>
    </xdr:from>
    <xdr:to>
      <xdr:col>1</xdr:col>
      <xdr:colOff>1752741</xdr:colOff>
      <xdr:row>3</xdr:row>
      <xdr:rowOff>38100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BE2F16-F52F-41CD-B888-7DD0E9426389}"/>
            </a:ext>
          </a:extLst>
        </xdr:cNvPr>
        <xdr:cNvSpPr/>
      </xdr:nvSpPr>
      <xdr:spPr>
        <a:xfrm>
          <a:off x="358140" y="0"/>
          <a:ext cx="1661301" cy="581025"/>
        </a:xfrm>
        <a:prstGeom prst="leftArrow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latin typeface="Arial" panose="020B0604020202020204" pitchFamily="34" charset="0"/>
              <a:cs typeface="Arial" panose="020B0604020202020204" pitchFamily="34" charset="0"/>
            </a:rPr>
            <a:t>PRINCIPAL</a:t>
          </a: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50800</xdr:colOff>
      <xdr:row>0</xdr:row>
      <xdr:rowOff>146050</xdr:rowOff>
    </xdr:from>
    <xdr:to>
      <xdr:col>1</xdr:col>
      <xdr:colOff>1715911</xdr:colOff>
      <xdr:row>3</xdr:row>
      <xdr:rowOff>129822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C65A8B-31D5-4186-A610-A2AFBF8BC215}"/>
            </a:ext>
          </a:extLst>
        </xdr:cNvPr>
        <xdr:cNvSpPr/>
      </xdr:nvSpPr>
      <xdr:spPr>
        <a:xfrm>
          <a:off x="492760" y="144145"/>
          <a:ext cx="1661301" cy="532412"/>
        </a:xfrm>
        <a:prstGeom prst="leftArrow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latin typeface="Arial" panose="020B0604020202020204" pitchFamily="34" charset="0"/>
              <a:cs typeface="Arial" panose="020B0604020202020204" pitchFamily="34" charset="0"/>
            </a:rPr>
            <a:t>PRINCIPAL</a:t>
          </a: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50800</xdr:colOff>
      <xdr:row>0</xdr:row>
      <xdr:rowOff>146050</xdr:rowOff>
    </xdr:from>
    <xdr:to>
      <xdr:col>1</xdr:col>
      <xdr:colOff>1715911</xdr:colOff>
      <xdr:row>3</xdr:row>
      <xdr:rowOff>129822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231EB7-92F7-4B14-8FDC-C3ACA223CACD}"/>
            </a:ext>
          </a:extLst>
        </xdr:cNvPr>
        <xdr:cNvSpPr/>
      </xdr:nvSpPr>
      <xdr:spPr>
        <a:xfrm>
          <a:off x="485140" y="146050"/>
          <a:ext cx="1665111" cy="532412"/>
        </a:xfrm>
        <a:prstGeom prst="leftArrow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latin typeface="Arial" panose="020B0604020202020204" pitchFamily="34" charset="0"/>
              <a:cs typeface="Arial" panose="020B0604020202020204" pitchFamily="34" charset="0"/>
            </a:rPr>
            <a:t>PRINCIPAL</a:t>
          </a: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50800</xdr:colOff>
      <xdr:row>0</xdr:row>
      <xdr:rowOff>146050</xdr:rowOff>
    </xdr:from>
    <xdr:to>
      <xdr:col>1</xdr:col>
      <xdr:colOff>1715911</xdr:colOff>
      <xdr:row>3</xdr:row>
      <xdr:rowOff>129822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AF7C25-F9C2-4BDB-84EE-25BAEA3C2C61}"/>
            </a:ext>
          </a:extLst>
        </xdr:cNvPr>
        <xdr:cNvSpPr/>
      </xdr:nvSpPr>
      <xdr:spPr>
        <a:xfrm>
          <a:off x="492760" y="144145"/>
          <a:ext cx="1661301" cy="532412"/>
        </a:xfrm>
        <a:prstGeom prst="leftArrow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latin typeface="Arial" panose="020B0604020202020204" pitchFamily="34" charset="0"/>
              <a:cs typeface="Arial" panose="020B0604020202020204" pitchFamily="34" charset="0"/>
            </a:rPr>
            <a:t>PRINCIPAL</a:t>
          </a: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50800</xdr:colOff>
      <xdr:row>0</xdr:row>
      <xdr:rowOff>146050</xdr:rowOff>
    </xdr:from>
    <xdr:to>
      <xdr:col>1</xdr:col>
      <xdr:colOff>1715911</xdr:colOff>
      <xdr:row>3</xdr:row>
      <xdr:rowOff>129822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0D0301-C8D2-4B19-A482-9E0551AEFB1C}"/>
            </a:ext>
          </a:extLst>
        </xdr:cNvPr>
        <xdr:cNvSpPr/>
      </xdr:nvSpPr>
      <xdr:spPr>
        <a:xfrm>
          <a:off x="485140" y="146050"/>
          <a:ext cx="1665111" cy="532412"/>
        </a:xfrm>
        <a:prstGeom prst="leftArrow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latin typeface="Arial" panose="020B0604020202020204" pitchFamily="34" charset="0"/>
              <a:cs typeface="Arial" panose="020B0604020202020204" pitchFamily="34" charset="0"/>
            </a:rPr>
            <a:t>PRINCIPAL</a:t>
          </a: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50800</xdr:colOff>
      <xdr:row>1</xdr:row>
      <xdr:rowOff>146050</xdr:rowOff>
    </xdr:from>
    <xdr:to>
      <xdr:col>1</xdr:col>
      <xdr:colOff>1715911</xdr:colOff>
      <xdr:row>4</xdr:row>
      <xdr:rowOff>129822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48D266-2DBE-4367-991D-BBB60CF8267E}"/>
            </a:ext>
          </a:extLst>
        </xdr:cNvPr>
        <xdr:cNvSpPr/>
      </xdr:nvSpPr>
      <xdr:spPr>
        <a:xfrm>
          <a:off x="485140" y="146050"/>
          <a:ext cx="1665111" cy="532412"/>
        </a:xfrm>
        <a:prstGeom prst="leftArrow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latin typeface="Arial" panose="020B0604020202020204" pitchFamily="34" charset="0"/>
              <a:cs typeface="Arial" panose="020B0604020202020204" pitchFamily="34" charset="0"/>
            </a:rPr>
            <a:t>PRINCIPAL</a:t>
          </a: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0</xdr:row>
      <xdr:rowOff>146050</xdr:rowOff>
    </xdr:from>
    <xdr:to>
      <xdr:col>0</xdr:col>
      <xdr:colOff>1715911</xdr:colOff>
      <xdr:row>3</xdr:row>
      <xdr:rowOff>129822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DE00E0-FE96-4B33-87BA-619BB60A0573}"/>
            </a:ext>
          </a:extLst>
        </xdr:cNvPr>
        <xdr:cNvSpPr/>
      </xdr:nvSpPr>
      <xdr:spPr>
        <a:xfrm>
          <a:off x="54610" y="144145"/>
          <a:ext cx="1661301" cy="532412"/>
        </a:xfrm>
        <a:prstGeom prst="leftArrow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latin typeface="Arial" panose="020B0604020202020204" pitchFamily="34" charset="0"/>
              <a:cs typeface="Arial" panose="020B0604020202020204" pitchFamily="34" charset="0"/>
            </a:rPr>
            <a:t>PRINCIPAL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466A9CFF-176E-40BF-B2AA-F8C7704AED74}" name="Tabla55" displayName="Tabla55" ref="B106:R118" totalsRowCount="1" headerRowDxfId="7813" dataDxfId="7811" totalsRowDxfId="7809" headerRowBorderDxfId="7812" tableBorderDxfId="7810" totalsRowBorderDxfId="7808">
  <autoFilter ref="B106:R117" xr:uid="{466A9CFF-176E-40BF-B2AA-F8C7704AED74}"/>
  <tableColumns count="17">
    <tableColumn id="1" xr3:uid="{F9ACA056-952A-47EA-AD4A-EE738FF8949F}" name="ARROCES" totalsRowLabel="Total" dataDxfId="7807" totalsRowDxfId="7806">
      <calculatedColumnFormula>+ARROCES!B6</calculatedColumnFormula>
    </tableColumn>
    <tableColumn id="17" xr3:uid="{E1510460-CDDC-4DD5-9B33-E1921DD65DE3}" name="DESCRIPCION" dataDxfId="7805" totalsRowDxfId="7804"/>
    <tableColumn id="2" xr3:uid="{EF6F2957-7558-4A11-B65F-6D4F9D510830}" name="COSTO" dataDxfId="7803" totalsRowDxfId="7802" dataCellStyle="Moneda">
      <calculatedColumnFormula>+#REF!</calculatedColumnFormula>
    </tableColumn>
    <tableColumn id="3" xr3:uid="{DC9D6200-3C7C-4B33-AF7E-FFAEA3038774}" name="VENTA" dataDxfId="7801" totalsRowDxfId="7800" dataCellStyle="Moneda"/>
    <tableColumn id="4" xr3:uid="{295FC901-8F9A-42B4-A2B5-1FCF9C96BDB6}" name="ICO 8%" dataDxfId="7799" totalsRowDxfId="7798" dataCellStyle="Moneda">
      <calculatedColumnFormula>+E107/1.08*0.08</calculatedColumnFormula>
    </tableColumn>
    <tableColumn id="5" xr3:uid="{A25B01A3-A2EC-4A27-BBBC-69AFFE8F2A70}" name="BASE" dataDxfId="7797" totalsRowDxfId="7796">
      <calculatedColumnFormula>+Tabla55[[#This Row],[VENTA]]-Tabla55[[#This Row],[ICO 8%]]</calculatedColumnFormula>
    </tableColumn>
    <tableColumn id="6" xr3:uid="{70F2E036-9D02-4AA6-84EC-58E8408473DB}" name="%" totalsRowFunction="average" dataDxfId="7795" totalsRowDxfId="7794" dataCellStyle="Porcentaje">
      <calculatedColumnFormula>+Tabla55[[#This Row],[COSTO]]/Tabla55[[#This Row],[BASE]]</calculatedColumnFormula>
    </tableColumn>
    <tableColumn id="7" xr3:uid="{23D03F2B-1C4F-4DFC-BAC3-2B0EB3F57CCB}" name="RENTABILIDAD" dataDxfId="7793" totalsRowDxfId="7792">
      <calculatedColumnFormula>+Tabla55[[#This Row],[BASE]]/Tabla55[[#This Row],[COSTO]]</calculatedColumnFormula>
    </tableColumn>
    <tableColumn id="8" xr3:uid="{FAFB8695-86AE-4808-8B54-510FCD431852}" name="ROTACION" dataDxfId="7791" totalsRowDxfId="7790">
      <calculatedColumnFormula>+VLOOKUP(Tabla55[[#This Row],[ARROCES]],Tabla77[#All],3,0)</calculatedColumnFormula>
    </tableColumn>
    <tableColumn id="9" xr3:uid="{505ADB5C-6845-4BEE-8BEC-5614ABBEDD78}" name="PRECIO SUGERIDO" dataDxfId="7789" totalsRowDxfId="7788" dataCellStyle="Moneda">
      <calculatedColumnFormula>+D107/(100-65)*100</calculatedColumnFormula>
    </tableColumn>
    <tableColumn id="10" xr3:uid="{3F3BC408-822B-47B7-8EB3-2D26C279B128}" name="ICO2" dataDxfId="7787" totalsRowDxfId="7786" dataCellStyle="Moneda">
      <calculatedColumnFormula>+K107/1.08*0.08</calculatedColumnFormula>
    </tableColumn>
    <tableColumn id="11" xr3:uid="{097A2BDE-D894-4DA1-80A0-97A1EEAA6AC6}" name="CARTA " dataDxfId="7785" totalsRowDxfId="7784">
      <calculatedColumnFormula>+Tabla55[[#This Row],[PRECIO SUGERIDO]]+Tabla55[[#This Row],[ICO2]]</calculatedColumnFormula>
    </tableColumn>
    <tableColumn id="12" xr3:uid="{ADFA79FA-8AE1-4C65-B4F3-34007572D3C4}" name="PRECIO N" dataDxfId="7783" totalsRowDxfId="7782" dataCellStyle="Moneda"/>
    <tableColumn id="13" xr3:uid="{0E7E7082-69E6-4374-BBB2-DAE06A19E90A}" name="ICO 8%2" dataDxfId="7781" totalsRowDxfId="7780" dataCellStyle="Moneda">
      <calculatedColumnFormula>+N107/1.08*0.08</calculatedColumnFormula>
    </tableColumn>
    <tableColumn id="14" xr3:uid="{BBAA6B14-4084-448B-B961-67B4FFFEE7FA}" name="CARTA" dataDxfId="7779" totalsRowDxfId="7778" dataCellStyle="Moneda">
      <calculatedColumnFormula>+Tabla55[[#This Row],[PRECIO N]]-Tabla55[[#This Row],[ICO 8%2]]</calculatedColumnFormula>
    </tableColumn>
    <tableColumn id="15" xr3:uid="{E0F33149-2495-44B2-9FDE-432121E63D1B}" name="% " dataDxfId="7777" totalsRowDxfId="7776" dataCellStyle="Porcentaje">
      <calculatedColumnFormula>+Tabla55[[#This Row],[COSTO]]/Tabla55[[#This Row],[CARTA]]</calculatedColumnFormula>
    </tableColumn>
    <tableColumn id="16" xr3:uid="{821EB6CC-FBDD-414A-AA53-8E369EA3850B}" name="RATION" totalsRowFunction="sum" dataDxfId="7775" totalsRowDxfId="7774">
      <calculatedColumnFormula>+Tabla55[[#This Row],[PRECIO N]]/Tabla55[[#This Row],[COSTO]]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BCD8C867-A5C6-426B-BC54-7809459A5013}" name="Tabla5518101" displayName="Tabla5518101" ref="B121:R129" totalsRowCount="1" headerRowDxfId="7773" dataDxfId="7771" totalsRowDxfId="7769" headerRowBorderDxfId="7772" tableBorderDxfId="7770" totalsRowBorderDxfId="7768">
  <autoFilter ref="B121:R128" xr:uid="{27DE6263-0FD7-4626-8070-1039AAC262C6}"/>
  <tableColumns count="17">
    <tableColumn id="1" xr3:uid="{A629F77B-0DEC-4860-8483-7195D79E940C}" name="CARNES" totalsRowLabel="Total" dataDxfId="7767" totalsRowDxfId="7766"/>
    <tableColumn id="17" xr3:uid="{1AF2BDF9-3BC3-417D-9245-2C872FABA3E5}" name="DESCRIPCION" dataDxfId="7765" totalsRowDxfId="7764"/>
    <tableColumn id="2" xr3:uid="{D1F219A8-47AA-4558-8AE5-EB8D4112A3BD}" name="COSTO" dataDxfId="7763" totalsRowDxfId="7762" dataCellStyle="Moneda"/>
    <tableColumn id="3" xr3:uid="{9AAFDB0E-BA4B-4296-981A-BB00AB2473B6}" name="VENTA" dataDxfId="7761" totalsRowDxfId="7760" dataCellStyle="Moneda"/>
    <tableColumn id="4" xr3:uid="{FD240096-04D0-40C8-9655-772F488EAE3A}" name="ICO 8%" dataDxfId="7759" totalsRowDxfId="7758" dataCellStyle="Moneda">
      <calculatedColumnFormula>+E122/1.08*0.08</calculatedColumnFormula>
    </tableColumn>
    <tableColumn id="5" xr3:uid="{7513AD41-55C1-4084-97CD-6D6B47581F6C}" name="BASE" dataDxfId="7757" totalsRowDxfId="7756">
      <calculatedColumnFormula>+Tabla5518101[[#This Row],[VENTA]]-Tabla5518101[[#This Row],[ICO 8%]]</calculatedColumnFormula>
    </tableColumn>
    <tableColumn id="6" xr3:uid="{D7FFE2E4-206F-4B22-858D-99E5C86E7796}" name="%" totalsRowFunction="average" dataDxfId="7755" totalsRowDxfId="7754" dataCellStyle="Porcentaje">
      <calculatedColumnFormula>+Tabla5518101[[#This Row],[COSTO]]/Tabla5518101[[#This Row],[BASE]]</calculatedColumnFormula>
    </tableColumn>
    <tableColumn id="7" xr3:uid="{F8B7A021-D860-4453-8F1B-FCAA90EB1151}" name="RENTABILIDAD" dataDxfId="7753" totalsRowDxfId="7752">
      <calculatedColumnFormula>+Tabla5518101[[#This Row],[BASE]]/Tabla5518101[[#This Row],[COSTO]]</calculatedColumnFormula>
    </tableColumn>
    <tableColumn id="8" xr3:uid="{49F12097-40B6-4D9F-AD21-4A62EAF7C93E}" name="ROTACION" dataDxfId="7751" totalsRowDxfId="7750">
      <calculatedColumnFormula>+VLOOKUP(Tabla5518101[[#This Row],[CARNES]],Tabla77[#All],3,0)</calculatedColumnFormula>
    </tableColumn>
    <tableColumn id="9" xr3:uid="{B92FB846-7F0E-4056-9459-D76C7D7E42AA}" name="PRECIO SUGERIDO" dataDxfId="7749" totalsRowDxfId="7748" dataCellStyle="Moneda">
      <calculatedColumnFormula>+D122/(100-65)*100</calculatedColumnFormula>
    </tableColumn>
    <tableColumn id="10" xr3:uid="{71EDFB16-473F-4CE3-BD49-31142DBE4B78}" name="ICO2" dataDxfId="7747" totalsRowDxfId="7746" dataCellStyle="Moneda">
      <calculatedColumnFormula>+K122/1.08*0.08</calculatedColumnFormula>
    </tableColumn>
    <tableColumn id="11" xr3:uid="{556A1A29-F27F-4BE6-93D6-7D0F7DBCFFED}" name="CARTA " dataDxfId="7745" totalsRowDxfId="7744">
      <calculatedColumnFormula>+Tabla5518101[[#This Row],[PRECIO SUGERIDO]]+Tabla5518101[[#This Row],[ICO2]]</calculatedColumnFormula>
    </tableColumn>
    <tableColumn id="12" xr3:uid="{94A6E9F2-405D-4E65-AEF1-B8F6F8FF667E}" name="PRECIO N" dataDxfId="7743" totalsRowDxfId="7742" dataCellStyle="Moneda"/>
    <tableColumn id="13" xr3:uid="{4AAFDBB5-6EDF-43B3-B9B5-6D39A3BEC443}" name="ICO 8%2" dataDxfId="7741" totalsRowDxfId="7740" dataCellStyle="Moneda">
      <calculatedColumnFormula>+N122/1.08*0.08</calculatedColumnFormula>
    </tableColumn>
    <tableColumn id="14" xr3:uid="{A9304347-3DBE-4419-BB3A-D6A26BA194CD}" name="CARTA" dataDxfId="7739" totalsRowDxfId="7738" dataCellStyle="Moneda">
      <calculatedColumnFormula>+Tabla5518101[[#This Row],[PRECIO N]]-Tabla5518101[[#This Row],[ICO 8%2]]</calculatedColumnFormula>
    </tableColumn>
    <tableColumn id="15" xr3:uid="{7125FC90-7C0D-493F-BF4F-EAAFAC99A6C4}" name="% " dataDxfId="7737" totalsRowDxfId="7736" dataCellStyle="Porcentaje">
      <calculatedColumnFormula>+Tabla5518101[[#This Row],[COSTO]]/Tabla5518101[[#This Row],[CARTA]]</calculatedColumnFormula>
    </tableColumn>
    <tableColumn id="16" xr3:uid="{5E71DAA2-585C-4968-8849-9A884C5C9186}" name="RATION" totalsRowFunction="sum" dataDxfId="7735" totalsRowDxfId="7734">
      <calculatedColumnFormula>+Tabla5518101[[#This Row],[PRECIO N]]/Tabla5518101[[#This Row],[COSTO]]</calculatedColumnFormula>
    </tableColumn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12A54755-FA54-4D99-AEB5-32AAD4373516}" name="Tabla5518103" displayName="Tabla5518103" ref="B133:R136" totalsRowCount="1" headerRowDxfId="7733" dataDxfId="7731" totalsRowDxfId="7729" headerRowBorderDxfId="7732" tableBorderDxfId="7730" totalsRowBorderDxfId="7728">
  <autoFilter ref="B133:R135" xr:uid="{1BCB529B-C9BB-4E09-BCCD-19F7EFF4C66B}"/>
  <tableColumns count="17">
    <tableColumn id="1" xr3:uid="{B9280240-E695-42BF-BAB7-459673DD5CE1}" name="SOPAS" totalsRowLabel="Total" dataDxfId="7727" totalsRowDxfId="7726"/>
    <tableColumn id="17" xr3:uid="{1598A7AC-95B1-4539-A357-9285430A2193}" name="DESCRIPCION" dataDxfId="7725" totalsRowDxfId="7724"/>
    <tableColumn id="2" xr3:uid="{75727F10-DF2F-40C2-90E7-CE13807B6FA8}" name="COSTO" dataDxfId="7723" totalsRowDxfId="7722" dataCellStyle="Moneda"/>
    <tableColumn id="3" xr3:uid="{9DE7D231-0091-4119-B903-B9AD86D5D736}" name="VENTA" dataDxfId="7721" totalsRowDxfId="7720" dataCellStyle="Moneda"/>
    <tableColumn id="4" xr3:uid="{AF8A98A7-4105-4303-AADD-44E09C1CFDD2}" name="ICO 8%" dataDxfId="7719" totalsRowDxfId="7718" dataCellStyle="Moneda">
      <calculatedColumnFormula>+E134/1.08*0.08</calculatedColumnFormula>
    </tableColumn>
    <tableColumn id="5" xr3:uid="{61650EAC-36B0-4161-86CA-04FA1C43ADB4}" name="BASE" dataDxfId="7717" totalsRowDxfId="7716">
      <calculatedColumnFormula>+Tabla5518103[[#This Row],[VENTA]]-Tabla5518103[[#This Row],[ICO 8%]]</calculatedColumnFormula>
    </tableColumn>
    <tableColumn id="6" xr3:uid="{56B3C121-D3BC-46BA-8673-95D77F81243F}" name="%" totalsRowFunction="average" dataDxfId="7715" totalsRowDxfId="7714" dataCellStyle="Porcentaje">
      <calculatedColumnFormula>+Tabla5518103[[#This Row],[COSTO]]/Tabla5518103[[#This Row],[BASE]]</calculatedColumnFormula>
    </tableColumn>
    <tableColumn id="7" xr3:uid="{A57F3586-B9BB-4F22-84C0-686835500A3C}" name="RENTABILIDAD" dataDxfId="7713" totalsRowDxfId="7712">
      <calculatedColumnFormula>+Tabla5518103[[#This Row],[BASE]]/Tabla5518103[[#This Row],[COSTO]]</calculatedColumnFormula>
    </tableColumn>
    <tableColumn id="8" xr3:uid="{58197624-06A5-4540-B695-15E65FFA24D0}" name="ROTACION" dataDxfId="7711" totalsRowDxfId="7710">
      <calculatedColumnFormula>+VLOOKUP(Tabla5518103[[#This Row],[SOPAS]],Tabla77[#All],3,0)</calculatedColumnFormula>
    </tableColumn>
    <tableColumn id="9" xr3:uid="{B439464D-1D54-4C1D-A331-D4685E0758EF}" name="PRECIO SUGERIDO" dataDxfId="7709" totalsRowDxfId="7708" dataCellStyle="Moneda">
      <calculatedColumnFormula>+D134/(100-70)*100</calculatedColumnFormula>
    </tableColumn>
    <tableColumn id="10" xr3:uid="{E33BD13C-BDC9-4789-941B-10B8C6301589}" name="ICO2" dataDxfId="7707" totalsRowDxfId="7706" dataCellStyle="Moneda">
      <calculatedColumnFormula>+K134/1.08*0.08</calculatedColumnFormula>
    </tableColumn>
    <tableColumn id="11" xr3:uid="{A513A368-D716-4A23-ADCD-3CFFDB09AEC0}" name="CARTA " dataDxfId="7705" totalsRowDxfId="7704">
      <calculatedColumnFormula>+Tabla5518103[[#This Row],[PRECIO SUGERIDO]]+Tabla5518103[[#This Row],[ICO2]]</calculatedColumnFormula>
    </tableColumn>
    <tableColumn id="12" xr3:uid="{6432499C-FBD5-4BA2-AC1B-24FCE964F406}" name="PRECIO N" dataDxfId="7703" totalsRowDxfId="7702" dataCellStyle="Moneda"/>
    <tableColumn id="13" xr3:uid="{791AC896-8A6B-4701-A6F8-9DE9BD049E71}" name="ICO 8%2" dataDxfId="7701" totalsRowDxfId="7700" dataCellStyle="Moneda">
      <calculatedColumnFormula>+N134/1.08*0.08</calculatedColumnFormula>
    </tableColumn>
    <tableColumn id="14" xr3:uid="{436B2E68-ACBC-477A-9C01-DF3245C19D37}" name="CARTA" dataDxfId="7699" totalsRowDxfId="7698" dataCellStyle="Moneda">
      <calculatedColumnFormula>+Tabla5518103[[#This Row],[PRECIO N]]-Tabla5518103[[#This Row],[ICO 8%2]]</calculatedColumnFormula>
    </tableColumn>
    <tableColumn id="15" xr3:uid="{2AC1D8F2-AECA-40FC-80C0-7757F5D245C6}" name="% " dataDxfId="7697" totalsRowDxfId="7696" dataCellStyle="Porcentaje">
      <calculatedColumnFormula>+Tabla5518103[[#This Row],[COSTO]]/Tabla5518103[[#This Row],[CARTA]]</calculatedColumnFormula>
    </tableColumn>
    <tableColumn id="16" xr3:uid="{88F53D19-AB0D-4F8A-8278-E0E4DA65BAC9}" name="RATION" totalsRowFunction="sum" dataDxfId="7695" totalsRowDxfId="7694">
      <calculatedColumnFormula>+Tabla5518103[[#This Row],[PRECIO N]]/Tabla5518103[[#This Row],[COSTO]]</calculatedColumnFormula>
    </tableColumn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53B6EA2A-9778-4B16-9888-FE67D9398FF6}" name="Tabla5518105" displayName="Tabla5518105" ref="B139:R143" totalsRowCount="1" headerRowDxfId="7693" dataDxfId="7691" totalsRowDxfId="7689" headerRowBorderDxfId="7692" tableBorderDxfId="7690" totalsRowBorderDxfId="7688">
  <autoFilter ref="B139:R142" xr:uid="{AF1192AB-122C-4421-BB9A-859EE7478C15}"/>
  <tableColumns count="17">
    <tableColumn id="1" xr3:uid="{E0AA0E55-163A-43DA-8135-A2010C7BC728}" name="POSTRES" totalsRowLabel="Total" dataDxfId="7687" totalsRowDxfId="7686"/>
    <tableColumn id="17" xr3:uid="{9E1BF41F-7D0F-4BD3-A92B-371CE397334F}" name="DESCRIPCION" dataDxfId="7685" totalsRowDxfId="7684"/>
    <tableColumn id="2" xr3:uid="{E71A73B5-3954-4133-881E-3A1F22E278EF}" name="COSTO" dataDxfId="7683" totalsRowDxfId="7682" dataCellStyle="Moneda"/>
    <tableColumn id="3" xr3:uid="{C13248DB-85A4-4945-B904-28FDE84DCB94}" name="VENTA" dataDxfId="7681" totalsRowDxfId="7680" dataCellStyle="Moneda"/>
    <tableColumn id="4" xr3:uid="{05145BA6-4F32-40F6-80E2-56CCA7593DDE}" name="ICO 8%" dataDxfId="7679" totalsRowDxfId="7678" dataCellStyle="Moneda">
      <calculatedColumnFormula>+E140/1.08*0.08</calculatedColumnFormula>
    </tableColumn>
    <tableColumn id="5" xr3:uid="{9DAB9897-E904-4727-987D-80B5F55109EA}" name="BASE" dataDxfId="7677" totalsRowDxfId="7676">
      <calculatedColumnFormula>+Tabla5518105[[#This Row],[VENTA]]-Tabla5518105[[#This Row],[ICO 8%]]</calculatedColumnFormula>
    </tableColumn>
    <tableColumn id="6" xr3:uid="{DF999738-FC49-4637-B17F-E80C3F9E86C7}" name="%" totalsRowFunction="average" dataDxfId="7675" totalsRowDxfId="7674" dataCellStyle="Porcentaje">
      <calculatedColumnFormula>+Tabla5518105[[#This Row],[COSTO]]/Tabla5518105[[#This Row],[BASE]]</calculatedColumnFormula>
    </tableColumn>
    <tableColumn id="7" xr3:uid="{146EC1E3-4AF9-4879-BD30-CDA87D9C99AB}" name="RENTABILIDAD" dataDxfId="7673" totalsRowDxfId="7672">
      <calculatedColumnFormula>+Tabla5518105[[#This Row],[BASE]]/Tabla5518105[[#This Row],[COSTO]]</calculatedColumnFormula>
    </tableColumn>
    <tableColumn id="8" xr3:uid="{9C753808-9672-4291-9EC8-EB64C98C8708}" name="ROTACION" dataDxfId="7671" totalsRowDxfId="7670">
      <calculatedColumnFormula>+VLOOKUP(Tabla5518105[[#This Row],[POSTRES]],Tabla77[#All],3,0)</calculatedColumnFormula>
    </tableColumn>
    <tableColumn id="9" xr3:uid="{0E0D0085-ED5B-46D5-A887-8D9686ED28A6}" name="PRECIO SUGERIDO" dataDxfId="7669" totalsRowDxfId="7668" dataCellStyle="Moneda">
      <calculatedColumnFormula>+D140/(100-70)*100</calculatedColumnFormula>
    </tableColumn>
    <tableColumn id="10" xr3:uid="{25CBA055-A75D-4312-BEAB-D913678D9B4D}" name="ICO2" dataDxfId="7667" totalsRowDxfId="7666" dataCellStyle="Moneda">
      <calculatedColumnFormula>+K140/1.08*0.08</calculatedColumnFormula>
    </tableColumn>
    <tableColumn id="11" xr3:uid="{9B9AD601-FBC9-4D87-AB75-A89693FCC054}" name="CARTA " dataDxfId="7665" totalsRowDxfId="7664">
      <calculatedColumnFormula>+Tabla5518105[[#This Row],[PRECIO SUGERIDO]]+Tabla5518105[[#This Row],[ICO2]]</calculatedColumnFormula>
    </tableColumn>
    <tableColumn id="12" xr3:uid="{C4FF0D72-BBB5-4848-8C36-976A8E17E09F}" name="PRECIO N" dataDxfId="7663" totalsRowDxfId="7662" dataCellStyle="Moneda"/>
    <tableColumn id="13" xr3:uid="{33662938-DEB8-45B9-BC16-A6C0D2EF82CC}" name="ICO 8%2" dataDxfId="7661" totalsRowDxfId="7660" dataCellStyle="Moneda">
      <calculatedColumnFormula>+N140/1.08*0.08</calculatedColumnFormula>
    </tableColumn>
    <tableColumn id="14" xr3:uid="{7E692709-A39C-4577-B62A-818AF956DBD8}" name="CARTA" dataDxfId="7659" totalsRowDxfId="7658" dataCellStyle="Moneda">
      <calculatedColumnFormula>+Tabla5518105[[#This Row],[PRECIO N]]-Tabla5518105[[#This Row],[ICO 8%2]]</calculatedColumnFormula>
    </tableColumn>
    <tableColumn id="15" xr3:uid="{807B493F-D334-481B-9910-477F737D7BDA}" name="% " dataDxfId="7657" totalsRowDxfId="7656" dataCellStyle="Porcentaje">
      <calculatedColumnFormula>+Tabla5518105[[#This Row],[COSTO]]/Tabla5518105[[#This Row],[CARTA]]</calculatedColumnFormula>
    </tableColumn>
    <tableColumn id="16" xr3:uid="{CF6D4033-36ED-435A-82C6-2DA26D7B8365}" name="RATION" totalsRowFunction="sum" dataDxfId="7655" totalsRowDxfId="7654">
      <calculatedColumnFormula>+Tabla5518105[[#This Row],[PRECIO N]]/Tabla5518105[[#This Row],[COSTO]]</calculatedColumnFormula>
    </tableColumn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2ABF745F-41B5-4610-B223-8AB87E076BD8}" name="Tabla5518106" displayName="Tabla5518106" ref="B146:R150" totalsRowCount="1" headerRowDxfId="7653" dataDxfId="7652" totalsRowDxfId="7651">
  <autoFilter ref="B146:R149" xr:uid="{B7CD8E99-A992-46D9-9D99-6E624A73213E}"/>
  <tableColumns count="17">
    <tableColumn id="1" xr3:uid="{873F4065-E247-42A2-924F-0912AABC8E82}" name="MENU INFANTIL" totalsRowLabel="Total" dataDxfId="7650" totalsRowDxfId="7649"/>
    <tableColumn id="17" xr3:uid="{8E0F1617-9C57-4F54-97D2-0B0E3DB121E9}" name="DESCRIPCION" dataDxfId="7648" totalsRowDxfId="7647"/>
    <tableColumn id="2" xr3:uid="{8C61DD7E-4683-4A39-9F60-68AAF42BF9D3}" name="COSTO" dataDxfId="7646" totalsRowDxfId="7645" dataCellStyle="Moneda"/>
    <tableColumn id="3" xr3:uid="{228F7AA0-2F02-4337-98AC-F80ADF5EEFCE}" name="VENTA" dataDxfId="7644" totalsRowDxfId="7643" dataCellStyle="Moneda"/>
    <tableColumn id="4" xr3:uid="{7DC935FD-40DB-4396-ABC5-D9F07B037820}" name="ICO 8%" dataDxfId="7642" totalsRowDxfId="7641" dataCellStyle="Moneda">
      <calculatedColumnFormula>+E147/1.08*0.08</calculatedColumnFormula>
    </tableColumn>
    <tableColumn id="5" xr3:uid="{46E10A37-35CC-40A1-B599-446279CD1834}" name="BASE" dataDxfId="7640" totalsRowDxfId="7639">
      <calculatedColumnFormula>+Tabla5518106[[#This Row],[VENTA]]-Tabla5518106[[#This Row],[ICO 8%]]</calculatedColumnFormula>
    </tableColumn>
    <tableColumn id="6" xr3:uid="{2BDE4F26-E001-484E-9719-8996145CB9E5}" name="%" totalsRowFunction="average" dataDxfId="7638" totalsRowDxfId="7637" dataCellStyle="Porcentaje">
      <calculatedColumnFormula>+Tabla5518106[[#This Row],[COSTO]]/Tabla5518106[[#This Row],[BASE]]</calculatedColumnFormula>
    </tableColumn>
    <tableColumn id="7" xr3:uid="{63E513AD-8FDC-4422-95A0-CEADC3024D8F}" name="RENTABILIDAD" dataDxfId="7636" totalsRowDxfId="7635">
      <calculatedColumnFormula>+Tabla5518106[[#This Row],[BASE]]/Tabla5518106[[#This Row],[COSTO]]</calculatedColumnFormula>
    </tableColumn>
    <tableColumn id="8" xr3:uid="{F7F76E69-16FA-49F4-8F78-267510AA7CA3}" name="ROTACION" dataDxfId="7634" totalsRowDxfId="7633">
      <calculatedColumnFormula>+VLOOKUP(Tabla5518106[[#This Row],[MENU INFANTIL]],Tabla77[#All],3,0)</calculatedColumnFormula>
    </tableColumn>
    <tableColumn id="9" xr3:uid="{A7D652A7-3D3B-42FE-BF09-8459513D4A9D}" name="PRECIO SUGERIDO" dataDxfId="7632" totalsRowDxfId="7631" dataCellStyle="Moneda">
      <calculatedColumnFormula>+D147/(100-70)*100</calculatedColumnFormula>
    </tableColumn>
    <tableColumn id="10" xr3:uid="{9406CC51-6B94-451C-AF81-B36283DE76CB}" name="ICO2" dataDxfId="7630" totalsRowDxfId="7629" dataCellStyle="Moneda">
      <calculatedColumnFormula>+K147/1.08*0.08</calculatedColumnFormula>
    </tableColumn>
    <tableColumn id="11" xr3:uid="{53938AF4-D946-4A0E-ACE0-560D6CD4E6D2}" name="CARTA " dataDxfId="7628" totalsRowDxfId="7627">
      <calculatedColumnFormula>+Tabla5518106[[#This Row],[PRECIO SUGERIDO]]+Tabla5518106[[#This Row],[ICO2]]</calculatedColumnFormula>
    </tableColumn>
    <tableColumn id="12" xr3:uid="{D07CECD3-2A2B-4E6B-9318-3249D9626984}" name="PRECIO N" dataDxfId="7626" totalsRowDxfId="7625" dataCellStyle="Moneda"/>
    <tableColumn id="13" xr3:uid="{F362E50B-7A2D-4694-AE45-124BD81B2303}" name="ICO 8%2" dataDxfId="7624" totalsRowDxfId="7623" dataCellStyle="Moneda">
      <calculatedColumnFormula>+N147/1.08*0.08</calculatedColumnFormula>
    </tableColumn>
    <tableColumn id="14" xr3:uid="{180238AC-2134-45E2-9747-47F41EBD5129}" name="CARTA" dataDxfId="7622" totalsRowDxfId="7621" dataCellStyle="Moneda">
      <calculatedColumnFormula>+Tabla5518106[[#This Row],[PRECIO N]]-Tabla5518106[[#This Row],[ICO 8%2]]</calculatedColumnFormula>
    </tableColumn>
    <tableColumn id="15" xr3:uid="{F460F3A5-6DFD-4752-9D4E-986FFDD4DB83}" name="% " dataDxfId="7620" totalsRowDxfId="7619" dataCellStyle="Porcentaje">
      <calculatedColumnFormula>+Tabla5518106[[#This Row],[COSTO]]/Tabla5518106[[#This Row],[CARTA]]</calculatedColumnFormula>
    </tableColumn>
    <tableColumn id="16" xr3:uid="{8E7BD815-3A40-4CAA-BC26-71A33D7C3751}" name="RATION" totalsRowFunction="sum" dataDxfId="7618" totalsRowDxfId="7617">
      <calculatedColumnFormula>+Tabla5518106[[#This Row],[PRECIO N]]/Tabla5518106[[#This Row],[COSTO]]</calculatedColumnFormula>
    </tableColumn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EF9AA2C-0E4F-48AD-B1CC-423BED8A6ABE}" name="Tabla5518107" displayName="Tabla5518107" ref="B154:R161" totalsRowCount="1" headerRowDxfId="7616" dataDxfId="7615" totalsRowDxfId="7614">
  <autoFilter ref="B154:R160" xr:uid="{AE0F903A-DB68-4D40-889A-531188FA030D}"/>
  <sortState xmlns:xlrd2="http://schemas.microsoft.com/office/spreadsheetml/2017/richdata2" ref="B155:R160">
    <sortCondition ref="B156"/>
  </sortState>
  <tableColumns count="17">
    <tableColumn id="1" xr3:uid="{5A3FB94D-E5A5-4274-A301-562ED1395F8E}" name="SANGRIAS" totalsRowLabel="Total" dataDxfId="7613" totalsRowDxfId="7612"/>
    <tableColumn id="17" xr3:uid="{56725CF0-4AB9-4734-BA55-73B0E641D47D}" name="DESCRIPCION" dataDxfId="7611" totalsRowDxfId="7610"/>
    <tableColumn id="2" xr3:uid="{0FF92ACD-E915-43CE-B00E-2B8D9B38577E}" name="COSTO" dataDxfId="7609" totalsRowDxfId="7608" dataCellStyle="Moneda"/>
    <tableColumn id="3" xr3:uid="{940C5CD5-095C-4295-AFF1-0936176E3274}" name="VENTA" dataDxfId="7607" totalsRowDxfId="7606" dataCellStyle="Moneda"/>
    <tableColumn id="4" xr3:uid="{4F236199-203A-4C3F-BB9C-06517A2CEDA7}" name="ICO 8%" dataDxfId="7605" totalsRowDxfId="7604" dataCellStyle="Moneda">
      <calculatedColumnFormula>+E155/1.08*0.08</calculatedColumnFormula>
    </tableColumn>
    <tableColumn id="5" xr3:uid="{939BC1E9-FD60-4CB0-9729-7C3EDD001573}" name="BASE" dataDxfId="7603" totalsRowDxfId="7602">
      <calculatedColumnFormula>+Tabla5518107[[#This Row],[VENTA]]-Tabla5518107[[#This Row],[ICO 8%]]</calculatedColumnFormula>
    </tableColumn>
    <tableColumn id="6" xr3:uid="{38B5F762-766D-41EB-83E3-D1EC0F1BA2F1}" name="%" totalsRowFunction="average" dataDxfId="7601" totalsRowDxfId="7600" dataCellStyle="Porcentaje">
      <calculatedColumnFormula>+Tabla5518107[[#This Row],[COSTO]]/Tabla5518107[[#This Row],[BASE]]</calculatedColumnFormula>
    </tableColumn>
    <tableColumn id="7" xr3:uid="{1DBE7793-B4DE-40E6-BDC2-4488DABBBA38}" name="RENTABILIDAD" dataDxfId="7599" totalsRowDxfId="7598">
      <calculatedColumnFormula>+Tabla5518107[[#This Row],[BASE]]/Tabla5518107[[#This Row],[COSTO]]</calculatedColumnFormula>
    </tableColumn>
    <tableColumn id="8" xr3:uid="{F728DAC3-2833-4A89-9C20-40DC2EE864CC}" name="ROTACION" dataDxfId="7597" totalsRowDxfId="7596">
      <calculatedColumnFormula>+VLOOKUP(Tabla5518107[[#This Row],[SANGRIAS]],Tabla77[#All],3,0)</calculatedColumnFormula>
    </tableColumn>
    <tableColumn id="9" xr3:uid="{74E60D4C-78DB-4DA4-A3AC-AE7537D38DCA}" name="PRECIO SUGERIDO" dataDxfId="7595" totalsRowDxfId="7594" dataCellStyle="Moneda">
      <calculatedColumnFormula>+D155/(100-70)*100</calculatedColumnFormula>
    </tableColumn>
    <tableColumn id="10" xr3:uid="{1286F1BD-094A-4EC1-96EF-36C7589B9EDA}" name="ICO2" dataDxfId="7593" totalsRowDxfId="7592" dataCellStyle="Moneda">
      <calculatedColumnFormula>+K155/1.08*0.08</calculatedColumnFormula>
    </tableColumn>
    <tableColumn id="11" xr3:uid="{1CA9FC40-E79C-4088-91EF-C7A25D6F56A4}" name="CARTA " dataDxfId="7591" totalsRowDxfId="7590">
      <calculatedColumnFormula>+Tabla5518107[[#This Row],[PRECIO SUGERIDO]]+Tabla5518107[[#This Row],[ICO2]]</calculatedColumnFormula>
    </tableColumn>
    <tableColumn id="12" xr3:uid="{BB623E6D-2231-4FCF-A14F-F1B3590BA710}" name="PRECIO N" dataDxfId="7589" totalsRowDxfId="7588" dataCellStyle="Moneda"/>
    <tableColumn id="13" xr3:uid="{8E07EC0B-1A9D-460E-8092-8CBF20239520}" name="ICO 8%2" dataDxfId="7587" totalsRowDxfId="7586" dataCellStyle="Moneda">
      <calculatedColumnFormula>+N155/1.08*0.08</calculatedColumnFormula>
    </tableColumn>
    <tableColumn id="14" xr3:uid="{753B596A-B428-4BE5-8A3D-017C47ADDEA6}" name="CARTA" dataDxfId="7585" totalsRowDxfId="7584" dataCellStyle="Moneda">
      <calculatedColumnFormula>+Tabla5518107[[#This Row],[PRECIO N]]-Tabla5518107[[#This Row],[ICO 8%2]]</calculatedColumnFormula>
    </tableColumn>
    <tableColumn id="15" xr3:uid="{51DF37B7-B083-4967-9FBD-27CA976E9DAE}" name="% " dataDxfId="7583" totalsRowDxfId="7582" dataCellStyle="Porcentaje">
      <calculatedColumnFormula>+Tabla5518107[[#This Row],[COSTO]]/Tabla5518107[[#This Row],[CARTA]]</calculatedColumnFormula>
    </tableColumn>
    <tableColumn id="16" xr3:uid="{769A1162-4A3D-4F57-B950-48176D4E21AB}" name="RATION" totalsRowFunction="sum" dataDxfId="7581" totalsRowDxfId="7580">
      <calculatedColumnFormula>+Tabla5518107[[#This Row],[PRECIO N]]/Tabla5518107[[#This Row],[COSTO]]</calculatedColumnFormula>
    </tableColumn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579417B6-80AF-4D57-AC98-0914FB446CF8}" name="Tabla5518110" displayName="Tabla5518110" ref="B50:R62" totalsRowCount="1" headerRowDxfId="7579" dataDxfId="7577" totalsRowDxfId="7575" headerRowBorderDxfId="7578" tableBorderDxfId="7576" totalsRowBorderDxfId="7574">
  <autoFilter ref="B50:R61" xr:uid="{125A4E76-307C-462A-B0D3-F98C4C5AD789}"/>
  <sortState xmlns:xlrd2="http://schemas.microsoft.com/office/spreadsheetml/2017/richdata2" ref="B51:R60">
    <sortCondition descending="1" ref="H51"/>
  </sortState>
  <tableColumns count="17">
    <tableColumn id="1" xr3:uid="{B5FE2647-0BD7-4D17-AB5E-CA0884EA9B91}" name="ENTRADAS" totalsRowLabel="Total" dataDxfId="7573" totalsRowDxfId="7572"/>
    <tableColumn id="17" xr3:uid="{5BEE40E1-4826-4865-BF40-2D4A12500C7D}" name="DESCRIPCION" dataDxfId="7571" totalsRowDxfId="7570"/>
    <tableColumn id="2" xr3:uid="{31E07F23-5010-4017-BCDB-1BFEA28BDFE3}" name="COSTO" dataDxfId="7569" totalsRowDxfId="7568" dataCellStyle="Moneda"/>
    <tableColumn id="3" xr3:uid="{C47D02C3-F8FF-4FBB-B212-6E9904207842}" name="VENTA" dataDxfId="7567" totalsRowDxfId="7566" dataCellStyle="Moneda"/>
    <tableColumn id="4" xr3:uid="{1DB9E162-CE47-4797-A9A4-9EF691B7E58F}" name="ICO 8%" dataDxfId="7565" totalsRowDxfId="7564" dataCellStyle="Moneda">
      <calculatedColumnFormula>+E51/1.08*0.08</calculatedColumnFormula>
    </tableColumn>
    <tableColumn id="5" xr3:uid="{8E3579B7-294F-4CB1-BEBB-B2053A148DFC}" name="BASE" dataDxfId="7563" totalsRowDxfId="7562">
      <calculatedColumnFormula>+Tabla5518110[[#This Row],[VENTA]]-Tabla5518110[[#This Row],[ICO 8%]]</calculatedColumnFormula>
    </tableColumn>
    <tableColumn id="6" xr3:uid="{42A97CD6-B643-4BA7-A85F-8A30FBD2DB5C}" name="%" totalsRowFunction="average" dataDxfId="7561" totalsRowDxfId="7560" dataCellStyle="Porcentaje">
      <calculatedColumnFormula>+Tabla5518110[[#This Row],[COSTO]]/Tabla5518110[[#This Row],[BASE]]</calculatedColumnFormula>
    </tableColumn>
    <tableColumn id="7" xr3:uid="{E4340FC4-B234-4155-B3F0-192480AE5D3E}" name="RENTABILIDAD" dataDxfId="7559" totalsRowDxfId="7558">
      <calculatedColumnFormula>+Tabla5518110[[#This Row],[BASE]]/Tabla5518110[[#This Row],[COSTO]]</calculatedColumnFormula>
    </tableColumn>
    <tableColumn id="8" xr3:uid="{20F908CA-FBD7-4419-A595-C5C2B7D56541}" name="ROTACION" dataDxfId="7557" totalsRowDxfId="7556">
      <calculatedColumnFormula>+VLOOKUP(Tabla5518110[[#This Row],[ENTRADAS]],Tabla77[#All],3,0)</calculatedColumnFormula>
    </tableColumn>
    <tableColumn id="9" xr3:uid="{3925238F-C494-4631-A65F-0DBB82C8C6D3}" name="PRECIO SUGERIDO" dataDxfId="7555" totalsRowDxfId="7554" dataCellStyle="Moneda">
      <calculatedColumnFormula>+D51/(100-70)*100</calculatedColumnFormula>
    </tableColumn>
    <tableColumn id="10" xr3:uid="{1BEEC456-13BD-42CB-AA85-36930A72C3B9}" name="ICO2" dataDxfId="7553" totalsRowDxfId="7552" dataCellStyle="Moneda">
      <calculatedColumnFormula>+K51/1.08*0.08</calculatedColumnFormula>
    </tableColumn>
    <tableColumn id="11" xr3:uid="{6E72B7D6-4146-4332-9C5C-5905DBFEBB78}" name="CARTA " dataDxfId="7551" totalsRowDxfId="7550">
      <calculatedColumnFormula>+Tabla5518110[[#This Row],[PRECIO SUGERIDO]]+Tabla5518110[[#This Row],[ICO2]]</calculatedColumnFormula>
    </tableColumn>
    <tableColumn id="12" xr3:uid="{4AE06B83-DCCF-4C3D-BBAC-BCF5F6448FD3}" name="PRECIO N" dataDxfId="7549" totalsRowDxfId="7548" dataCellStyle="Moneda"/>
    <tableColumn id="13" xr3:uid="{1BC48E3F-68D1-4D95-910F-2ADC43361363}" name="ICO 8%2" dataDxfId="7547" totalsRowDxfId="7546" dataCellStyle="Moneda">
      <calculatedColumnFormula>+N51/1.08*0.08</calculatedColumnFormula>
    </tableColumn>
    <tableColumn id="14" xr3:uid="{EBFC768B-B7CE-4C78-9125-51ADB88AAA24}" name="CARTA" dataDxfId="7545" totalsRowDxfId="7544" dataCellStyle="Moneda">
      <calculatedColumnFormula>+Tabla5518110[[#This Row],[PRECIO N]]-Tabla5518110[[#This Row],[ICO 8%2]]</calculatedColumnFormula>
    </tableColumn>
    <tableColumn id="15" xr3:uid="{963E0BC0-27FF-46EE-AA66-D89D3D937225}" name="% " dataDxfId="7543" totalsRowDxfId="7542" dataCellStyle="Porcentaje">
      <calculatedColumnFormula>+Tabla5518110[[#This Row],[COSTO]]/Tabla5518110[[#This Row],[CARTA]]</calculatedColumnFormula>
    </tableColumn>
    <tableColumn id="16" xr3:uid="{3E88FD34-6A11-44B3-A095-1A792036E97F}" name="RATION" totalsRowFunction="sum" dataDxfId="7541" totalsRowDxfId="7540">
      <calculatedColumnFormula>+Tabla5518110[[#This Row],[PRECIO N]]/Tabla5518110[[#This Row],[COSTO]]</calculatedColumnFormula>
    </tableColumn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C7903498-AAB6-44C6-8B33-3E458950CC0E}" name="Tabla5518110158" displayName="Tabla5518110158" ref="B97:R103" totalsRowCount="1" headerRowDxfId="7539" dataDxfId="7537" totalsRowDxfId="7535" headerRowBorderDxfId="7538" tableBorderDxfId="7536" totalsRowBorderDxfId="7534">
  <autoFilter ref="B97:R102" xr:uid="{1F7962DF-8B3C-4542-89A2-79C3C617F630}"/>
  <tableColumns count="17">
    <tableColumn id="1" xr3:uid="{EE225A06-211F-4F60-B943-A3E593328352}" name="PESCADOS Y MARISCOS" totalsRowLabel="Total" dataDxfId="7533" totalsRowDxfId="7532">
      <calculatedColumnFormula>+'PESCADOS Y MARISCOS'!B7</calculatedColumnFormula>
    </tableColumn>
    <tableColumn id="17" xr3:uid="{343D124E-DE8A-4B26-B606-10ED0F1287F6}" name="DESCRIPCION" dataDxfId="7531" totalsRowDxfId="7530"/>
    <tableColumn id="2" xr3:uid="{E42D514C-C70B-439C-80E7-0C9EBB1A7D7F}" name="COSTO" dataDxfId="7529" totalsRowDxfId="7528" dataCellStyle="Moneda">
      <calculatedColumnFormula>+'PESCADOS Y MARISCOS'!K10</calculatedColumnFormula>
    </tableColumn>
    <tableColumn id="3" xr3:uid="{2575C8A4-A08A-44E7-A336-108BA8BFF718}" name="VENTA" dataDxfId="7527" totalsRowDxfId="7526" dataCellStyle="Moneda">
      <calculatedColumnFormula>+'PESCADOS Y MARISCOS'!K11</calculatedColumnFormula>
    </tableColumn>
    <tableColumn id="4" xr3:uid="{07023ECC-9EE3-4305-8E79-3BD752C7ADA7}" name="ICO 8%" dataDxfId="7525" totalsRowDxfId="7524" dataCellStyle="Moneda">
      <calculatedColumnFormula>+E98/1.08*0.08</calculatedColumnFormula>
    </tableColumn>
    <tableColumn id="5" xr3:uid="{49D54CBA-3657-4735-A528-6D4C7FF8AD47}" name="BASE" dataDxfId="7523" totalsRowDxfId="7522">
      <calculatedColumnFormula>+Tabla5518110158[[#This Row],[VENTA]]-Tabla5518110158[[#This Row],[ICO 8%]]</calculatedColumnFormula>
    </tableColumn>
    <tableColumn id="6" xr3:uid="{EF883148-20A2-428E-ADBA-747B1CACBE82}" name="%" totalsRowFunction="average" dataDxfId="7521" totalsRowDxfId="7520" dataCellStyle="Porcentaje">
      <calculatedColumnFormula>+Tabla5518110158[[#This Row],[COSTO]]/Tabla5518110158[[#This Row],[BASE]]</calculatedColumnFormula>
    </tableColumn>
    <tableColumn id="7" xr3:uid="{521D9873-B1B4-4904-9029-37BEADF4B35A}" name="RENTABILIDAD" dataDxfId="7519" totalsRowDxfId="7518">
      <calculatedColumnFormula>+Tabla5518110158[[#This Row],[BASE]]/Tabla5518110158[[#This Row],[COSTO]]</calculatedColumnFormula>
    </tableColumn>
    <tableColumn id="8" xr3:uid="{B4560DF7-C811-42B9-9975-E3FC34A8CD3D}" name="ROTACION" dataDxfId="7517" totalsRowDxfId="7516">
      <calculatedColumnFormula>+VLOOKUP(Tabla5518110158[[#This Row],[PESCADOS Y MARISCOS]],Tabla77[#All],3,0)</calculatedColumnFormula>
    </tableColumn>
    <tableColumn id="9" xr3:uid="{FC64E809-BDD6-47BF-B6FD-6A20F998C812}" name="PRECIO SUGERIDO" dataDxfId="7515" totalsRowDxfId="7514" dataCellStyle="Moneda">
      <calculatedColumnFormula>+D98/(100-70)*100</calculatedColumnFormula>
    </tableColumn>
    <tableColumn id="10" xr3:uid="{CFC9D367-1477-418E-AA7E-1C93BBEDBD1C}" name="ICO2" dataDxfId="7513" totalsRowDxfId="7512" dataCellStyle="Moneda">
      <calculatedColumnFormula>+K98/1.08*0.08</calculatedColumnFormula>
    </tableColumn>
    <tableColumn id="11" xr3:uid="{4F2AB495-01EB-4C0E-A2FC-F05E124FE4A8}" name="CARTA " dataDxfId="7511" totalsRowDxfId="7510">
      <calculatedColumnFormula>+Tabla5518110158[[#This Row],[PRECIO SUGERIDO]]+Tabla5518110158[[#This Row],[ICO2]]</calculatedColumnFormula>
    </tableColumn>
    <tableColumn id="12" xr3:uid="{49A4AC4C-162B-4A17-BA43-6A0909373AE4}" name="PRECIO N" dataDxfId="7509" totalsRowDxfId="7508" dataCellStyle="Moneda"/>
    <tableColumn id="13" xr3:uid="{A7F6319F-0829-49F9-B262-9CEFC8E6B018}" name="ICO 8%2" dataDxfId="7507" totalsRowDxfId="7506" dataCellStyle="Moneda">
      <calculatedColumnFormula>+N98/1.08*0.08</calculatedColumnFormula>
    </tableColumn>
    <tableColumn id="14" xr3:uid="{FD5A3177-86E9-4C37-B2EF-E000E11B24AE}" name="CARTA" dataDxfId="7505" totalsRowDxfId="7504" dataCellStyle="Moneda">
      <calculatedColumnFormula>+Tabla5518110158[[#This Row],[PRECIO N]]-Tabla5518110158[[#This Row],[ICO 8%2]]</calculatedColumnFormula>
    </tableColumn>
    <tableColumn id="15" xr3:uid="{A515F302-F12A-4512-938D-58978B9C96C8}" name="% " dataDxfId="7503" totalsRowDxfId="7502" dataCellStyle="Porcentaje">
      <calculatedColumnFormula>+Tabla5518110158[[#This Row],[COSTO]]/Tabla5518110158[[#This Row],[CARTA]]</calculatedColumnFormula>
    </tableColumn>
    <tableColumn id="16" xr3:uid="{38BD4FE6-5AAA-4012-8F8B-5A41100F9508}" name="RATION" totalsRowFunction="sum" dataDxfId="7501" totalsRowDxfId="7500">
      <calculatedColumnFormula>+Tabla5518110158[[#This Row],[PRECIO N]]/Tabla5518110158[[#This Row],[COSTO]]</calculatedColumnFormula>
    </tableColumn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0" xr:uid="{7A5D9117-F1D3-4197-9581-46D08E969E6F}" name="Tabla551857211" displayName="Tabla551857211" ref="B65:R69" totalsRowCount="1" headerRowDxfId="7499" dataDxfId="7497" totalsRowDxfId="7495" headerRowBorderDxfId="7498" tableBorderDxfId="7496" totalsRowBorderDxfId="7494">
  <autoFilter ref="B65:R68" xr:uid="{D9357AF7-060C-440A-A683-9EC76F6E3761}"/>
  <tableColumns count="17">
    <tableColumn id="1" xr3:uid="{12A998B4-DD4B-4735-91CA-A0F375174C9A}" name="PARA COMPARTIR" totalsRowLabel="Total" dataDxfId="7493" totalsRowDxfId="7492"/>
    <tableColumn id="17" xr3:uid="{9A8A4B11-5946-4600-9E12-4746F45A141D}" name="DESCRIPCION" dataDxfId="7491" totalsRowDxfId="7490"/>
    <tableColumn id="2" xr3:uid="{70A68FBD-982B-49DD-8AD1-214FF1DABE69}" name="COSTO" dataDxfId="7489" totalsRowDxfId="7488" dataCellStyle="Moneda"/>
    <tableColumn id="3" xr3:uid="{B6041DFA-3FD3-47C3-878D-D7F4551BF3E6}" name="VENTA" dataDxfId="7487" totalsRowDxfId="7486" dataCellStyle="Moneda"/>
    <tableColumn id="4" xr3:uid="{00849035-266D-4D86-ABD6-0513E323E86C}" name="ICO 8%" dataDxfId="7485" totalsRowDxfId="7484" dataCellStyle="Moneda">
      <calculatedColumnFormula>+E66/1.08*0.08</calculatedColumnFormula>
    </tableColumn>
    <tableColumn id="5" xr3:uid="{C3BA582E-A202-4BD4-B6E8-54339FE58DA9}" name="BASE" dataDxfId="7483" totalsRowDxfId="7482">
      <calculatedColumnFormula>+Tabla551857211[[#This Row],[VENTA]]-Tabla551857211[[#This Row],[ICO 8%]]</calculatedColumnFormula>
    </tableColumn>
    <tableColumn id="6" xr3:uid="{B709E246-EF81-41AD-8DF6-587864F5C308}" name="%" totalsRowFunction="average" dataDxfId="7481" totalsRowDxfId="7480" dataCellStyle="Porcentaje">
      <calculatedColumnFormula>+Tabla551857211[[#This Row],[COSTO]]/Tabla551857211[[#This Row],[BASE]]</calculatedColumnFormula>
    </tableColumn>
    <tableColumn id="7" xr3:uid="{CF82B98A-9E17-44E8-99A5-87729434F78E}" name="RENTABILIDAD" dataDxfId="7479" totalsRowDxfId="7478">
      <calculatedColumnFormula>+Tabla551857211[[#This Row],[BASE]]/Tabla551857211[[#This Row],[COSTO]]</calculatedColumnFormula>
    </tableColumn>
    <tableColumn id="8" xr3:uid="{08EF3666-3055-47FA-896C-5912FF362F11}" name="ROTACION" dataDxfId="7477" totalsRowDxfId="7476">
      <calculatedColumnFormula>+VLOOKUP(Tabla551857211[[#This Row],[PARA COMPARTIR]],Tabla77[#All],3,0)</calculatedColumnFormula>
    </tableColumn>
    <tableColumn id="9" xr3:uid="{E4A10F34-420C-4ED7-AFC8-C745A7C628A3}" name="PRECIO SUGERIDO" dataDxfId="7475" totalsRowDxfId="7474" dataCellStyle="Moneda">
      <calculatedColumnFormula>+D66/(100-70)*100</calculatedColumnFormula>
    </tableColumn>
    <tableColumn id="10" xr3:uid="{02A23890-4C0D-43E6-B859-1D725C6215EB}" name="ICO2" dataDxfId="7473" totalsRowDxfId="7472" dataCellStyle="Moneda">
      <calculatedColumnFormula>+K66/1.08*0.08</calculatedColumnFormula>
    </tableColumn>
    <tableColumn id="11" xr3:uid="{B6312AF3-E896-4784-99EB-E9825B6CCED5}" name="CARTA " dataDxfId="7471" totalsRowDxfId="7470">
      <calculatedColumnFormula>+Tabla551857211[[#This Row],[PRECIO SUGERIDO]]+Tabla551857211[[#This Row],[ICO2]]</calculatedColumnFormula>
    </tableColumn>
    <tableColumn id="12" xr3:uid="{5C3C40A2-96F4-4107-AD3B-2EC08F6DD6D2}" name="PRECIO N" dataDxfId="7469" totalsRowDxfId="7468" dataCellStyle="Moneda"/>
    <tableColumn id="13" xr3:uid="{DEDB0450-1795-47BA-B467-B382D8A50F29}" name="ICO 8%2" dataDxfId="7467" totalsRowDxfId="7466" dataCellStyle="Moneda">
      <calculatedColumnFormula>+N66/1.08*0.08</calculatedColumnFormula>
    </tableColumn>
    <tableColumn id="14" xr3:uid="{33BEE89F-2EC3-4016-8BD1-F7CFF5722C84}" name="CARTA" dataDxfId="7465" totalsRowDxfId="7464" dataCellStyle="Moneda">
      <calculatedColumnFormula>+Tabla551857211[[#This Row],[PRECIO N]]-Tabla551857211[[#This Row],[ICO 8%2]]</calculatedColumnFormula>
    </tableColumn>
    <tableColumn id="15" xr3:uid="{8ABFB1C9-1A09-458C-A337-CF9E1C8D3975}" name="% " dataDxfId="7463" totalsRowDxfId="7462" dataCellStyle="Porcentaje">
      <calculatedColumnFormula>+Tabla551857211[[#This Row],[COSTO]]/Tabla551857211[[#This Row],[CARTA]]</calculatedColumnFormula>
    </tableColumn>
    <tableColumn id="16" xr3:uid="{8BFCB2D2-1C25-4B0A-9C5D-591EC98DD2A7}" name="RATION" totalsRowFunction="sum" dataDxfId="7461" totalsRowDxfId="7460">
      <calculatedColumnFormula>+Tabla551857211[[#This Row],[PRECIO N]]/Tabla551857211[[#This Row],[COSTO]]</calculatedColumnFormula>
    </tableColumn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19BBF10F-5373-40AA-B321-699C7CF3EE06}" name="Tabla551857178" displayName="Tabla551857178" ref="B74:R82" totalsRowCount="1" headerRowDxfId="7459" dataDxfId="7457" totalsRowDxfId="7455" headerRowBorderDxfId="7458" tableBorderDxfId="7456" totalsRowBorderDxfId="7454">
  <autoFilter ref="B74:R81" xr:uid="{EEE00529-C9EE-434D-98FA-A9438E6A9A4A}"/>
  <tableColumns count="17">
    <tableColumn id="1" xr3:uid="{1C1920E3-A015-42D6-ACB4-F3FA67A8D9F8}" name="CEVICHES" totalsRowLabel="Total" dataDxfId="7453" totalsRowDxfId="7452"/>
    <tableColumn id="17" xr3:uid="{AC9E2548-383F-4968-9A2D-7518F0EC9C08}" name="DESCRIPCION" dataDxfId="7451" totalsRowDxfId="7450"/>
    <tableColumn id="2" xr3:uid="{E608E039-B37A-400D-BA9D-FA9777A066F8}" name="COSTO" dataDxfId="7449" totalsRowDxfId="7448" dataCellStyle="Moneda"/>
    <tableColumn id="3" xr3:uid="{4697C90C-29B6-4236-A923-3958B8390941}" name="VENTA" dataDxfId="7447" totalsRowDxfId="7446" dataCellStyle="Moneda"/>
    <tableColumn id="4" xr3:uid="{64F01F95-4D56-4CA7-895D-3D3A20B0773F}" name="ICO 8%" dataDxfId="7445" totalsRowDxfId="7444" dataCellStyle="Moneda">
      <calculatedColumnFormula>+E75/1.08*0.08</calculatedColumnFormula>
    </tableColumn>
    <tableColumn id="5" xr3:uid="{01F73233-2D9C-4D1C-AE2F-728DB3F20FA5}" name="BASE" dataDxfId="7443" totalsRowDxfId="7442">
      <calculatedColumnFormula>+Tabla551857178[[#This Row],[VENTA]]-Tabla551857178[[#This Row],[ICO 8%]]</calculatedColumnFormula>
    </tableColumn>
    <tableColumn id="6" xr3:uid="{C8562759-C1C0-4655-8D0F-15325BE086F4}" name="%" totalsRowFunction="average" dataDxfId="7441" totalsRowDxfId="7440" dataCellStyle="Porcentaje">
      <calculatedColumnFormula>+Tabla551857178[[#This Row],[COSTO]]/Tabla551857178[[#This Row],[BASE]]</calculatedColumnFormula>
    </tableColumn>
    <tableColumn id="7" xr3:uid="{88312B25-871D-4A9E-9679-966B8926256A}" name="RENTABILIDAD" dataDxfId="7439" totalsRowDxfId="7438">
      <calculatedColumnFormula>+Tabla551857178[[#This Row],[BASE]]/Tabla551857178[[#This Row],[COSTO]]</calculatedColumnFormula>
    </tableColumn>
    <tableColumn id="8" xr3:uid="{DDF4A655-CDF3-4614-9728-8101A2D13643}" name="ROTACION" dataDxfId="7437" totalsRowDxfId="7436">
      <calculatedColumnFormula>+VLOOKUP(Tabla551857178[[#This Row],[CEVICHES]],Tabla77[#All],3,0)</calculatedColumnFormula>
    </tableColumn>
    <tableColumn id="9" xr3:uid="{63F6DA03-3340-4B7D-A78B-4A837C5193C8}" name="PRECIO SUGERIDO" dataDxfId="7435" totalsRowDxfId="7434" dataCellStyle="Moneda">
      <calculatedColumnFormula>+D75/(100-70)*100</calculatedColumnFormula>
    </tableColumn>
    <tableColumn id="10" xr3:uid="{AC88E4BC-0808-4ABD-8829-2F1414FFCF86}" name="ICO2" dataDxfId="7433" totalsRowDxfId="7432" dataCellStyle="Moneda">
      <calculatedColumnFormula>+K75/1.08*0.08</calculatedColumnFormula>
    </tableColumn>
    <tableColumn id="11" xr3:uid="{8C79A5C3-D02D-48A0-842D-743151735012}" name="CARTA " dataDxfId="7431" totalsRowDxfId="7430">
      <calculatedColumnFormula>+Tabla551857178[[#This Row],[PRECIO SUGERIDO]]+Tabla551857178[[#This Row],[ICO2]]</calculatedColumnFormula>
    </tableColumn>
    <tableColumn id="12" xr3:uid="{B3B78AFE-3E28-47B3-9E1F-EAF3D38A6480}" name="PRECIO N" dataDxfId="7429" totalsRowDxfId="7428" dataCellStyle="Moneda"/>
    <tableColumn id="13" xr3:uid="{632D70F8-A7DA-4D17-8851-8018A5CCCDE8}" name="ICO 8%2" dataDxfId="7427" totalsRowDxfId="7426" dataCellStyle="Moneda">
      <calculatedColumnFormula>+N75/1.08*0.08</calculatedColumnFormula>
    </tableColumn>
    <tableColumn id="14" xr3:uid="{30846A9B-31EC-4246-8C03-AE50E124FCF2}" name="CARTA" dataDxfId="7425" totalsRowDxfId="7424" dataCellStyle="Moneda">
      <calculatedColumnFormula>+Tabla551857178[[#This Row],[PRECIO N]]-Tabla551857178[[#This Row],[ICO 8%2]]</calculatedColumnFormula>
    </tableColumn>
    <tableColumn id="15" xr3:uid="{3F7A18ED-DE2E-4495-B24F-DD352201F4EA}" name="% " dataDxfId="7423" totalsRowDxfId="7422" dataCellStyle="Porcentaje">
      <calculatedColumnFormula>+Tabla551857178[[#This Row],[COSTO]]/Tabla551857178[[#This Row],[CARTA]]</calculatedColumnFormula>
    </tableColumn>
    <tableColumn id="16" xr3:uid="{5EBE1FB9-A35A-41DD-BC44-27E0A31FBA47}" name="RATION" totalsRowFunction="sum" dataDxfId="7421" totalsRowDxfId="7420">
      <calculatedColumnFormula>+Tabla551857178[[#This Row],[PRECIO N]]/Tabla551857178[[#This Row],[COSTO]]</calculatedColumnFormula>
    </tableColumn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F3AED006-2823-4238-8600-A6B2B9BCA8E7}" name="Tabla5518100179" displayName="Tabla5518100179" ref="B87:R93" totalsRowCount="1" headerRowDxfId="7419" dataDxfId="7417" totalsRowDxfId="7415" headerRowBorderDxfId="7418" tableBorderDxfId="7416" totalsRowBorderDxfId="7414">
  <autoFilter ref="B87:R92" xr:uid="{82450190-0D05-49A5-8409-9436FA9AEAE1}"/>
  <tableColumns count="17">
    <tableColumn id="1" xr3:uid="{6EC1AFCC-20C3-45EC-BFA8-17AB46D9FBDF}" name="CAUSAS" totalsRowLabel="Total" dataDxfId="7413" totalsRowDxfId="7412"/>
    <tableColumn id="17" xr3:uid="{58ABE058-98DD-4620-BD6A-922FACC38DC1}" name="DESCRIPCION" dataDxfId="7411" totalsRowDxfId="7410"/>
    <tableColumn id="2" xr3:uid="{39FF225A-9842-42EC-AC05-DE4C3FF33B60}" name="COSTO" dataDxfId="7409" totalsRowDxfId="7408" dataCellStyle="Moneda"/>
    <tableColumn id="3" xr3:uid="{871FECE1-0036-450E-8A44-F2CCC3218F48}" name="VENTA" dataDxfId="7407" totalsRowDxfId="7406" dataCellStyle="Moneda"/>
    <tableColumn id="4" xr3:uid="{8A5B7435-F0CC-42C7-86ED-37F79CC014CE}" name="ICO 8%" dataDxfId="7405" totalsRowDxfId="7404" dataCellStyle="Moneda">
      <calculatedColumnFormula>+E88/1.08*0.08</calculatedColumnFormula>
    </tableColumn>
    <tableColumn id="5" xr3:uid="{342E6858-1231-4B38-A99D-71505D7D5ED7}" name="BASE" dataDxfId="7403" totalsRowDxfId="7402">
      <calculatedColumnFormula>+Tabla5518100179[[#This Row],[VENTA]]-Tabla5518100179[[#This Row],[ICO 8%]]</calculatedColumnFormula>
    </tableColumn>
    <tableColumn id="6" xr3:uid="{DC171AB2-C94F-4384-BEAF-2C4C2A52B34E}" name="%" totalsRowFunction="average" dataDxfId="7401" totalsRowDxfId="7400" dataCellStyle="Porcentaje">
      <calculatedColumnFormula>+Tabla5518100179[[#This Row],[COSTO]]/Tabla5518100179[[#This Row],[BASE]]</calculatedColumnFormula>
    </tableColumn>
    <tableColumn id="7" xr3:uid="{CA5EAC1D-AB70-45D5-B0EA-E48CB1FCB4A3}" name="RENTABILIDAD" dataDxfId="7399" totalsRowDxfId="7398">
      <calculatedColumnFormula>+Tabla5518100179[[#This Row],[BASE]]/Tabla5518100179[[#This Row],[COSTO]]</calculatedColumnFormula>
    </tableColumn>
    <tableColumn id="8" xr3:uid="{7A98B752-1684-4A55-8296-290F243BC194}" name="ROTACION" dataDxfId="7397" totalsRowDxfId="7396">
      <calculatedColumnFormula>+VLOOKUP(Tabla5518100179[[#This Row],[CAUSAS]],Tabla77[#All],3,0)</calculatedColumnFormula>
    </tableColumn>
    <tableColumn id="9" xr3:uid="{CF93FD74-145E-4205-9ECA-76307D10D5CB}" name="PRECIO SUGERIDO" dataDxfId="7395" totalsRowDxfId="7394" dataCellStyle="Moneda">
      <calculatedColumnFormula>+D88/(100-70)*100</calculatedColumnFormula>
    </tableColumn>
    <tableColumn id="10" xr3:uid="{1948DBF5-6216-4C64-B9E8-5957AEB974C2}" name="ICO2" dataDxfId="7393" totalsRowDxfId="7392" dataCellStyle="Moneda">
      <calculatedColumnFormula>+K88/1.08*0.08</calculatedColumnFormula>
    </tableColumn>
    <tableColumn id="11" xr3:uid="{85C57E93-9A0B-438D-8BE2-920754338125}" name="CARTA " dataDxfId="7391" totalsRowDxfId="7390">
      <calculatedColumnFormula>+Tabla5518100179[[#This Row],[PRECIO SUGERIDO]]+Tabla5518100179[[#This Row],[ICO2]]</calculatedColumnFormula>
    </tableColumn>
    <tableColumn id="12" xr3:uid="{4BD31ECF-683E-4EE1-BA0B-0286FA3485FA}" name="PRECIO N" dataDxfId="7389" totalsRowDxfId="7388" dataCellStyle="Moneda"/>
    <tableColumn id="13" xr3:uid="{B03FE7E3-0700-41A0-8F0C-D75F15933220}" name="ICO 8%2" dataDxfId="7387" totalsRowDxfId="7386" dataCellStyle="Moneda">
      <calculatedColumnFormula>+N88/1.08*0.08</calculatedColumnFormula>
    </tableColumn>
    <tableColumn id="14" xr3:uid="{CBB3C83E-161B-4F04-A3AF-4F1C7C58A58D}" name="CARTA" dataDxfId="7385" totalsRowDxfId="7384" dataCellStyle="Moneda">
      <calculatedColumnFormula>+Tabla5518100179[[#This Row],[PRECIO N]]-Tabla5518100179[[#This Row],[ICO 8%2]]</calculatedColumnFormula>
    </tableColumn>
    <tableColumn id="15" xr3:uid="{DB9E2195-E5AE-4C1D-98E8-47A37F9D864D}" name="% " dataDxfId="7383" totalsRowDxfId="7382" dataCellStyle="Porcentaje">
      <calculatedColumnFormula>+Tabla5518100179[[#This Row],[COSTO]]/Tabla5518100179[[#This Row],[CARTA]]</calculatedColumnFormula>
    </tableColumn>
    <tableColumn id="16" xr3:uid="{97AFDC18-AD3A-47C8-8A7B-6AA816B200E7}" name="RATION" totalsRowFunction="sum" dataDxfId="7381" totalsRowDxfId="7380">
      <calculatedColumnFormula>+Tabla5518100179[[#This Row],[PRECIO N]]/Tabla5518100179[[#This Row],[COSTO]]</calculatedColumnFormula>
    </tableColumn>
  </tableColumns>
  <tableStyleInfo name="TableStyleLight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2" xr:uid="{2A31C1ED-897C-4660-8FAE-9C2119BBA670}" name="Tabla5518107213" displayName="Tabla5518107213" ref="B165:R182" totalsRowCount="1" headerRowDxfId="7379" dataDxfId="7378" totalsRowDxfId="7377">
  <autoFilter ref="B165:R181" xr:uid="{F0BA9B2C-3606-4D50-8904-167612A56DBF}"/>
  <tableColumns count="17">
    <tableColumn id="1" xr3:uid="{873BBD9C-8B34-468A-900E-2A856E4A5D84}" name="COCTELES DE LA CASA" totalsRowLabel="Total" dataDxfId="7376" totalsRowDxfId="7375"/>
    <tableColumn id="17" xr3:uid="{F1F52AF1-D377-43AC-A27C-D7F2C5BC291C}" name="DESCRIPCION" dataDxfId="7374" totalsRowDxfId="7373"/>
    <tableColumn id="2" xr3:uid="{95F48294-DA45-4A6D-9BEA-B60880D5272D}" name="COSTO" dataDxfId="7372" totalsRowDxfId="7371" dataCellStyle="Moneda"/>
    <tableColumn id="3" xr3:uid="{864C27EC-A33F-4CFA-8772-4A539C00A3CC}" name="VENTA" dataDxfId="7370" totalsRowDxfId="7369" dataCellStyle="Moneda"/>
    <tableColumn id="4" xr3:uid="{36ADEC44-0D70-4FEF-AF51-AD443CF94815}" name="ICO 8%" dataDxfId="7368" totalsRowDxfId="7367" dataCellStyle="Moneda">
      <calculatedColumnFormula>+E166/1.08*0.08</calculatedColumnFormula>
    </tableColumn>
    <tableColumn id="5" xr3:uid="{C16B1CD1-BA32-4271-BB23-146D36092FC6}" name="BASE" dataDxfId="7366" totalsRowDxfId="7365">
      <calculatedColumnFormula>+Tabla5518107213[[#This Row],[VENTA]]-Tabla5518107213[[#This Row],[ICO 8%]]</calculatedColumnFormula>
    </tableColumn>
    <tableColumn id="6" xr3:uid="{74FBDD09-1BDE-41DC-95B9-C065AC00D76B}" name="%" totalsRowFunction="average" dataDxfId="7364" totalsRowDxfId="7363" dataCellStyle="Porcentaje">
      <calculatedColumnFormula>+Tabla5518107213[[#This Row],[COSTO]]/Tabla5518107213[[#This Row],[BASE]]</calculatedColumnFormula>
    </tableColumn>
    <tableColumn id="7" xr3:uid="{D0D1C915-4904-47A6-8DB6-14BF3FF81BFA}" name="RENTABILIDAD" dataDxfId="7362" totalsRowDxfId="7361">
      <calculatedColumnFormula>+Tabla5518107213[[#This Row],[BASE]]/Tabla5518107213[[#This Row],[COSTO]]</calculatedColumnFormula>
    </tableColumn>
    <tableColumn id="8" xr3:uid="{AE0CF1FB-26DF-4949-AD8A-E90091DCB798}" name="ROTACION" dataDxfId="7360" totalsRowDxfId="7359">
      <calculatedColumnFormula>+VLOOKUP(Tabla5518107213[[#This Row],[COCTELES DE LA CASA]],Tabla77[#All],3,0)</calculatedColumnFormula>
    </tableColumn>
    <tableColumn id="9" xr3:uid="{F7FC126B-9B14-4529-905D-6758C85BA09E}" name="PRECIO SUGERIDO" dataDxfId="7358" totalsRowDxfId="7357" dataCellStyle="Moneda">
      <calculatedColumnFormula>+D166/(100-70)*100</calculatedColumnFormula>
    </tableColumn>
    <tableColumn id="10" xr3:uid="{FEEC96C0-4680-48AF-9CFE-EDFE74045950}" name="ICO2" dataDxfId="7356" totalsRowDxfId="7355" dataCellStyle="Moneda">
      <calculatedColumnFormula>+K166/1.08*0.08</calculatedColumnFormula>
    </tableColumn>
    <tableColumn id="11" xr3:uid="{5EBBF458-7DC0-479E-9C7C-CCCC081B1620}" name="CARTA " dataDxfId="7354" totalsRowDxfId="7353">
      <calculatedColumnFormula>+Tabla5518107213[[#This Row],[PRECIO SUGERIDO]]+Tabla5518107213[[#This Row],[ICO2]]</calculatedColumnFormula>
    </tableColumn>
    <tableColumn id="12" xr3:uid="{F8018F93-6AE6-4801-B1A3-C6011701CAFF}" name="PRECIO N" dataDxfId="7352" totalsRowDxfId="7351" dataCellStyle="Moneda"/>
    <tableColumn id="13" xr3:uid="{785ED4EB-24C4-47B7-B16A-8176F372B87D}" name="ICO 8%2" dataDxfId="7350" totalsRowDxfId="7349" dataCellStyle="Moneda">
      <calculatedColumnFormula>+N166/1.08*0.08</calculatedColumnFormula>
    </tableColumn>
    <tableColumn id="14" xr3:uid="{1DE9E056-BFF0-4632-8EF6-506D11E5A67C}" name="CARTA" dataDxfId="7348" totalsRowDxfId="7347" dataCellStyle="Moneda">
      <calculatedColumnFormula>+Tabla5518107213[[#This Row],[PRECIO N]]-Tabla5518107213[[#This Row],[ICO 8%2]]</calculatedColumnFormula>
    </tableColumn>
    <tableColumn id="15" xr3:uid="{6F1C4DDE-63FD-4B59-B3A6-F5BFA9F592FA}" name="% " dataDxfId="7346" totalsRowDxfId="7345" dataCellStyle="Porcentaje">
      <calculatedColumnFormula>+Tabla5518107213[[#This Row],[COSTO]]/Tabla5518107213[[#This Row],[CARTA]]</calculatedColumnFormula>
    </tableColumn>
    <tableColumn id="16" xr3:uid="{0DA6A0CF-6DE9-49E9-B1C3-1E215C79B533}" name="RATION" totalsRowFunction="sum" dataDxfId="7344" totalsRowDxfId="7343">
      <calculatedColumnFormula>+Tabla5518107213[[#This Row],[PRECIO N]]/Tabla5518107213[[#This Row],[COSTO]]</calculatedColumnFormula>
    </tableColumn>
  </tableColumns>
  <tableStyleInfo name="TableStyleLight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4" xr:uid="{ADD6B400-14B6-4301-B2E8-A77B4C84292F}" name="Tabla5518107215" displayName="Tabla5518107215" ref="B187:R205" totalsRowCount="1" headerRowDxfId="7342" dataDxfId="7341" totalsRowDxfId="7340">
  <autoFilter ref="B187:R204" xr:uid="{D6E8B248-21E3-42B2-8B76-C7D3CB399DA7}"/>
  <tableColumns count="17">
    <tableColumn id="1" xr3:uid="{0DC98661-542A-4722-A199-3B59B9FF8646}" name="COCTELES" totalsRowLabel="Total" dataDxfId="7339" totalsRowDxfId="7338"/>
    <tableColumn id="17" xr3:uid="{9E003315-F592-4F84-A9CA-EF657DA2D84C}" name="DESCRIPCION" dataDxfId="7337" totalsRowDxfId="7336"/>
    <tableColumn id="2" xr3:uid="{449E27E4-C9A8-4E81-8662-3218CDFCBF42}" name="COSTO" dataDxfId="7335" totalsRowDxfId="7334" dataCellStyle="Moneda"/>
    <tableColumn id="3" xr3:uid="{A48D5459-5EDD-4E2A-AD5D-97C1FB7E59CA}" name="VENTA" dataDxfId="7333" totalsRowDxfId="7332" dataCellStyle="Moneda"/>
    <tableColumn id="4" xr3:uid="{7190BDBC-85F9-46BA-887E-F7982F0BB7B9}" name="ICO 8%" dataDxfId="7331" totalsRowDxfId="7330" dataCellStyle="Moneda">
      <calculatedColumnFormula>+E188/1.08*0.08</calculatedColumnFormula>
    </tableColumn>
    <tableColumn id="5" xr3:uid="{08FB0B60-EAB4-4F5B-8FC3-CED5C03EA1E0}" name="BASE" dataDxfId="7329" totalsRowDxfId="7328">
      <calculatedColumnFormula>+Tabla5518107215[[#This Row],[VENTA]]-Tabla5518107215[[#This Row],[ICO 8%]]</calculatedColumnFormula>
    </tableColumn>
    <tableColumn id="6" xr3:uid="{2517A43A-3750-44BE-9AC2-CC3090D6E05E}" name="%" totalsRowFunction="average" dataDxfId="7327" totalsRowDxfId="7326" dataCellStyle="Porcentaje">
      <calculatedColumnFormula>+Tabla5518107215[[#This Row],[COSTO]]/Tabla5518107215[[#This Row],[BASE]]</calculatedColumnFormula>
    </tableColumn>
    <tableColumn id="7" xr3:uid="{05A95122-1C0A-4952-A476-69454D7DE7D4}" name="RENTABILIDAD" dataDxfId="7325" totalsRowDxfId="7324">
      <calculatedColumnFormula>+Tabla5518107215[[#This Row],[BASE]]/Tabla5518107215[[#This Row],[COSTO]]</calculatedColumnFormula>
    </tableColumn>
    <tableColumn id="8" xr3:uid="{64AF3071-405D-4E17-BC4E-9809E280DAD5}" name="ROTACION" dataDxfId="7323" totalsRowDxfId="7322">
      <calculatedColumnFormula>+VLOOKUP(Tabla5518107215[[#This Row],[COCTELES]],Tabla77[#All],3,0)</calculatedColumnFormula>
    </tableColumn>
    <tableColumn id="9" xr3:uid="{0AB045C3-9E65-406F-A2D0-3F0CEAB40ADF}" name="PRECIO SUGERIDO" dataDxfId="7321" totalsRowDxfId="7320" dataCellStyle="Moneda">
      <calculatedColumnFormula>+D188/(100-70)*100</calculatedColumnFormula>
    </tableColumn>
    <tableColumn id="10" xr3:uid="{C98B76F8-4C85-4DFA-9E89-D29815FAA0ED}" name="ICO2" dataDxfId="7319" totalsRowDxfId="7318" dataCellStyle="Moneda">
      <calculatedColumnFormula>+K188/1.08*0.08</calculatedColumnFormula>
    </tableColumn>
    <tableColumn id="11" xr3:uid="{70789257-C86D-4A02-A2ED-AD45A6EB9E62}" name="CARTA " dataDxfId="7317" totalsRowDxfId="7316">
      <calculatedColumnFormula>+Tabla5518107215[[#This Row],[PRECIO SUGERIDO]]+Tabla5518107215[[#This Row],[ICO2]]</calculatedColumnFormula>
    </tableColumn>
    <tableColumn id="12" xr3:uid="{09B1E524-1DB2-4B3F-8414-1D68A64F8B86}" name="PRECIO N" dataDxfId="7315" totalsRowDxfId="7314" dataCellStyle="Moneda"/>
    <tableColumn id="13" xr3:uid="{A689105B-399E-4BE1-87C8-F0041B441B1C}" name="ICO 8%2" dataDxfId="7313" totalsRowDxfId="7312" dataCellStyle="Moneda">
      <calculatedColumnFormula>+N188/1.08*0.08</calculatedColumnFormula>
    </tableColumn>
    <tableColumn id="14" xr3:uid="{36893E22-7B60-4E76-8739-0C2839A74358}" name="CARTA" dataDxfId="7311" totalsRowDxfId="7310" dataCellStyle="Moneda">
      <calculatedColumnFormula>+Tabla5518107215[[#This Row],[PRECIO N]]-Tabla5518107215[[#This Row],[ICO 8%2]]</calculatedColumnFormula>
    </tableColumn>
    <tableColumn id="15" xr3:uid="{4CAE7560-E491-48AE-9E1F-30E8F8A31408}" name="% " dataDxfId="7309" totalsRowDxfId="7308" dataCellStyle="Porcentaje">
      <calculatedColumnFormula>+Tabla5518107215[[#This Row],[COSTO]]/Tabla5518107215[[#This Row],[CARTA]]</calculatedColumnFormula>
    </tableColumn>
    <tableColumn id="16" xr3:uid="{4F58EAB8-2019-4DF1-AFBE-F49306E83BF1}" name="RATION" totalsRowFunction="sum" dataDxfId="7307" totalsRowDxfId="7306">
      <calculatedColumnFormula>+Tabla5518107215[[#This Row],[PRECIO N]]/Tabla5518107215[[#This Row],[COSTO]]</calculatedColumnFormula>
    </tableColumn>
  </tableColumns>
  <tableStyleInfo name="TableStyleLight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3" xr:uid="{25BA66A2-44E9-43BF-9F42-A985CC4E5051}" name="Tabla5518107234" displayName="Tabla5518107234" ref="B208:R214" totalsRowCount="1" headerRowDxfId="7305" dataDxfId="7304" totalsRowDxfId="7303">
  <autoFilter ref="B208:R213" xr:uid="{89421B38-01E9-447C-9A83-5444568A6193}"/>
  <tableColumns count="17">
    <tableColumn id="1" xr3:uid="{49A085DE-5205-4086-A8D4-A6EDFD4168A2}" name="GIN &amp; TONICS" totalsRowLabel="Total" dataDxfId="7302" totalsRowDxfId="7301"/>
    <tableColumn id="17" xr3:uid="{B88A7051-B00F-4A54-BBBC-A75EEF569636}" name="DESCRIPCION" dataDxfId="7300" totalsRowDxfId="7299"/>
    <tableColumn id="2" xr3:uid="{524968C8-60D3-4F2B-8695-06F098C8B703}" name="COSTO" dataDxfId="7298" totalsRowDxfId="7297" dataCellStyle="Moneda"/>
    <tableColumn id="3" xr3:uid="{E1EC4618-CB41-4CF0-AE28-0C02FB4E584B}" name="VENTA" dataDxfId="7296" totalsRowDxfId="7295" dataCellStyle="Moneda"/>
    <tableColumn id="4" xr3:uid="{4833FB4E-17AE-452F-9458-9DC56BD9DB42}" name="ICO 8%" dataDxfId="7294" totalsRowDxfId="7293" dataCellStyle="Moneda">
      <calculatedColumnFormula>+E209/1.08*0.08</calculatedColumnFormula>
    </tableColumn>
    <tableColumn id="5" xr3:uid="{C4E9EA51-8CD0-43CE-BF0B-C4E440A13AC6}" name="BASE" dataDxfId="7292" totalsRowDxfId="7291">
      <calculatedColumnFormula>+Tabla5518107234[[#This Row],[VENTA]]-Tabla5518107234[[#This Row],[ICO 8%]]</calculatedColumnFormula>
    </tableColumn>
    <tableColumn id="6" xr3:uid="{654D1208-327D-4CC6-90A2-12A2E79B8BC4}" name="%" totalsRowFunction="average" dataDxfId="7290" totalsRowDxfId="7289" dataCellStyle="Porcentaje">
      <calculatedColumnFormula>+Tabla5518107234[[#This Row],[COSTO]]/Tabla5518107234[[#This Row],[BASE]]</calculatedColumnFormula>
    </tableColumn>
    <tableColumn id="7" xr3:uid="{74B0CB10-CE1B-457B-B065-4E427174CEC3}" name="RENTABILIDAD" dataDxfId="7288" totalsRowDxfId="7287">
      <calculatedColumnFormula>+Tabla5518107234[[#This Row],[BASE]]/Tabla5518107234[[#This Row],[COSTO]]</calculatedColumnFormula>
    </tableColumn>
    <tableColumn id="8" xr3:uid="{CCF118B8-6CA3-41B3-9267-745998B0BE0B}" name="ROTACION" dataDxfId="7286" totalsRowDxfId="7285">
      <calculatedColumnFormula>+VLOOKUP(Tabla5518107234[[#This Row],[GIN &amp; TONICS]],Tabla77[#All],3,0)</calculatedColumnFormula>
    </tableColumn>
    <tableColumn id="9" xr3:uid="{0B186CBF-6C04-4E63-8E22-2B61EC754AA4}" name="PRECIO SUGERIDO" dataDxfId="7284" totalsRowDxfId="7283" dataCellStyle="Moneda">
      <calculatedColumnFormula>+D209/(100-70)*100</calculatedColumnFormula>
    </tableColumn>
    <tableColumn id="10" xr3:uid="{175E72AB-BEBE-426A-BF5F-464D419BF01D}" name="ICO2" dataDxfId="7282" totalsRowDxfId="7281" dataCellStyle="Moneda">
      <calculatedColumnFormula>+K209/1.08*0.08</calculatedColumnFormula>
    </tableColumn>
    <tableColumn id="11" xr3:uid="{CFAAD09D-357F-4862-858A-3A44446A335D}" name="CARTA " dataDxfId="7280" totalsRowDxfId="7279">
      <calculatedColumnFormula>+Tabla5518107234[[#This Row],[PRECIO SUGERIDO]]+Tabla5518107234[[#This Row],[ICO2]]</calculatedColumnFormula>
    </tableColumn>
    <tableColumn id="12" xr3:uid="{A7A185FF-D8AE-4257-8EA8-E73B2993B5F1}" name="PRECIO N" dataDxfId="7278" totalsRowDxfId="7277" dataCellStyle="Moneda"/>
    <tableColumn id="13" xr3:uid="{3FE420E3-DF67-4D96-BD9D-17A379DAB8C6}" name="ICO 8%2" dataDxfId="7276" totalsRowDxfId="7275" dataCellStyle="Moneda">
      <calculatedColumnFormula>+N209/1.08*0.08</calculatedColumnFormula>
    </tableColumn>
    <tableColumn id="14" xr3:uid="{DAFA203D-F5A1-435D-A3E8-C8DBA8ACBE35}" name="CARTA" dataDxfId="7274" totalsRowDxfId="7273" dataCellStyle="Moneda">
      <calculatedColumnFormula>+Tabla5518107234[[#This Row],[PRECIO N]]-Tabla5518107234[[#This Row],[ICO 8%2]]</calculatedColumnFormula>
    </tableColumn>
    <tableColumn id="15" xr3:uid="{E0467413-5CDA-4BA6-A601-A059A906B3DC}" name="% " dataDxfId="7272" totalsRowDxfId="7271" dataCellStyle="Porcentaje">
      <calculatedColumnFormula>+Tabla5518107234[[#This Row],[COSTO]]/Tabla5518107234[[#This Row],[CARTA]]</calculatedColumnFormula>
    </tableColumn>
    <tableColumn id="16" xr3:uid="{613920AD-F90F-4744-9603-20DBE5228334}" name="RATION" totalsRowFunction="sum" dataDxfId="7270" totalsRowDxfId="7269">
      <calculatedColumnFormula>+Tabla5518107234[[#This Row],[PRECIO N]]/Tabla5518107234[[#This Row],[COSTO]]</calculatedColumnFormula>
    </tableColumn>
  </tableColumns>
  <tableStyleInfo name="TableStyleLight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4" xr:uid="{479B584D-6D58-4B1A-B765-D9D509EFA378}" name="Tabla5518107235" displayName="Tabla5518107235" ref="B218:R227" totalsRowCount="1" headerRowDxfId="7268" dataDxfId="7267" totalsRowDxfId="7266">
  <autoFilter ref="B218:R226" xr:uid="{E6B7AEDF-9209-4DD8-842D-FC306A663C7D}"/>
  <tableColumns count="17">
    <tableColumn id="1" xr3:uid="{D9524741-3401-4F3F-911C-1AEA90F698F8}" name="CERVEZAS" totalsRowLabel="Total" dataDxfId="7265" totalsRowDxfId="7264"/>
    <tableColumn id="17" xr3:uid="{1309F77C-39B7-489C-AC6D-FDE9278217E4}" name="DESCRIPCION" dataDxfId="7263" totalsRowDxfId="7262"/>
    <tableColumn id="2" xr3:uid="{4D46BA00-01D3-4866-A1C6-7264CDE811A5}" name="COSTO" dataDxfId="7261" totalsRowDxfId="7260" dataCellStyle="Moneda"/>
    <tableColumn id="3" xr3:uid="{37BC16E8-C29A-4949-9749-F4289A77B3DE}" name="VENTA" dataDxfId="7259" totalsRowDxfId="7258" dataCellStyle="Moneda"/>
    <tableColumn id="4" xr3:uid="{227E5DC2-30C8-487D-B438-5C414E432752}" name="ICO 8%" dataDxfId="7257" totalsRowDxfId="7256" dataCellStyle="Moneda">
      <calculatedColumnFormula>+E219/1.08*0.08</calculatedColumnFormula>
    </tableColumn>
    <tableColumn id="5" xr3:uid="{912FE89B-EF3B-4FA4-8BCF-52F77DCC438C}" name="BASE" dataDxfId="7255" totalsRowDxfId="7254">
      <calculatedColumnFormula>+Tabla5518107235[[#This Row],[VENTA]]-Tabla5518107235[[#This Row],[ICO 8%]]</calculatedColumnFormula>
    </tableColumn>
    <tableColumn id="6" xr3:uid="{DE7DFFB9-1C51-4A29-AA47-13A131B20EF1}" name="%" totalsRowFunction="average" dataDxfId="7253" totalsRowDxfId="7252" dataCellStyle="Porcentaje">
      <calculatedColumnFormula>+Tabla5518107235[[#This Row],[COSTO]]/Tabla5518107235[[#This Row],[BASE]]</calculatedColumnFormula>
    </tableColumn>
    <tableColumn id="7" xr3:uid="{8B4263D7-8E9E-4CFF-BCD7-3935BB6BA374}" name="RENTABILIDAD" dataDxfId="7251" totalsRowDxfId="7250">
      <calculatedColumnFormula>+Tabla5518107235[[#This Row],[BASE]]/Tabla5518107235[[#This Row],[COSTO]]</calculatedColumnFormula>
    </tableColumn>
    <tableColumn id="8" xr3:uid="{A7CBBE97-29FF-47E1-A42B-74EEC12D190B}" name="ROTACION" dataDxfId="7249" totalsRowDxfId="7248">
      <calculatedColumnFormula>+VLOOKUP(Tabla5518107235[[#This Row],[CERVEZAS]],Tabla77[#All],3,0)</calculatedColumnFormula>
    </tableColumn>
    <tableColumn id="9" xr3:uid="{B67E6B25-87D2-4B74-B034-F5162ADF7BBE}" name="PRECIO SUGERIDO" dataDxfId="7247" totalsRowDxfId="7246" dataCellStyle="Moneda">
      <calculatedColumnFormula>+D219/(100-70)*100</calculatedColumnFormula>
    </tableColumn>
    <tableColumn id="10" xr3:uid="{7E3847D0-BC8B-413D-B7CF-DE3E4EC110F8}" name="ICO2" dataDxfId="7245" totalsRowDxfId="7244" dataCellStyle="Moneda">
      <calculatedColumnFormula>+K219/1.08*0.08</calculatedColumnFormula>
    </tableColumn>
    <tableColumn id="11" xr3:uid="{508BAA67-8165-446C-9A19-F2DB84D91733}" name="CARTA " dataDxfId="7243" totalsRowDxfId="7242">
      <calculatedColumnFormula>+Tabla5518107235[[#This Row],[PRECIO SUGERIDO]]+Tabla5518107235[[#This Row],[ICO2]]</calculatedColumnFormula>
    </tableColumn>
    <tableColumn id="12" xr3:uid="{08EF7FF6-9D75-4BF6-8600-026EF8EB6382}" name="PRECIO N" dataDxfId="7241" totalsRowDxfId="7240" dataCellStyle="Moneda">
      <calculatedColumnFormula>+Tabla5518107235[[#This Row],[VENTA]]</calculatedColumnFormula>
    </tableColumn>
    <tableColumn id="13" xr3:uid="{2AA6ECBE-81FF-4A53-8097-E14041E63FB7}" name="ICO 8%2" dataDxfId="7239" totalsRowDxfId="7238" dataCellStyle="Moneda">
      <calculatedColumnFormula>+N219/1.08*0.08</calculatedColumnFormula>
    </tableColumn>
    <tableColumn id="14" xr3:uid="{A55362C8-8883-4CA3-87F3-40383FCCA5B3}" name="CARTA" dataDxfId="7237" totalsRowDxfId="7236" dataCellStyle="Moneda">
      <calculatedColumnFormula>+Tabla5518107235[[#This Row],[PRECIO N]]-Tabla5518107235[[#This Row],[ICO 8%2]]</calculatedColumnFormula>
    </tableColumn>
    <tableColumn id="15" xr3:uid="{2D7531CD-DDD2-4BBD-933B-CF76D78D097B}" name="% " dataDxfId="7235" totalsRowDxfId="7234" dataCellStyle="Porcentaje">
      <calculatedColumnFormula>+Tabla5518107235[[#This Row],[COSTO]]/Tabla5518107235[[#This Row],[CARTA]]</calculatedColumnFormula>
    </tableColumn>
    <tableColumn id="16" xr3:uid="{D1587510-C396-4C38-BCC3-2DF5FA3DC8A4}" name="RATION" totalsRowFunction="sum" dataDxfId="7233" totalsRowDxfId="7232">
      <calculatedColumnFormula>+Tabla5518107235[[#This Row],[PRECIO N]]/Tabla5518107235[[#This Row],[COSTO]]</calculatedColumnFormula>
    </tableColumn>
  </tableColumns>
  <tableStyleInfo name="TableStyleLight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5B5F6945-21F7-4BE1-9E4A-945F56516025}" name="Tabla5518107235190" displayName="Tabla5518107235190" ref="B231:R238" totalsRowCount="1" headerRowDxfId="7231" dataDxfId="7230" totalsRowDxfId="7229">
  <autoFilter ref="B231:R237" xr:uid="{8508CC6E-E1A5-4054-8898-B92763107161}"/>
  <tableColumns count="17">
    <tableColumn id="1" xr3:uid="{C9433A32-04D6-4A20-88BE-6E8224B64131}" name="BEBIDAS ESPECIALES SIN ALCOHOL" totalsRowLabel="Total" dataDxfId="7228" totalsRowDxfId="7227"/>
    <tableColumn id="17" xr3:uid="{6C656C71-47F0-4E53-BB02-D6A0A42E974C}" name="DESCRIPCION" dataDxfId="7226" totalsRowDxfId="7225"/>
    <tableColumn id="2" xr3:uid="{8FA210E8-7CAB-4EA1-A9E1-4427C04F732B}" name="COSTO" dataDxfId="7224" totalsRowDxfId="7223" dataCellStyle="Moneda"/>
    <tableColumn id="3" xr3:uid="{07080660-3ACA-494B-A41A-38C275FD2CB9}" name="VENTA" dataDxfId="7222" totalsRowDxfId="7221" dataCellStyle="Moneda"/>
    <tableColumn id="4" xr3:uid="{5EE8A022-5C66-4E3A-B268-2B8F0EA5A472}" name="ICO 8%" dataDxfId="7220" totalsRowDxfId="7219" dataCellStyle="Moneda">
      <calculatedColumnFormula>+E232/1.08*0.08</calculatedColumnFormula>
    </tableColumn>
    <tableColumn id="5" xr3:uid="{9748B9F5-6FD9-498D-9C7D-D8585ED14F21}" name="BASE" dataDxfId="7218" totalsRowDxfId="7217">
      <calculatedColumnFormula>+Tabla5518107235190[[#This Row],[VENTA]]-Tabla5518107235190[[#This Row],[ICO 8%]]</calculatedColumnFormula>
    </tableColumn>
    <tableColumn id="6" xr3:uid="{09FD306A-6DB5-4409-9B5F-9EA1E18BAD39}" name="%" totalsRowFunction="average" dataDxfId="7216" totalsRowDxfId="7215" dataCellStyle="Porcentaje">
      <calculatedColumnFormula>+Tabla5518107235190[[#This Row],[COSTO]]/Tabla5518107235190[[#This Row],[BASE]]</calculatedColumnFormula>
    </tableColumn>
    <tableColumn id="7" xr3:uid="{5D5491C8-1496-4159-9667-E2569E074D74}" name="RENTABILIDAD" dataDxfId="7214" totalsRowDxfId="7213">
      <calculatedColumnFormula>+Tabla5518107235190[[#This Row],[BASE]]/Tabla5518107235190[[#This Row],[COSTO]]</calculatedColumnFormula>
    </tableColumn>
    <tableColumn id="8" xr3:uid="{6C30A845-2515-4E2C-BB3D-B5840A6C460E}" name="ROTACION" dataDxfId="7212" totalsRowDxfId="7211">
      <calculatedColumnFormula>+VLOOKUP(Tabla5518107235190[[#This Row],[BEBIDAS ESPECIALES SIN ALCOHOL]],Tabla77[#All],3,0)</calculatedColumnFormula>
    </tableColumn>
    <tableColumn id="9" xr3:uid="{2D9A9F84-30F4-410F-B45A-7008F6151DF3}" name="PRECIO SUGERIDO" dataDxfId="7210" totalsRowDxfId="7209" dataCellStyle="Moneda">
      <calculatedColumnFormula>+D232/(100-70)*100</calculatedColumnFormula>
    </tableColumn>
    <tableColumn id="10" xr3:uid="{BB9C04AA-003D-4C31-9F14-E9E1406F4077}" name="ICO2" dataDxfId="7208" totalsRowDxfId="7207" dataCellStyle="Moneda">
      <calculatedColumnFormula>+K232/1.08*0.08</calculatedColumnFormula>
    </tableColumn>
    <tableColumn id="11" xr3:uid="{50757F61-6729-40E6-8793-A2FE571BCC46}" name="CARTA " dataDxfId="7206" totalsRowDxfId="7205">
      <calculatedColumnFormula>+Tabla5518107235190[[#This Row],[PRECIO SUGERIDO]]+Tabla5518107235190[[#This Row],[ICO2]]</calculatedColumnFormula>
    </tableColumn>
    <tableColumn id="12" xr3:uid="{DAD746C9-65F5-40E4-BAD1-A6E40FB95E24}" name="PRECIO N" dataDxfId="7204" totalsRowDxfId="7203" dataCellStyle="Moneda"/>
    <tableColumn id="13" xr3:uid="{4CBEB91A-01E8-40F5-BD30-3CFD28F64934}" name="Columna1" dataDxfId="7202" totalsRowDxfId="7201" dataCellStyle="Moneda">
      <calculatedColumnFormula>+N232/1.08*0.08</calculatedColumnFormula>
    </tableColumn>
    <tableColumn id="14" xr3:uid="{030EA830-8AB6-4274-8E6D-4EC1124BF169}" name="CARTA" dataDxfId="7200" totalsRowDxfId="7199" dataCellStyle="Moneda">
      <calculatedColumnFormula>+Tabla5518107235190[[#This Row],[PRECIO N]]-Tabla5518107235190[[#This Row],[Columna1]]</calculatedColumnFormula>
    </tableColumn>
    <tableColumn id="15" xr3:uid="{9A26029B-1720-4895-AC2A-5DF4D8292BAC}" name="% " dataDxfId="7198" totalsRowDxfId="7197" dataCellStyle="Porcentaje">
      <calculatedColumnFormula>+Tabla5518107235190[[#This Row],[COSTO]]/Tabla5518107235190[[#This Row],[CARTA]]</calculatedColumnFormula>
    </tableColumn>
    <tableColumn id="16" xr3:uid="{605A7127-6B7F-4D29-9B16-D4453752BA3B}" name="RATION" totalsRowFunction="sum" dataDxfId="7196" totalsRowDxfId="7195">
      <calculatedColumnFormula>+Tabla5518107235190[[#This Row],[PRECIO N]]/Tabla5518107235190[[#This Row],[COSTO]]</calculatedColumnFormula>
    </tableColumn>
  </tableColumns>
  <tableStyleInfo name="TableStyleLight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180B4B3A-2C2F-4A6C-A99F-8716912C6758}" name="Tabla5518107235191" displayName="Tabla5518107235191" ref="B242:R248" totalsRowCount="1" headerRowDxfId="7194" dataDxfId="7193" totalsRowDxfId="7192">
  <autoFilter ref="B242:R247" xr:uid="{3FD206CA-6C07-4B54-B361-804D56766740}"/>
  <tableColumns count="17">
    <tableColumn id="1" xr3:uid="{78B54505-4E21-4993-A1CE-C6EE8D7AEC1C}" name="LIMONADAS Y JUGOS" totalsRowLabel="Total" dataDxfId="7191" totalsRowDxfId="7190"/>
    <tableColumn id="17" xr3:uid="{BE6C68AE-1055-4784-93B0-5063FD1342C1}" name="DESCRIPCION" dataDxfId="7189" totalsRowDxfId="7188"/>
    <tableColumn id="2" xr3:uid="{2FFFCCCE-1B73-45C8-92B7-7D2D147AD1AB}" name="COSTO" dataDxfId="7187" totalsRowDxfId="7186" dataCellStyle="Moneda"/>
    <tableColumn id="3" xr3:uid="{DD3954E2-9356-445F-9254-862A8720E60B}" name="VENTA" dataDxfId="7185" totalsRowDxfId="7184" dataCellStyle="Moneda"/>
    <tableColumn id="4" xr3:uid="{32594B8B-8262-4427-8288-D06B94FD08F4}" name="ICO 8%" dataDxfId="7183" totalsRowDxfId="7182" dataCellStyle="Moneda">
      <calculatedColumnFormula>+E243/1.08*0.08</calculatedColumnFormula>
    </tableColumn>
    <tableColumn id="5" xr3:uid="{8C60127B-8FC3-41C7-9A3D-3B831ACA3C90}" name="BASE" dataDxfId="7181" totalsRowDxfId="7180">
      <calculatedColumnFormula>+Tabla5518107235191[[#This Row],[VENTA]]-Tabla5518107235191[[#This Row],[ICO 8%]]</calculatedColumnFormula>
    </tableColumn>
    <tableColumn id="6" xr3:uid="{6DB478F0-BBF5-42AF-AF89-2CE4BDCDF29D}" name="%" totalsRowFunction="average" dataDxfId="7179" totalsRowDxfId="7178" dataCellStyle="Porcentaje">
      <calculatedColumnFormula>+Tabla5518107235191[[#This Row],[COSTO]]/Tabla5518107235191[[#This Row],[BASE]]</calculatedColumnFormula>
    </tableColumn>
    <tableColumn id="7" xr3:uid="{7D533DC8-2AB1-495E-9350-BD65C0A3F864}" name="RENTABILIDAD" dataDxfId="7177" totalsRowDxfId="7176">
      <calculatedColumnFormula>+Tabla5518107235191[[#This Row],[BASE]]/Tabla5518107235191[[#This Row],[COSTO]]</calculatedColumnFormula>
    </tableColumn>
    <tableColumn id="8" xr3:uid="{EB9B0CBD-E573-4045-BBDD-488670172E97}" name="ROTACION" dataDxfId="7175" totalsRowDxfId="7174">
      <calculatedColumnFormula>+VLOOKUP(Tabla5518107235191[[#This Row],[LIMONADAS Y JUGOS]],Tabla77[#All],3,0)</calculatedColumnFormula>
    </tableColumn>
    <tableColumn id="9" xr3:uid="{4A12EDA2-FE0D-42D8-82F8-0D36DB2D3E22}" name="PRECIO SUGERIDO" dataDxfId="7173" totalsRowDxfId="7172" dataCellStyle="Moneda">
      <calculatedColumnFormula>+D243/(100-70)*100</calculatedColumnFormula>
    </tableColumn>
    <tableColumn id="10" xr3:uid="{F53D5676-4C3C-415F-B673-2FDAFC74EB1A}" name="ICO2" dataDxfId="7171" totalsRowDxfId="7170" dataCellStyle="Moneda">
      <calculatedColumnFormula>+K243/1.08*0.08</calculatedColumnFormula>
    </tableColumn>
    <tableColumn id="11" xr3:uid="{5C84AB5C-C81B-4C62-8F8C-F497C9B61C4A}" name="CARTA " dataDxfId="7169" totalsRowDxfId="7168">
      <calculatedColumnFormula>+Tabla5518107235191[[#This Row],[PRECIO SUGERIDO]]+Tabla5518107235191[[#This Row],[ICO2]]</calculatedColumnFormula>
    </tableColumn>
    <tableColumn id="12" xr3:uid="{5CC40FCF-6071-4E91-8144-20BB0D6486D6}" name="PRECIO N" dataDxfId="7167" totalsRowDxfId="7166" dataCellStyle="Moneda"/>
    <tableColumn id="13" xr3:uid="{F34B3957-D56A-4C8F-841E-D7D185D9A9AA}" name="Columna1" dataDxfId="7165" totalsRowDxfId="7164" dataCellStyle="Moneda">
      <calculatedColumnFormula>+N243/1.08*0.08</calculatedColumnFormula>
    </tableColumn>
    <tableColumn id="14" xr3:uid="{CE220C32-D0A6-468F-B327-227591158649}" name="CARTA" dataDxfId="7163" totalsRowDxfId="7162" dataCellStyle="Moneda">
      <calculatedColumnFormula>+Tabla5518107235191[[#This Row],[PRECIO N]]-Tabla5518107235191[[#This Row],[Columna1]]</calculatedColumnFormula>
    </tableColumn>
    <tableColumn id="15" xr3:uid="{70D85D03-312E-4B4A-ADF1-650078BC3EF8}" name="% " dataDxfId="7161" totalsRowDxfId="7160" dataCellStyle="Porcentaje">
      <calculatedColumnFormula>+Tabla5518107235191[[#This Row],[COSTO]]/Tabla5518107235191[[#This Row],[CARTA]]</calculatedColumnFormula>
    </tableColumn>
    <tableColumn id="16" xr3:uid="{F32CDD25-9502-43E6-BEAB-F2EE4CBE892C}" name="RATION" totalsRowFunction="sum" dataDxfId="7159" totalsRowDxfId="7158">
      <calculatedColumnFormula>+Tabla5518107235191[[#This Row],[PRECIO N]]/Tabla5518107235191[[#This Row],[COSTO]]</calculatedColumnFormula>
    </tableColumn>
  </tableColumns>
  <tableStyleInfo name="TableStyleLight8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2781FB58-2E54-433F-9D8B-C49BBA6CE511}" name="Tabla5518107235192" displayName="Tabla5518107235192" ref="B252:R262" totalsRowCount="1" headerRowDxfId="7157" dataDxfId="7156" totalsRowDxfId="7155">
  <autoFilter ref="B252:R261" xr:uid="{623EE236-9F0F-4151-920A-A6950AB7689E}"/>
  <tableColumns count="17">
    <tableColumn id="1" xr3:uid="{1FC804F6-4403-49EF-B986-BBECE6368B12}" name="AGUAS Y BEBIDAS EMBOTELLADAS" totalsRowLabel="Total" dataDxfId="7154" totalsRowDxfId="7153"/>
    <tableColumn id="17" xr3:uid="{59AE0F77-CD46-465D-8EE8-53964F3890EF}" name="DESCRIPCION" dataDxfId="7152" totalsRowDxfId="7151"/>
    <tableColumn id="2" xr3:uid="{DCBFF77E-3EAE-4B35-A8E1-C972D6F91440}" name="COSTO" dataDxfId="7150" totalsRowDxfId="7149" dataCellStyle="Moneda"/>
    <tableColumn id="3" xr3:uid="{B3B22A40-A86D-48A5-B42D-F6A9B647E8B6}" name="VENTA" dataDxfId="7148" totalsRowDxfId="7147" dataCellStyle="Moneda"/>
    <tableColumn id="4" xr3:uid="{6CA575D6-155F-4F21-AB69-5A352BFF9E6B}" name="ICO 8%" dataDxfId="7146" totalsRowDxfId="7145" dataCellStyle="Moneda">
      <calculatedColumnFormula>+E253/1.08*0.08</calculatedColumnFormula>
    </tableColumn>
    <tableColumn id="5" xr3:uid="{C8DB5136-DB12-4272-8897-E2E79876573A}" name="BASE" dataDxfId="7144" totalsRowDxfId="7143">
      <calculatedColumnFormula>+Tabla5518107235192[[#This Row],[VENTA]]-Tabla5518107235192[[#This Row],[ICO 8%]]</calculatedColumnFormula>
    </tableColumn>
    <tableColumn id="6" xr3:uid="{21B6E92E-D7AB-48BF-BBFE-7B20E7789820}" name="%" totalsRowFunction="average" dataDxfId="7142" totalsRowDxfId="7141" dataCellStyle="Porcentaje">
      <calculatedColumnFormula>+Tabla5518107235192[[#This Row],[COSTO]]/Tabla5518107235192[[#This Row],[BASE]]</calculatedColumnFormula>
    </tableColumn>
    <tableColumn id="7" xr3:uid="{C25F9913-84FF-4AFE-85ED-4A9F38C4F973}" name="RENTABILIDAD" dataDxfId="7140" totalsRowDxfId="7139">
      <calculatedColumnFormula>+Tabla5518107235192[[#This Row],[BASE]]/Tabla5518107235192[[#This Row],[COSTO]]</calculatedColumnFormula>
    </tableColumn>
    <tableColumn id="8" xr3:uid="{04D9443B-D7E3-47F6-A8C3-34655D490E20}" name="ROTACION" dataDxfId="7138" totalsRowDxfId="7137">
      <calculatedColumnFormula>+VLOOKUP(Tabla5518107235192[[#This Row],[AGUAS Y BEBIDAS EMBOTELLADAS]],Tabla77[#All],3,0)</calculatedColumnFormula>
    </tableColumn>
    <tableColumn id="9" xr3:uid="{C4B8428A-B7A8-4295-A18A-0CE179B585C4}" name="PRECIO SUGERIDO" dataDxfId="7136" totalsRowDxfId="7135" dataCellStyle="Moneda">
      <calculatedColumnFormula>+D253/(100-70)*100</calculatedColumnFormula>
    </tableColumn>
    <tableColumn id="10" xr3:uid="{61DFEED6-0B06-4D8E-BF11-BFC7CE114BB2}" name="ICO2" dataDxfId="7134" totalsRowDxfId="7133" dataCellStyle="Moneda">
      <calculatedColumnFormula>+K253/1.08*0.08</calculatedColumnFormula>
    </tableColumn>
    <tableColumn id="11" xr3:uid="{0B47BA59-765E-4208-8798-FCEDB1B4235D}" name="CARTA " dataDxfId="7132" totalsRowDxfId="7131">
      <calculatedColumnFormula>+Tabla5518107235192[[#This Row],[PRECIO SUGERIDO]]+Tabla5518107235192[[#This Row],[ICO2]]</calculatedColumnFormula>
    </tableColumn>
    <tableColumn id="12" xr3:uid="{2AEE879C-3FAC-4D6A-85C8-7F2AE53A4E5C}" name="PRECIO N" dataDxfId="7130" totalsRowDxfId="7129" dataCellStyle="Moneda"/>
    <tableColumn id="13" xr3:uid="{DDE95893-0B6F-4FD2-9C66-E256796F6508}" name="Columna1" dataDxfId="7128" totalsRowDxfId="7127" dataCellStyle="Moneda">
      <calculatedColumnFormula>+N253/1.08*0.08</calculatedColumnFormula>
    </tableColumn>
    <tableColumn id="14" xr3:uid="{D56D5E9C-E6E7-4EC5-86DA-A96B71284FEE}" name="CARTA" dataDxfId="7126" totalsRowDxfId="7125" dataCellStyle="Moneda">
      <calculatedColumnFormula>+Tabla5518107235192[[#This Row],[PRECIO N]]-Tabla5518107235192[[#This Row],[Columna1]]</calculatedColumnFormula>
    </tableColumn>
    <tableColumn id="15" xr3:uid="{8EFBA9B3-20FD-4AF5-8A95-3DA418483488}" name="% " dataDxfId="7124" totalsRowDxfId="7123" dataCellStyle="Porcentaje">
      <calculatedColumnFormula>+Tabla5518107235192[[#This Row],[COSTO]]/Tabla5518107235192[[#This Row],[CARTA]]</calculatedColumnFormula>
    </tableColumn>
    <tableColumn id="16" xr3:uid="{D40A8D41-A05A-4BA3-B504-F0485A18892B}" name="RATION" totalsRowFunction="sum" dataDxfId="7122" totalsRowDxfId="7121">
      <calculatedColumnFormula>+Tabla5518107235192[[#This Row],[PRECIO N]]/Tabla5518107235192[[#This Row],[COSTO]]</calculatedColumnFormula>
    </tableColumn>
  </tableColumns>
  <tableStyleInfo name="TableStyleLight8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31CEF925-469B-4DDA-9C4B-73B0707BAEDC}" name="Tabla551810723519255" displayName="Tabla551810723519255" ref="B267:R274" totalsRowCount="1" headerRowDxfId="7120" dataDxfId="7119" totalsRowDxfId="7118">
  <autoFilter ref="B267:R273" xr:uid="{21229C62-0702-4A4E-A966-CE486F4F262C}"/>
  <tableColumns count="17">
    <tableColumn id="1" xr3:uid="{67FF6F7B-8B33-4996-8CC4-23F70BA43F59}" name="COPA DE VINOS" totalsRowLabel="Total" dataDxfId="7117" totalsRowDxfId="7116"/>
    <tableColumn id="17" xr3:uid="{ABE0F083-B0BF-4D5C-A86D-E763CBEE499F}" name="DESCRIPCION" dataDxfId="7115" totalsRowDxfId="7114"/>
    <tableColumn id="2" xr3:uid="{332986AC-E1E3-40A3-A989-FA62038CB1FA}" name="COSTO" dataDxfId="7113" totalsRowDxfId="7112" dataCellStyle="Moneda"/>
    <tableColumn id="3" xr3:uid="{49BBBA68-4D52-437F-A1AC-D2FF4FF51951}" name="VENTA" dataDxfId="7111" totalsRowDxfId="7110" dataCellStyle="Moneda"/>
    <tableColumn id="4" xr3:uid="{772252C5-0385-4898-BF36-DD7AC4147198}" name="ICO 8%" dataDxfId="7109" totalsRowDxfId="7108" dataCellStyle="Moneda">
      <calculatedColumnFormula>+E268/1.08*0.08</calculatedColumnFormula>
    </tableColumn>
    <tableColumn id="5" xr3:uid="{97BCA113-5D33-4FB2-9693-7B91626FD281}" name="BASE" dataDxfId="7107" totalsRowDxfId="7106">
      <calculatedColumnFormula>+Tabla551810723519255[[#This Row],[VENTA]]-Tabla551810723519255[[#This Row],[ICO 8%]]</calculatedColumnFormula>
    </tableColumn>
    <tableColumn id="6" xr3:uid="{5B7838CB-BBEA-4D7D-8078-B24359962802}" name="%" totalsRowFunction="average" dataDxfId="7105" totalsRowDxfId="7104" dataCellStyle="Porcentaje">
      <calculatedColumnFormula>+Tabla551810723519255[[#This Row],[COSTO]]/Tabla551810723519255[[#This Row],[BASE]]</calculatedColumnFormula>
    </tableColumn>
    <tableColumn id="7" xr3:uid="{25F13E9C-3CE8-4E1C-9009-0797623A9072}" name="RENTABILIDAD" dataDxfId="7103" totalsRowDxfId="7102">
      <calculatedColumnFormula>+Tabla551810723519255[[#This Row],[BASE]]/Tabla551810723519255[[#This Row],[COSTO]]</calculatedColumnFormula>
    </tableColumn>
    <tableColumn id="8" xr3:uid="{36C4CCCA-E500-4DEB-AE6D-27F809D98ACD}" name="ROTACION" dataDxfId="7101" totalsRowDxfId="7100">
      <calculatedColumnFormula>+VLOOKUP(Tabla551810723519255[[#This Row],[COPA DE VINOS]],Tabla77[#All],3,0)</calculatedColumnFormula>
    </tableColumn>
    <tableColumn id="9" xr3:uid="{7E0662A7-B3E6-4FAA-B9A3-222F093FCBD7}" name="PRECIO SUGERIDO" dataDxfId="7099" totalsRowDxfId="7098" dataCellStyle="Moneda">
      <calculatedColumnFormula>+D268/(100-70)*100</calculatedColumnFormula>
    </tableColumn>
    <tableColumn id="10" xr3:uid="{29D048F2-6BD8-497E-ACBF-6234F3CA882A}" name="ICO2" dataDxfId="7097" totalsRowDxfId="7096" dataCellStyle="Moneda">
      <calculatedColumnFormula>+K268/1.08*0.08</calculatedColumnFormula>
    </tableColumn>
    <tableColumn id="11" xr3:uid="{5D2B0059-6C47-45A0-A7B8-317C7192AF46}" name="CARTA " dataDxfId="7095" totalsRowDxfId="7094">
      <calculatedColumnFormula>+Tabla551810723519255[[#This Row],[PRECIO SUGERIDO]]+Tabla551810723519255[[#This Row],[ICO2]]</calculatedColumnFormula>
    </tableColumn>
    <tableColumn id="12" xr3:uid="{43D54334-A2DB-4331-AD49-D30E191ECE17}" name="PRECIO N" dataDxfId="7093" totalsRowDxfId="7092" dataCellStyle="Moneda"/>
    <tableColumn id="13" xr3:uid="{A7459E3B-4EC5-48AF-8D11-C3E024DA6419}" name="Columna1" dataDxfId="7091" totalsRowDxfId="7090" dataCellStyle="Moneda">
      <calculatedColumnFormula>+N268/1.08*0.08</calculatedColumnFormula>
    </tableColumn>
    <tableColumn id="14" xr3:uid="{3EBD8C17-666A-48F7-9FF9-AE6477DB3AB4}" name="CARTA" dataDxfId="7089" totalsRowDxfId="7088" dataCellStyle="Moneda">
      <calculatedColumnFormula>+Tabla551810723519255[[#This Row],[PRECIO N]]-Tabla551810723519255[[#This Row],[Columna1]]</calculatedColumnFormula>
    </tableColumn>
    <tableColumn id="15" xr3:uid="{7B4DC3EE-0653-4B6D-BD53-F94621096421}" name="% " dataDxfId="7087" totalsRowDxfId="7086" dataCellStyle="Porcentaje">
      <calculatedColumnFormula>+Tabla551810723519255[[#This Row],[COSTO]]/Tabla551810723519255[[#This Row],[CARTA]]</calculatedColumnFormula>
    </tableColumn>
    <tableColumn id="16" xr3:uid="{D4D1A974-57C3-472D-8D12-F0CE5C9B90A2}" name="RATION" totalsRowFunction="sum" dataDxfId="7085" totalsRowDxfId="7084">
      <calculatedColumnFormula>+Tabla551810723519255[[#This Row],[PRECIO N]]/Tabla551810723519255[[#This Row],[COSTO]]</calculatedColumnFormula>
    </tableColumn>
  </tableColumns>
  <tableStyleInfo name="TableStyleLight8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B6509F4-FB6F-41BA-8E34-0B5B8DC6566E}" name="Tabla551810723519257" displayName="Tabla551810723519257" ref="B279:R287" totalsRowCount="1" headerRowDxfId="7083" dataDxfId="7082" totalsRowDxfId="7081">
  <autoFilter ref="B279:R286" xr:uid="{BCDD0784-8B7D-4F3F-A47C-02A26DBB50D2}"/>
  <tableColumns count="17">
    <tableColumn id="1" xr3:uid="{1D263B33-8C9F-47F0-836F-39C821B5FE9C}" name="VINOS BLANCOS" totalsRowLabel="Total" dataDxfId="7080" totalsRowDxfId="7079"/>
    <tableColumn id="17" xr3:uid="{E7D3DE3E-FDAD-432D-9541-17170C85C913}" name="DESCRIPCION" dataDxfId="7078" totalsRowDxfId="7077"/>
    <tableColumn id="2" xr3:uid="{FB0FDAF6-6080-42E8-84C2-FD87CAF4D58C}" name="COSTO" dataDxfId="7076" totalsRowDxfId="7075" dataCellStyle="Moneda"/>
    <tableColumn id="3" xr3:uid="{37107461-B473-467D-9222-775259F296B2}" name="VENTA" dataDxfId="7074" totalsRowDxfId="7073" dataCellStyle="Moneda"/>
    <tableColumn id="4" xr3:uid="{7A5CE61A-E431-46D7-A775-DB017FCBC03B}" name="ICO 8%" dataDxfId="7072" totalsRowDxfId="7071" dataCellStyle="Moneda">
      <calculatedColumnFormula>+E280/1.08*0.08</calculatedColumnFormula>
    </tableColumn>
    <tableColumn id="5" xr3:uid="{F573924E-8374-4D27-9C4E-26D97D5B6A86}" name="BASE" dataDxfId="7070" totalsRowDxfId="7069">
      <calculatedColumnFormula>+Tabla551810723519257[[#This Row],[VENTA]]-Tabla551810723519257[[#This Row],[ICO 8%]]</calculatedColumnFormula>
    </tableColumn>
    <tableColumn id="6" xr3:uid="{0B058B01-C2F3-47C7-B50F-2A60E622B77F}" name="%" totalsRowFunction="average" dataDxfId="7068" totalsRowDxfId="7067" dataCellStyle="Porcentaje">
      <calculatedColumnFormula>+Tabla551810723519257[[#This Row],[COSTO]]/Tabla551810723519257[[#This Row],[BASE]]</calculatedColumnFormula>
    </tableColumn>
    <tableColumn id="7" xr3:uid="{A38BBF88-DEAA-4895-8974-025DAE233E3C}" name="RENTABILIDAD" dataDxfId="7066" totalsRowDxfId="7065">
      <calculatedColumnFormula>+Tabla551810723519257[[#This Row],[BASE]]/Tabla551810723519257[[#This Row],[COSTO]]</calculatedColumnFormula>
    </tableColumn>
    <tableColumn id="8" xr3:uid="{F8CCBD67-AA65-438F-9802-C3762CE2B272}" name="ROTACION" dataDxfId="7064" totalsRowDxfId="7063">
      <calculatedColumnFormula>+VLOOKUP(Tabla551810723519257[[#This Row],[VINOS BLANCOS]],Tabla77[#All],3,0)</calculatedColumnFormula>
    </tableColumn>
    <tableColumn id="9" xr3:uid="{22A7E06A-1015-43CA-AFAA-4565A813AFAC}" name="PRECIO SUGERIDO" dataDxfId="7062" totalsRowDxfId="7061" dataCellStyle="Moneda">
      <calculatedColumnFormula>+D280/(100-70)*100</calculatedColumnFormula>
    </tableColumn>
    <tableColumn id="10" xr3:uid="{F04168F6-1913-4BE9-AB79-4741AEC2B83D}" name="ICO2" dataDxfId="7060" totalsRowDxfId="7059" dataCellStyle="Moneda">
      <calculatedColumnFormula>+K280/1.08*0.08</calculatedColumnFormula>
    </tableColumn>
    <tableColumn id="11" xr3:uid="{44DCCD10-B104-4739-ADCB-8FFC7D3B1AA1}" name="CARTA " dataDxfId="7058" totalsRowDxfId="7057">
      <calculatedColumnFormula>+Tabla551810723519257[[#This Row],[PRECIO SUGERIDO]]+Tabla551810723519257[[#This Row],[ICO2]]</calculatedColumnFormula>
    </tableColumn>
    <tableColumn id="12" xr3:uid="{3E570B7C-32C3-4FA3-8AB7-8B950B231576}" name="PRECIO N" dataDxfId="7056" totalsRowDxfId="7055" dataCellStyle="Moneda"/>
    <tableColumn id="13" xr3:uid="{B54533EA-D4BA-4326-84ED-01BFBEEC8B6A}" name="Columna1" dataDxfId="7054" totalsRowDxfId="7053" dataCellStyle="Moneda">
      <calculatedColumnFormula>+N280/1.08*0.08</calculatedColumnFormula>
    </tableColumn>
    <tableColumn id="14" xr3:uid="{AFD74A5D-E4EB-4F61-A84C-D212304A904A}" name="CARTA" dataDxfId="7052" totalsRowDxfId="7051" dataCellStyle="Moneda">
      <calculatedColumnFormula>+Tabla551810723519257[[#This Row],[PRECIO N]]-Tabla551810723519257[[#This Row],[Columna1]]</calculatedColumnFormula>
    </tableColumn>
    <tableColumn id="15" xr3:uid="{D374785E-90C6-413B-9E49-43AF268C4DD5}" name="% " dataDxfId="7050" totalsRowDxfId="7049" dataCellStyle="Porcentaje">
      <calculatedColumnFormula>+Tabla551810723519257[[#This Row],[COSTO]]/Tabla551810723519257[[#This Row],[CARTA]]</calculatedColumnFormula>
    </tableColumn>
    <tableColumn id="16" xr3:uid="{1DCE17AA-3EC9-4657-B5D4-0B401412BDCB}" name="RATION" totalsRowFunction="sum" dataDxfId="7048" totalsRowDxfId="7047">
      <calculatedColumnFormula>+Tabla551810723519257[[#This Row],[PRECIO N]]/Tabla551810723519257[[#This Row],[COSTO]]</calculatedColumnFormula>
    </tableColumn>
  </tableColumns>
  <tableStyleInfo name="TableStyleLight8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5C58B150-20DF-4F28-BDB3-004E8A527AA9}" name="Tabla551810723519260" displayName="Tabla551810723519260" ref="B291:R301" totalsRowCount="1" headerRowDxfId="7046" dataDxfId="7045" totalsRowDxfId="7044">
  <autoFilter ref="B291:R300" xr:uid="{E51175E6-4187-4FCF-805F-638E05BC2231}"/>
  <tableColumns count="17">
    <tableColumn id="1" xr3:uid="{5A335517-6DBA-4A5D-8A4D-B8330E2E487C}" name="VINOS TINTO" totalsRowLabel="Total" dataDxfId="7043" totalsRowDxfId="7042"/>
    <tableColumn id="17" xr3:uid="{21F3BE29-8187-4B89-BB83-A1CCC5196BA1}" name="DESCRIPCION" dataDxfId="7041" totalsRowDxfId="7040"/>
    <tableColumn id="2" xr3:uid="{D02D5B3F-07CC-4652-A5DA-6714C4333ED3}" name="COSTO" dataDxfId="7039" totalsRowDxfId="7038" dataCellStyle="Moneda"/>
    <tableColumn id="3" xr3:uid="{0A659611-CEF2-4DA2-A495-467831053C10}" name="VENTA" dataDxfId="7037" totalsRowDxfId="7036" dataCellStyle="Moneda"/>
    <tableColumn id="4" xr3:uid="{797FB5BC-5B38-4A9C-9851-A49124404F97}" name="ICO 8%" dataDxfId="7035" totalsRowDxfId="7034" dataCellStyle="Moneda">
      <calculatedColumnFormula>+E292/1.08*0.08</calculatedColumnFormula>
    </tableColumn>
    <tableColumn id="5" xr3:uid="{EDF9B421-2A67-4133-8989-E427506E07D9}" name="BASE" dataDxfId="7033" totalsRowDxfId="7032">
      <calculatedColumnFormula>+Tabla551810723519260[[#This Row],[VENTA]]-Tabla551810723519260[[#This Row],[ICO 8%]]</calculatedColumnFormula>
    </tableColumn>
    <tableColumn id="6" xr3:uid="{E21282CC-825D-4FB6-AD57-3B45E4CE3E1E}" name="%" totalsRowFunction="average" dataDxfId="7031" totalsRowDxfId="7030" dataCellStyle="Porcentaje">
      <calculatedColumnFormula>+Tabla551810723519260[[#This Row],[COSTO]]/Tabla551810723519260[[#This Row],[BASE]]</calculatedColumnFormula>
    </tableColumn>
    <tableColumn id="7" xr3:uid="{A16B9C7C-9C68-451A-98C2-F5E2206441DC}" name="RENTABILIDAD" dataDxfId="7029" totalsRowDxfId="7028">
      <calculatedColumnFormula>+Tabla551810723519260[[#This Row],[BASE]]/Tabla551810723519260[[#This Row],[COSTO]]</calculatedColumnFormula>
    </tableColumn>
    <tableColumn id="8" xr3:uid="{BF634628-2289-4FB4-85BA-2BCD0E7FD64D}" name="ROTACION" dataDxfId="7027" totalsRowDxfId="7026">
      <calculatedColumnFormula>+VLOOKUP(Tabla551810723519260[[#This Row],[VINOS TINTO]],Tabla77[#All],3,0)</calculatedColumnFormula>
    </tableColumn>
    <tableColumn id="9" xr3:uid="{188C72F0-4D9E-40B6-A543-C32389DC15C5}" name="PRECIO SUGERIDO" dataDxfId="7025" totalsRowDxfId="7024" dataCellStyle="Moneda">
      <calculatedColumnFormula>+D292/(100-60)*100</calculatedColumnFormula>
    </tableColumn>
    <tableColumn id="10" xr3:uid="{52A56E73-EB75-440B-A4D5-B8E8E3C14D25}" name="ICO2" dataDxfId="7023" totalsRowDxfId="7022" dataCellStyle="Moneda">
      <calculatedColumnFormula>+K292/1.08*0.08</calculatedColumnFormula>
    </tableColumn>
    <tableColumn id="11" xr3:uid="{87D9389D-8E17-411A-AEF9-A88CADA73FB5}" name="CARTA " dataDxfId="7021" totalsRowDxfId="7020">
      <calculatedColumnFormula>+Tabla551810723519260[[#This Row],[PRECIO SUGERIDO]]+Tabla551810723519260[[#This Row],[ICO2]]</calculatedColumnFormula>
    </tableColumn>
    <tableColumn id="12" xr3:uid="{4CDEF5AD-2DA1-4BF4-B2AB-5E679F16F5AA}" name="PRECIO N" dataDxfId="7019" totalsRowDxfId="7018" dataCellStyle="Moneda"/>
    <tableColumn id="13" xr3:uid="{D45214B6-90AA-44D6-859E-B5DED8347400}" name="Columna1" dataDxfId="7017" totalsRowDxfId="7016" dataCellStyle="Moneda">
      <calculatedColumnFormula>+N292/1.08*0.08</calculatedColumnFormula>
    </tableColumn>
    <tableColumn id="14" xr3:uid="{DA355918-D355-4DB7-8DEC-EEC17C964C7F}" name="CARTA" dataDxfId="7015" totalsRowDxfId="7014" dataCellStyle="Moneda">
      <calculatedColumnFormula>+Tabla551810723519260[[#This Row],[PRECIO N]]-Tabla551810723519260[[#This Row],[Columna1]]</calculatedColumnFormula>
    </tableColumn>
    <tableColumn id="15" xr3:uid="{D14C15CB-3828-478C-A1FE-EFB98A71F633}" name="% " dataDxfId="7013" totalsRowDxfId="7012" dataCellStyle="Porcentaje">
      <calculatedColumnFormula>+Tabla551810723519260[[#This Row],[COSTO]]/Tabla551810723519260[[#This Row],[CARTA]]</calculatedColumnFormula>
    </tableColumn>
    <tableColumn id="16" xr3:uid="{89774535-FBBA-4D84-995F-446388FC1F94}" name="RATION" totalsRowFunction="sum" dataDxfId="7011" totalsRowDxfId="7010">
      <calculatedColumnFormula>+Tabla551810723519260[[#This Row],[PRECIO N]]/Tabla551810723519260[[#This Row],[COSTO]]</calculatedColumnFormula>
    </tableColumn>
  </tableColumns>
  <tableStyleInfo name="TableStyleLight8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0" xr:uid="{20CFFA15-767C-4240-A844-5867FD2F90DF}" name="Tabla551810723519260281" displayName="Tabla551810723519260281" ref="B305:R308" totalsRowCount="1" headerRowDxfId="7009" dataDxfId="7008" totalsRowDxfId="7007">
  <autoFilter ref="B305:R307" xr:uid="{C68FB9A4-860E-4D74-804E-92DD164FAE5B}"/>
  <tableColumns count="17">
    <tableColumn id="1" xr3:uid="{04B6A931-DE1D-45B5-815C-E8687FB13507}" name="VINOS ROSADOS" totalsRowLabel="Total" dataDxfId="7006" totalsRowDxfId="7005"/>
    <tableColumn id="17" xr3:uid="{A9DAFE84-4561-4328-BDBB-12A6A69C6795}" name="DESCRIPCION" dataDxfId="7004" totalsRowDxfId="7003"/>
    <tableColumn id="2" xr3:uid="{01222486-5FB3-4ABB-B940-DE73B6DE5A79}" name="COSTO" dataDxfId="7002" totalsRowDxfId="7001" dataCellStyle="Moneda"/>
    <tableColumn id="3" xr3:uid="{D31C17D9-50F5-4B41-9FBD-9BC7838D354A}" name="VENTA" dataDxfId="7000" totalsRowDxfId="6999" dataCellStyle="Moneda"/>
    <tableColumn id="4" xr3:uid="{B6C36249-495D-4644-8B53-0EC9DC61A8FC}" name="ICO 8%" dataDxfId="6998" totalsRowDxfId="6997" dataCellStyle="Moneda">
      <calculatedColumnFormula>+E306/1.08*0.08</calculatedColumnFormula>
    </tableColumn>
    <tableColumn id="5" xr3:uid="{5BD82A8D-C0E4-45D6-9C9F-CED92343DD63}" name="BASE" dataDxfId="6996" totalsRowDxfId="6995">
      <calculatedColumnFormula>+Tabla551810723519260281[[#This Row],[VENTA]]-Tabla551810723519260281[[#This Row],[ICO 8%]]</calculatedColumnFormula>
    </tableColumn>
    <tableColumn id="6" xr3:uid="{B47DC586-06ED-42A3-A733-6FED16A5583E}" name="%" totalsRowFunction="average" dataDxfId="6994" totalsRowDxfId="6993" dataCellStyle="Porcentaje">
      <calculatedColumnFormula>+Tabla551810723519260281[[#This Row],[COSTO]]/Tabla551810723519260281[[#This Row],[BASE]]</calculatedColumnFormula>
    </tableColumn>
    <tableColumn id="7" xr3:uid="{1C17F7C8-C8CC-4EAA-97A6-32969B3F83E5}" name="RENTABILIDAD" dataDxfId="6992" totalsRowDxfId="6991">
      <calculatedColumnFormula>+Tabla551810723519260281[[#This Row],[BASE]]/Tabla551810723519260281[[#This Row],[COSTO]]</calculatedColumnFormula>
    </tableColumn>
    <tableColumn id="8" xr3:uid="{4E8A2A99-68A4-4544-8C4D-5DDC53083602}" name="ROTACION" dataDxfId="6990" totalsRowDxfId="6989">
      <calculatedColumnFormula>+VLOOKUP(Tabla551810723519260281[[#This Row],[VINOS ROSADOS]],Tabla77[#All],3,0)</calculatedColumnFormula>
    </tableColumn>
    <tableColumn id="9" xr3:uid="{B41712B6-F6C5-48DD-80D0-518B8FBC3C95}" name="PRECIO SUGERIDO" dataDxfId="6988" totalsRowDxfId="6987" dataCellStyle="Moneda">
      <calculatedColumnFormula>+D306/(100-60)*100</calculatedColumnFormula>
    </tableColumn>
    <tableColumn id="10" xr3:uid="{768B5518-AC95-4831-983A-CF3A3F4CE761}" name="ICO2" dataDxfId="6986" totalsRowDxfId="6985" dataCellStyle="Moneda">
      <calculatedColumnFormula>+K306/1.08*0.08</calculatedColumnFormula>
    </tableColumn>
    <tableColumn id="11" xr3:uid="{535747BB-8CED-4AB8-A432-214EA6D6D427}" name="CARTA " dataDxfId="6984" totalsRowDxfId="6983">
      <calculatedColumnFormula>+Tabla551810723519260281[[#This Row],[PRECIO SUGERIDO]]+Tabla551810723519260281[[#This Row],[ICO2]]</calculatedColumnFormula>
    </tableColumn>
    <tableColumn id="12" xr3:uid="{CFA0F75C-1D60-4064-931B-E34B694CF7B7}" name="PRECIO N" dataDxfId="6982" totalsRowDxfId="6981" dataCellStyle="Moneda"/>
    <tableColumn id="13" xr3:uid="{12EA2EB1-B67D-4C4B-8135-DF7F08155D71}" name="Columna1" dataDxfId="6980" totalsRowDxfId="6979" dataCellStyle="Moneda">
      <calculatedColumnFormula>+N306/1.08*0.08</calculatedColumnFormula>
    </tableColumn>
    <tableColumn id="14" xr3:uid="{D191E751-C119-434B-89C2-BB3C2A6499D5}" name="CARTA" dataDxfId="6978" totalsRowDxfId="6977" dataCellStyle="Moneda">
      <calculatedColumnFormula>+Tabla551810723519260281[[#This Row],[PRECIO N]]-Tabla551810723519260281[[#This Row],[Columna1]]</calculatedColumnFormula>
    </tableColumn>
    <tableColumn id="15" xr3:uid="{F38A5945-3C38-4687-ACDA-3390C25BFCD5}" name="% " dataDxfId="6976" totalsRowDxfId="6975" dataCellStyle="Porcentaje">
      <calculatedColumnFormula>+Tabla551810723519260281[[#This Row],[COSTO]]/Tabla551810723519260281[[#This Row],[CARTA]]</calculatedColumnFormula>
    </tableColumn>
    <tableColumn id="16" xr3:uid="{9594C05B-B0A9-44CE-8513-2385AAE82D2C}" name="RATION" totalsRowFunction="sum" dataDxfId="6974" totalsRowDxfId="6973">
      <calculatedColumnFormula>+Tabla551810723519260281[[#This Row],[PRECIO N]]/Tabla551810723519260281[[#This Row],[COSTO]]</calculatedColumnFormula>
    </tableColumn>
  </tableColumns>
  <tableStyleInfo name="TableStyleLight8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1" xr:uid="{259542D8-94F1-498F-9BAA-683017C4FB14}" name="Tabla551810723519260282" displayName="Tabla551810723519260282" ref="B312:R322" totalsRowCount="1" headerRowDxfId="6972" dataDxfId="6971" totalsRowDxfId="6970">
  <autoFilter ref="B312:R321" xr:uid="{8503BC48-5E5F-4B0D-AFEC-5CCD254A279F}"/>
  <tableColumns count="17">
    <tableColumn id="1" xr3:uid="{25EFF588-F6B4-4DD2-BF91-383A782EF57E}" name="ESPUMOSOS" totalsRowLabel="Total" dataDxfId="6969" totalsRowDxfId="6968"/>
    <tableColumn id="17" xr3:uid="{6B44E121-CFAF-44D1-B3B5-C5080CB4C9FB}" name="DESCRIPCION" dataDxfId="6967" totalsRowDxfId="6966"/>
    <tableColumn id="2" xr3:uid="{99F9FC71-FABC-426C-B941-BC263A13291D}" name="COSTO" dataDxfId="6965" totalsRowDxfId="6964" dataCellStyle="Moneda"/>
    <tableColumn id="3" xr3:uid="{8097FA96-7BC6-4B70-AC89-DFD411652D7F}" name="VENTA" dataDxfId="6963" totalsRowDxfId="6962" dataCellStyle="Moneda"/>
    <tableColumn id="4" xr3:uid="{5AD3FB3E-D3CA-4440-A0CD-32BA1A430DA6}" name="ICO 8%" dataDxfId="6961" totalsRowDxfId="6960" dataCellStyle="Moneda">
      <calculatedColumnFormula>+E313/1.08*0.08</calculatedColumnFormula>
    </tableColumn>
    <tableColumn id="5" xr3:uid="{37073B59-35E3-41F4-B752-5ACD386846A9}" name="BASE" dataDxfId="6959" totalsRowDxfId="6958">
      <calculatedColumnFormula>+Tabla551810723519260282[[#This Row],[VENTA]]-Tabla551810723519260282[[#This Row],[ICO 8%]]</calculatedColumnFormula>
    </tableColumn>
    <tableColumn id="6" xr3:uid="{FAD9CA47-F918-4891-A38E-FC573A5A9739}" name="%" totalsRowFunction="average" dataDxfId="6957" totalsRowDxfId="6956" dataCellStyle="Porcentaje">
      <calculatedColumnFormula>+Tabla551810723519260282[[#This Row],[COSTO]]/Tabla551810723519260282[[#This Row],[BASE]]</calculatedColumnFormula>
    </tableColumn>
    <tableColumn id="7" xr3:uid="{8A596C43-F72D-432C-9256-F62DFBB3B9C5}" name="RENTABILIDAD" dataDxfId="6955" totalsRowDxfId="6954">
      <calculatedColumnFormula>+Tabla551810723519260282[[#This Row],[BASE]]/Tabla551810723519260282[[#This Row],[COSTO]]</calculatedColumnFormula>
    </tableColumn>
    <tableColumn id="8" xr3:uid="{81D8C58E-C22E-4B05-AE3C-D403D0F8A453}" name="ROTACION" dataDxfId="6953" totalsRowDxfId="6952">
      <calculatedColumnFormula>+VLOOKUP(Tabla551810723519260282[[#This Row],[ESPUMOSOS]],Tabla77[#All],3,0)</calculatedColumnFormula>
    </tableColumn>
    <tableColumn id="9" xr3:uid="{02EF415F-990F-4CF0-82F5-511AA360ACDA}" name="PRECIO SUGERIDO" dataDxfId="6951" totalsRowDxfId="6950" dataCellStyle="Moneda">
      <calculatedColumnFormula>+D313/(100-65)*100</calculatedColumnFormula>
    </tableColumn>
    <tableColumn id="10" xr3:uid="{57859440-8C2C-4B3C-91DF-1883AD330975}" name="ICO2" dataDxfId="6949" totalsRowDxfId="6948" dataCellStyle="Moneda">
      <calculatedColumnFormula>+K313/1.08*0.08</calculatedColumnFormula>
    </tableColumn>
    <tableColumn id="11" xr3:uid="{BDA43B9A-53E9-4703-8C73-D18D148A1A50}" name="CARTA " dataDxfId="6947" totalsRowDxfId="6946">
      <calculatedColumnFormula>+Tabla551810723519260282[[#This Row],[PRECIO SUGERIDO]]+Tabla551810723519260282[[#This Row],[ICO2]]</calculatedColumnFormula>
    </tableColumn>
    <tableColumn id="12" xr3:uid="{0DA8A88B-D393-4DBD-A89B-F85A255A84EF}" name="PRECIO N" dataDxfId="6945" totalsRowDxfId="6944" dataCellStyle="Moneda"/>
    <tableColumn id="13" xr3:uid="{4D5A7B53-5892-40FC-8FB4-E498391BA3B7}" name="Columna1" dataDxfId="6943" totalsRowDxfId="6942" dataCellStyle="Moneda">
      <calculatedColumnFormula>+N313/1.08*0.08</calculatedColumnFormula>
    </tableColumn>
    <tableColumn id="14" xr3:uid="{59BCB6E9-02A1-43F5-8A1F-A41A0B8385D7}" name="CARTA" dataDxfId="6941" totalsRowDxfId="6940" dataCellStyle="Moneda">
      <calculatedColumnFormula>+Tabla551810723519260282[[#This Row],[PRECIO N]]-Tabla551810723519260282[[#This Row],[Columna1]]</calculatedColumnFormula>
    </tableColumn>
    <tableColumn id="15" xr3:uid="{37C42157-9DC5-436F-8D6F-8CE34F30BF7C}" name="% " dataDxfId="6939" totalsRowDxfId="6938" dataCellStyle="Porcentaje">
      <calculatedColumnFormula>+D313/P313</calculatedColumnFormula>
    </tableColumn>
    <tableColumn id="16" xr3:uid="{D02DD4C5-9DF9-4095-9DFD-3E9A40FCA4EA}" name="RATION" totalsRowFunction="sum" dataDxfId="6937" totalsRowDxfId="6936">
      <calculatedColumnFormula>+Tabla551810723519260282[[#This Row],[PRECIO N]]/Tabla551810723519260282[[#This Row],[COSTO]]</calculatedColumnFormula>
    </tableColumn>
  </tableColumns>
  <tableStyleInfo name="TableStyleLight8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4" xr:uid="{E93DC30A-F4C0-49A2-9FC9-FADF1DA5A41C}" name="Tabla551810723519260305" displayName="Tabla551810723519260305" ref="B326:R333" totalsRowCount="1" headerRowDxfId="6935" dataDxfId="6934" totalsRowDxfId="6933">
  <autoFilter ref="B326:R332" xr:uid="{8BC45EA1-5D9D-473F-8C51-E4DDE8EC25DB}"/>
  <tableColumns count="17">
    <tableColumn id="1" xr3:uid="{60199147-7DB3-4342-828B-0E1ED9DB451C}" name="PISCO" totalsRowLabel="Total" dataDxfId="6932" totalsRowDxfId="6931"/>
    <tableColumn id="17" xr3:uid="{4EDDA6C3-B283-4A49-BB0A-5B9822E2C022}" name="DESCRIPCION" dataDxfId="6930" totalsRowDxfId="6929"/>
    <tableColumn id="2" xr3:uid="{8B5DD334-67F2-42EF-A9CA-7E9F46730D39}" name="COSTO" dataDxfId="6928" totalsRowDxfId="6927" dataCellStyle="Moneda"/>
    <tableColumn id="3" xr3:uid="{B26E4467-9FA0-4FAD-9929-A319A06AB795}" name="VENTA" dataDxfId="6926" totalsRowDxfId="6925" dataCellStyle="Moneda"/>
    <tableColumn id="4" xr3:uid="{7953D5A8-C05F-46FD-B3EA-6C9C2539F4AF}" name="ICO 8%" dataDxfId="6924" totalsRowDxfId="6923" dataCellStyle="Moneda">
      <calculatedColumnFormula>+E327/1.08*0.08</calculatedColumnFormula>
    </tableColumn>
    <tableColumn id="5" xr3:uid="{88B8C247-69B0-420D-8527-D9251A623873}" name="BASE" dataDxfId="6922" totalsRowDxfId="6921">
      <calculatedColumnFormula>+Tabla551810723519260305[[#This Row],[VENTA]]-Tabla551810723519260305[[#This Row],[ICO 8%]]</calculatedColumnFormula>
    </tableColumn>
    <tableColumn id="6" xr3:uid="{FEE2EFDB-97F5-4C32-B440-ECFB61A9C4A5}" name="%" totalsRowFunction="average" dataDxfId="6920" totalsRowDxfId="6919" dataCellStyle="Porcentaje">
      <calculatedColumnFormula>+Tabla551810723519260305[[#This Row],[COSTO]]/Tabla551810723519260305[[#This Row],[BASE]]</calculatedColumnFormula>
    </tableColumn>
    <tableColumn id="7" xr3:uid="{8685B66A-E07E-4206-BFE2-FABBF2968B68}" name="RENTABILIDAD" dataDxfId="6918" totalsRowDxfId="6917">
      <calculatedColumnFormula>+Tabla551810723519260305[[#This Row],[BASE]]/Tabla551810723519260305[[#This Row],[COSTO]]</calculatedColumnFormula>
    </tableColumn>
    <tableColumn id="8" xr3:uid="{6FC9D389-97DD-4968-8468-F18990CE0492}" name="ROTACION" dataDxfId="6916" totalsRowDxfId="6915">
      <calculatedColumnFormula>+VLOOKUP(Tabla551810723519260305[[#This Row],[PISCO]],Tabla77[#All],3,0)</calculatedColumnFormula>
    </tableColumn>
    <tableColumn id="9" xr3:uid="{46B9EBD5-783E-4330-991F-B9759672DEBB}" name="PRECIO SUGERIDO" dataDxfId="6914" totalsRowDxfId="6913" dataCellStyle="Moneda">
      <calculatedColumnFormula>+D327/(100-60)*100</calculatedColumnFormula>
    </tableColumn>
    <tableColumn id="10" xr3:uid="{C8366796-8D1C-473F-AD77-9416A51F3F79}" name="ICO2" dataDxfId="6912" totalsRowDxfId="6911" dataCellStyle="Moneda">
      <calculatedColumnFormula>+K327/1.08*0.08</calculatedColumnFormula>
    </tableColumn>
    <tableColumn id="11" xr3:uid="{085CD57D-8F66-41FB-8044-82B9F380CE25}" name="CARTA " dataDxfId="6910" totalsRowDxfId="6909">
      <calculatedColumnFormula>+Tabla551810723519260305[[#This Row],[PRECIO SUGERIDO]]+Tabla551810723519260305[[#This Row],[ICO2]]</calculatedColumnFormula>
    </tableColumn>
    <tableColumn id="12" xr3:uid="{D62DC61C-052D-4E19-AEB5-D29C1639ED98}" name="PRECIO N" dataDxfId="6908" totalsRowDxfId="6907" dataCellStyle="Moneda"/>
    <tableColumn id="13" xr3:uid="{7CE50063-C773-4FF9-A92F-9F1ECB21B8A8}" name="Columna1" dataDxfId="6906" totalsRowDxfId="6905" dataCellStyle="Moneda">
      <calculatedColumnFormula>+N327/1.08*0.08</calculatedColumnFormula>
    </tableColumn>
    <tableColumn id="14" xr3:uid="{2203C6DE-FCF9-4FA9-B028-FF427B878CD7}" name="CARTA" dataDxfId="6904" totalsRowDxfId="6903" dataCellStyle="Moneda">
      <calculatedColumnFormula>+Tabla551810723519260305[[#This Row],[PRECIO N]]-Tabla551810723519260305[[#This Row],[Columna1]]</calculatedColumnFormula>
    </tableColumn>
    <tableColumn id="15" xr3:uid="{DA028DBB-98C0-4DEC-85C4-972639E8DF79}" name="% " dataDxfId="6902" totalsRowDxfId="6901" dataCellStyle="Porcentaje">
      <calculatedColumnFormula>+Tabla551810723519260305[[#This Row],[COSTO]]/Tabla551810723519260305[[#This Row],[CARTA]]</calculatedColumnFormula>
    </tableColumn>
    <tableColumn id="16" xr3:uid="{DE9E3B13-CADA-4184-B11F-89E291CB24E7}" name="RATION" totalsRowFunction="sum" dataDxfId="6900" totalsRowDxfId="6899">
      <calculatedColumnFormula>+Tabla551810723519260305[[#This Row],[PRECIO N]]/Tabla551810723519260305[[#This Row],[COSTO]]</calculatedColumnFormula>
    </tableColumn>
  </tableColumns>
  <tableStyleInfo name="TableStyleLight8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8" xr:uid="{D2AEB8BC-D579-4B8B-9D18-D861F037A8B3}" name="Tabla551810723519260305309" displayName="Tabla551810723519260305309" ref="B339:R343" totalsRowCount="1" headerRowDxfId="6898" dataDxfId="6897" totalsRowDxfId="6896">
  <autoFilter ref="B339:R342" xr:uid="{32774C71-0CFF-41CA-A745-5ABBA66D3FD7}"/>
  <tableColumns count="17">
    <tableColumn id="1" xr3:uid="{594878AA-D6E2-4416-9FB2-9EB164BF8D2D}" name="AGUARDIENTE" totalsRowLabel="Total" dataDxfId="6895" totalsRowDxfId="6894"/>
    <tableColumn id="17" xr3:uid="{F695F72E-548E-4764-857F-82BD58528F3F}" name="DESCRIPCION" dataDxfId="6893" totalsRowDxfId="6892"/>
    <tableColumn id="2" xr3:uid="{C0B7D24B-93F0-4711-ABCA-457D843E1F1D}" name="COSTO" dataDxfId="6891" totalsRowDxfId="6890" dataCellStyle="Moneda"/>
    <tableColumn id="3" xr3:uid="{AD5D8E5D-7AD6-4BCD-96FE-1F49583E0CE2}" name="VENTA" dataDxfId="6889" totalsRowDxfId="6888" dataCellStyle="Moneda"/>
    <tableColumn id="4" xr3:uid="{F99DACAD-0821-4565-AC90-D4121B4FF85F}" name="ICO 8%" dataDxfId="6887" totalsRowDxfId="6886" dataCellStyle="Moneda">
      <calculatedColumnFormula>+E340/1.08*0.08</calculatedColumnFormula>
    </tableColumn>
    <tableColumn id="5" xr3:uid="{87F3F8D1-D34C-468A-B9EA-18D782174716}" name="BASE" dataDxfId="6885" totalsRowDxfId="6884">
      <calculatedColumnFormula>+Tabla551810723519260305309[[#This Row],[VENTA]]-Tabla551810723519260305309[[#This Row],[ICO 8%]]</calculatedColumnFormula>
    </tableColumn>
    <tableColumn id="6" xr3:uid="{0A473AF9-4312-46A7-BC32-9C3AB14732EC}" name="%" totalsRowFunction="average" dataDxfId="6883" totalsRowDxfId="6882" dataCellStyle="Porcentaje">
      <calculatedColumnFormula>+Tabla551810723519260305309[[#This Row],[COSTO]]/Tabla551810723519260305309[[#This Row],[BASE]]</calculatedColumnFormula>
    </tableColumn>
    <tableColumn id="7" xr3:uid="{E5907093-EB94-409B-92B3-51A590C1D8F0}" name="RENTABILIDAD" dataDxfId="6881" totalsRowDxfId="6880">
      <calculatedColumnFormula>+Tabla551810723519260305309[[#This Row],[BASE]]/Tabla551810723519260305309[[#This Row],[COSTO]]</calculatedColumnFormula>
    </tableColumn>
    <tableColumn id="8" xr3:uid="{D6050AD9-741F-4CC9-9232-F0B7061C443A}" name="ROTACION" dataDxfId="6879" totalsRowDxfId="6878">
      <calculatedColumnFormula>+VLOOKUP(Tabla551810723519260305309[[#This Row],[AGUARDIENTE]],Tabla77[#All],3,0)</calculatedColumnFormula>
    </tableColumn>
    <tableColumn id="9" xr3:uid="{1CD38378-94A3-4968-BFFF-85C3679B1BB0}" name="PRECIO SUGERIDO" dataDxfId="6877" totalsRowDxfId="6876" dataCellStyle="Moneda">
      <calculatedColumnFormula>+D340/(100-75)*100</calculatedColumnFormula>
    </tableColumn>
    <tableColumn id="10" xr3:uid="{B39F7298-5347-410E-AF3A-83608907EE79}" name="ICO2" dataDxfId="6875" totalsRowDxfId="6874" dataCellStyle="Moneda">
      <calculatedColumnFormula>+K340/1.08*0.08</calculatedColumnFormula>
    </tableColumn>
    <tableColumn id="11" xr3:uid="{B269AF59-448C-46FB-BABB-D55E8F8DACB2}" name="CARTA " dataDxfId="6873" totalsRowDxfId="6872">
      <calculatedColumnFormula>+Tabla551810723519260305309[[#This Row],[PRECIO SUGERIDO]]+Tabla551810723519260305309[[#This Row],[ICO2]]</calculatedColumnFormula>
    </tableColumn>
    <tableColumn id="12" xr3:uid="{8BF6CF2B-2C79-4471-B277-47573429E9A1}" name="PRECIO N" dataDxfId="6871" totalsRowDxfId="6870" dataCellStyle="Moneda"/>
    <tableColumn id="13" xr3:uid="{A0F05650-D9C0-4D0F-8B2B-524DE051A302}" name="Columna1" dataDxfId="6869" totalsRowDxfId="6868" dataCellStyle="Moneda">
      <calculatedColumnFormula>+N340/1.08*0.08</calculatedColumnFormula>
    </tableColumn>
    <tableColumn id="14" xr3:uid="{EA9BD798-1E95-4D64-95C2-04F72397E2DC}" name="CARTA" dataDxfId="6867" totalsRowDxfId="6866" dataCellStyle="Moneda">
      <calculatedColumnFormula>+Tabla551810723519260305309[[#This Row],[PRECIO N]]-Tabla551810723519260305309[[#This Row],[Columna1]]</calculatedColumnFormula>
    </tableColumn>
    <tableColumn id="15" xr3:uid="{55F050D8-0622-4B7B-8328-69FD3D6FB2FF}" name="% " dataDxfId="6865" totalsRowDxfId="6864" dataCellStyle="Porcentaje">
      <calculatedColumnFormula>+Tabla551810723519260305309[[#This Row],[COSTO]]/Tabla551810723519260305309[[#This Row],[CARTA]]</calculatedColumnFormula>
    </tableColumn>
    <tableColumn id="16" xr3:uid="{19823A59-0BC6-409A-B52A-3C12C04D678B}" name="RATION" totalsRowFunction="sum" dataDxfId="6863" totalsRowDxfId="6862">
      <calculatedColumnFormula>+Tabla551810723519260305309[[#This Row],[PRECIO N]]/Tabla551810723519260305309[[#This Row],[COSTO]]</calculatedColumnFormula>
    </tableColumn>
  </tableColumns>
  <tableStyleInfo name="TableStyleLight8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9" xr:uid="{5201B822-7FDF-48F5-92D1-90A4B735F7C3}" name="Tabla551810723519260305310" displayName="Tabla551810723519260305310" ref="B349:R357" totalsRowCount="1" headerRowDxfId="6861" dataDxfId="6860" totalsRowDxfId="6859">
  <autoFilter ref="B349:R356" xr:uid="{6A7A0089-9239-4A93-9656-FD3816B9ABEA}"/>
  <tableColumns count="17">
    <tableColumn id="1" xr3:uid="{F7BB70BB-3E0D-4723-94C1-701A931CA8D2}" name="RON" totalsRowLabel="Total" dataDxfId="6858" totalsRowDxfId="6857"/>
    <tableColumn id="17" xr3:uid="{21E01493-4F3C-4A2A-9A29-B2D1F029D830}" name="DESCRIPCION" dataDxfId="6856" totalsRowDxfId="6855"/>
    <tableColumn id="2" xr3:uid="{17BEC28E-8015-4B9D-96FE-D9604496E6E5}" name="COSTO" dataDxfId="6854" totalsRowDxfId="6853" dataCellStyle="Moneda"/>
    <tableColumn id="3" xr3:uid="{E67607A7-6CE1-4830-9A30-A622CC4BAE21}" name="VENTA" dataDxfId="6852" totalsRowDxfId="6851" dataCellStyle="Moneda"/>
    <tableColumn id="4" xr3:uid="{840EB135-4816-4777-A712-C6E706174DD0}" name="ICO 8%" dataDxfId="6850" totalsRowDxfId="6849" dataCellStyle="Moneda">
      <calculatedColumnFormula>+E350/1.08*0.08</calculatedColumnFormula>
    </tableColumn>
    <tableColumn id="5" xr3:uid="{290DCD00-9E22-4053-A44B-ECA36D551F20}" name="BASE" dataDxfId="6848" totalsRowDxfId="6847">
      <calculatedColumnFormula>+Tabla551810723519260305310[[#This Row],[VENTA]]-Tabla551810723519260305310[[#This Row],[ICO 8%]]</calculatedColumnFormula>
    </tableColumn>
    <tableColumn id="6" xr3:uid="{C52ECEE5-DFF5-4BDA-83A8-D1011024484C}" name="%" totalsRowFunction="average" dataDxfId="6846" totalsRowDxfId="6845" dataCellStyle="Porcentaje">
      <calculatedColumnFormula>+Tabla551810723519260305310[[#This Row],[COSTO]]/Tabla551810723519260305310[[#This Row],[BASE]]</calculatedColumnFormula>
    </tableColumn>
    <tableColumn id="7" xr3:uid="{4787EA89-39CB-473A-833D-517E92A9D641}" name="RENTABILIDAD" dataDxfId="6844" totalsRowDxfId="6843">
      <calculatedColumnFormula>+Tabla551810723519260305310[[#This Row],[BASE]]/Tabla551810723519260305310[[#This Row],[COSTO]]</calculatedColumnFormula>
    </tableColumn>
    <tableColumn id="8" xr3:uid="{5B7453CA-5D86-4CE0-9A62-165B4D943B25}" name="ROTACION" dataDxfId="6842" totalsRowDxfId="6841">
      <calculatedColumnFormula>+VLOOKUP(Tabla551810723519260305310[[#This Row],[RON]],Tabla77[#All],3,0)</calculatedColumnFormula>
    </tableColumn>
    <tableColumn id="9" xr3:uid="{5F35CBFD-0BA0-4764-AB28-AA5EDE8628AD}" name="PRECIO SUGERIDO" dataDxfId="6840" totalsRowDxfId="6839" dataCellStyle="Moneda">
      <calculatedColumnFormula>+D350/(100-40)*100</calculatedColumnFormula>
    </tableColumn>
    <tableColumn id="10" xr3:uid="{32228B00-FFD0-4E75-A7D7-4BEF276AE7BE}" name="ICO2" dataDxfId="6838" totalsRowDxfId="6837" dataCellStyle="Moneda">
      <calculatedColumnFormula>+K350/1.08*0.08</calculatedColumnFormula>
    </tableColumn>
    <tableColumn id="11" xr3:uid="{7E0BC228-20BD-4E20-82F6-CA9BF9288956}" name="CARTA " dataDxfId="6836" totalsRowDxfId="6835">
      <calculatedColumnFormula>+Tabla551810723519260305310[[#This Row],[PRECIO SUGERIDO]]+Tabla551810723519260305310[[#This Row],[ICO2]]</calculatedColumnFormula>
    </tableColumn>
    <tableColumn id="12" xr3:uid="{30E246CA-DD69-45E6-91A0-223153DD5009}" name="PRECIO N" dataDxfId="6834" totalsRowDxfId="6833" dataCellStyle="Moneda"/>
    <tableColumn id="13" xr3:uid="{10548CF7-E0CF-459C-ACBF-E12F0D5937F9}" name="Columna1" dataDxfId="6832" totalsRowDxfId="6831" dataCellStyle="Moneda">
      <calculatedColumnFormula>+N350/1.08*0.08</calculatedColumnFormula>
    </tableColumn>
    <tableColumn id="14" xr3:uid="{C242B207-D742-44FA-8ED0-50FFA221AC9F}" name="CARTA" dataDxfId="6830" totalsRowDxfId="6829" dataCellStyle="Moneda">
      <calculatedColumnFormula>+Tabla551810723519260305310[[#This Row],[PRECIO N]]-Tabla551810723519260305310[[#This Row],[Columna1]]</calculatedColumnFormula>
    </tableColumn>
    <tableColumn id="15" xr3:uid="{CB9B783F-0190-49C8-A4CF-AB227377CE17}" name="% " dataDxfId="6828" totalsRowDxfId="6827" dataCellStyle="Porcentaje">
      <calculatedColumnFormula>+Tabla551810723519260305310[[#This Row],[COSTO]]/Tabla551810723519260305310[[#This Row],[CARTA]]</calculatedColumnFormula>
    </tableColumn>
    <tableColumn id="16" xr3:uid="{40673FAB-BD96-41F6-BE80-72A55D2D134F}" name="RATION" totalsRowFunction="sum" dataDxfId="6826" totalsRowDxfId="6825">
      <calculatedColumnFormula>+Tabla551810723519260305310[[#This Row],[PRECIO N]]/Tabla551810723519260305310[[#This Row],[COSTO]]</calculatedColumnFormula>
    </tableColumn>
  </tableColumns>
  <tableStyleInfo name="TableStyleLight8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0" xr:uid="{A0826C1C-04C6-4A5F-938D-1C12D07BC39C}" name="Tabla551810723519260305311" displayName="Tabla551810723519260305311" ref="B361:R374" totalsRowCount="1" headerRowDxfId="6824" dataDxfId="6823" totalsRowDxfId="6822">
  <autoFilter ref="B361:R373" xr:uid="{0840B02A-98A7-4ED0-844C-CCA437A3836D}"/>
  <tableColumns count="17">
    <tableColumn id="1" xr3:uid="{438114B9-F87E-4890-AB34-FE84BE8A9EC9}" name="TEQUILA Y MEZCAL" totalsRowLabel="Total" dataDxfId="6821" totalsRowDxfId="6820"/>
    <tableColumn id="17" xr3:uid="{25BF8444-A8A6-4914-9152-6EEE3DD5B73C}" name="DESCRIPCION" dataDxfId="6819" totalsRowDxfId="6818"/>
    <tableColumn id="2" xr3:uid="{CDEDE91D-9CCB-4625-904E-3DF406CCA74D}" name="COSTO" dataDxfId="6817" totalsRowDxfId="6816" dataCellStyle="Moneda"/>
    <tableColumn id="3" xr3:uid="{F17C8964-FC27-46CD-81EB-C2C9229283BE}" name="VENTA" dataDxfId="6815" totalsRowDxfId="6814" dataCellStyle="Moneda"/>
    <tableColumn id="4" xr3:uid="{50B6B6CE-9CA0-4854-A60F-5D6B83ED26FC}" name="ICO 8%" dataDxfId="6813" totalsRowDxfId="6812" dataCellStyle="Moneda">
      <calculatedColumnFormula>+E362/1.08*0.08</calculatedColumnFormula>
    </tableColumn>
    <tableColumn id="5" xr3:uid="{2FFCDEDF-236B-40AD-A404-36C0BAE3FB73}" name="BASE" dataDxfId="6811" totalsRowDxfId="6810">
      <calculatedColumnFormula>+Tabla551810723519260305311[[#This Row],[VENTA]]-Tabla551810723519260305311[[#This Row],[ICO 8%]]</calculatedColumnFormula>
    </tableColumn>
    <tableColumn id="6" xr3:uid="{FCAF4F62-FDAC-448F-AF47-5B64A3FACF2C}" name="%" totalsRowFunction="average" dataDxfId="6809" totalsRowDxfId="6808" dataCellStyle="Porcentaje">
      <calculatedColumnFormula>+Tabla551810723519260305311[[#This Row],[COSTO]]/Tabla551810723519260305311[[#This Row],[BASE]]</calculatedColumnFormula>
    </tableColumn>
    <tableColumn id="7" xr3:uid="{5E941C96-BB23-4E29-965E-77549DBA3F10}" name="RENTABILIDAD" dataDxfId="6807" totalsRowDxfId="6806">
      <calculatedColumnFormula>+Tabla551810723519260305311[[#This Row],[BASE]]/Tabla551810723519260305311[[#This Row],[COSTO]]</calculatedColumnFormula>
    </tableColumn>
    <tableColumn id="8" xr3:uid="{BD38AD5A-591B-4ABE-A3B9-8CB080B6118D}" name="ROTACION" dataDxfId="6805" totalsRowDxfId="6804">
      <calculatedColumnFormula>+VLOOKUP(Tabla551810723519260305311[[#This Row],[TEQUILA Y MEZCAL]],Tabla77[#All],3,0)</calculatedColumnFormula>
    </tableColumn>
    <tableColumn id="9" xr3:uid="{FC1B5392-EEE5-4DA4-AAAF-252AD96CF86B}" name="PRECIO SUGERIDO" dataDxfId="6803" totalsRowDxfId="6802" dataCellStyle="Moneda">
      <calculatedColumnFormula>+D362/(100-60)*100</calculatedColumnFormula>
    </tableColumn>
    <tableColumn id="10" xr3:uid="{FDE81FF9-E008-4DE1-A44C-0D618B703DCE}" name="ICO2" dataDxfId="6801" totalsRowDxfId="6800" dataCellStyle="Moneda">
      <calculatedColumnFormula>+K362/1.08*0.08</calculatedColumnFormula>
    </tableColumn>
    <tableColumn id="11" xr3:uid="{FA7633EE-182F-4A43-8F39-DBD1A401CB2E}" name="CARTA " dataDxfId="6799" totalsRowDxfId="6798">
      <calculatedColumnFormula>+Tabla551810723519260305311[[#This Row],[PRECIO SUGERIDO]]+Tabla551810723519260305311[[#This Row],[ICO2]]</calculatedColumnFormula>
    </tableColumn>
    <tableColumn id="12" xr3:uid="{23C1EFF6-3EEA-480F-97E8-8207C1EEB128}" name="PRECIO N" dataDxfId="6797" totalsRowDxfId="6796" dataCellStyle="Moneda"/>
    <tableColumn id="13" xr3:uid="{B07C8B9C-6323-49FD-BCAA-B6F76D5BB61F}" name="Columna1" dataDxfId="6795" totalsRowDxfId="6794" dataCellStyle="Moneda">
      <calculatedColumnFormula>+N362/1.08*0.08</calculatedColumnFormula>
    </tableColumn>
    <tableColumn id="14" xr3:uid="{38258882-6672-4C1F-AEE2-7D95E02C5F09}" name="CARTA" dataDxfId="6793" totalsRowDxfId="6792" dataCellStyle="Moneda">
      <calculatedColumnFormula>+Tabla551810723519260305311[[#This Row],[PRECIO N]]-Tabla551810723519260305311[[#This Row],[Columna1]]</calculatedColumnFormula>
    </tableColumn>
    <tableColumn id="15" xr3:uid="{C3BA4FD0-4160-48EB-9A74-0B90A76F27AE}" name="% " dataDxfId="6791" totalsRowDxfId="6790" dataCellStyle="Porcentaje">
      <calculatedColumnFormula>+Tabla551810723519260305311[[#This Row],[COSTO]]/Tabla551810723519260305311[[#This Row],[CARTA]]</calculatedColumnFormula>
    </tableColumn>
    <tableColumn id="16" xr3:uid="{A08807BF-66AB-4896-8EEE-E8F84FB18BAF}" name="RATION" totalsRowFunction="sum" dataDxfId="6789" totalsRowDxfId="6788">
      <calculatedColumnFormula>+Tabla551810723519260305311[[#This Row],[PRECIO N]]/Tabla551810723519260305311[[#This Row],[COSTO]]</calculatedColumnFormula>
    </tableColumn>
  </tableColumns>
  <tableStyleInfo name="TableStyleLight8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1" xr:uid="{703E0BAE-8AEA-4752-B596-229A074DEB70}" name="Tabla551810723519260305312" displayName="Tabla551810723519260305312" ref="B379:R392" totalsRowCount="1" headerRowDxfId="6787" dataDxfId="6786" totalsRowDxfId="6785">
  <autoFilter ref="B379:R391" xr:uid="{D0732D2E-41B4-4CA8-8B82-8A553DE62717}"/>
  <tableColumns count="17">
    <tableColumn id="1" xr3:uid="{20DD4201-568D-4E67-A7BA-B27D71A8C809}" name="WHISKY Y WHISKEY" totalsRowLabel="Total" dataDxfId="6784" totalsRowDxfId="6783"/>
    <tableColumn id="17" xr3:uid="{54866272-7322-4755-9161-A5FDA27D229B}" name="DESCRIPCION" dataDxfId="6782" totalsRowDxfId="6781"/>
    <tableColumn id="2" xr3:uid="{138D93F8-9334-48A5-A1DE-C19655FE4EE3}" name="COSTO" dataDxfId="6780" totalsRowDxfId="6779" dataCellStyle="Moneda"/>
    <tableColumn id="3" xr3:uid="{3FC27044-5515-4156-A6C5-0DA0BB8DB23E}" name="VENTA" dataDxfId="6778" totalsRowDxfId="6777" dataCellStyle="Moneda"/>
    <tableColumn id="4" xr3:uid="{B59349DD-4636-4324-9149-B2B746D92F4A}" name="ICO 8%" dataDxfId="6776" totalsRowDxfId="6775" dataCellStyle="Moneda">
      <calculatedColumnFormula>+E380/1.08*0.08</calculatedColumnFormula>
    </tableColumn>
    <tableColumn id="5" xr3:uid="{D20E9A40-584C-4162-8B09-CABC61448C3D}" name="BASE" dataDxfId="6774" totalsRowDxfId="6773">
      <calculatedColumnFormula>+Tabla551810723519260305312[[#This Row],[VENTA]]-Tabla551810723519260305312[[#This Row],[ICO 8%]]</calculatedColumnFormula>
    </tableColumn>
    <tableColumn id="6" xr3:uid="{4694881F-00F0-422A-84D9-6C1DE28427EC}" name="%" totalsRowFunction="average" dataDxfId="6772" totalsRowDxfId="6771" dataCellStyle="Porcentaje">
      <calculatedColumnFormula>+Tabla551810723519260305312[[#This Row],[COSTO]]/Tabla551810723519260305312[[#This Row],[BASE]]</calculatedColumnFormula>
    </tableColumn>
    <tableColumn id="7" xr3:uid="{719DD227-DB94-4C22-95F5-BCCFAA91D6DA}" name="RENTABILIDAD" dataDxfId="6770" totalsRowDxfId="6769">
      <calculatedColumnFormula>+Tabla551810723519260305312[[#This Row],[BASE]]/Tabla551810723519260305312[[#This Row],[COSTO]]</calculatedColumnFormula>
    </tableColumn>
    <tableColumn id="8" xr3:uid="{A027BD3E-8B2B-4142-883E-0FBF5487A719}" name="ROTACION" dataDxfId="6768" totalsRowDxfId="6767">
      <calculatedColumnFormula>+VLOOKUP(Tabla551810723519260305312[[#This Row],[WHISKY Y WHISKEY]],Tabla77[#All],3,0)</calculatedColumnFormula>
    </tableColumn>
    <tableColumn id="9" xr3:uid="{D595C514-CC98-49DE-916F-627311E575C0}" name="PRECIO SUGERIDO" dataDxfId="6766" totalsRowDxfId="6765" dataCellStyle="Moneda">
      <calculatedColumnFormula>+D380/(100-60)*100</calculatedColumnFormula>
    </tableColumn>
    <tableColumn id="10" xr3:uid="{AED9670F-13F2-4608-863E-D7E147202114}" name="ICO2" dataDxfId="6764" totalsRowDxfId="6763" dataCellStyle="Moneda">
      <calculatedColumnFormula>+K380/1.08*0.08</calculatedColumnFormula>
    </tableColumn>
    <tableColumn id="11" xr3:uid="{AF9CC341-8D34-47B7-B110-E77AB2363A93}" name="CARTA " dataDxfId="6762" totalsRowDxfId="6761">
      <calculatedColumnFormula>+Tabla551810723519260305312[[#This Row],[PRECIO SUGERIDO]]+Tabla551810723519260305312[[#This Row],[ICO2]]</calculatedColumnFormula>
    </tableColumn>
    <tableColumn id="12" xr3:uid="{639825DF-0652-4AC3-A399-928FC5171841}" name="PRECIO N" dataDxfId="6760" totalsRowDxfId="6759" dataCellStyle="Moneda"/>
    <tableColumn id="13" xr3:uid="{7BDFEBAA-1F90-457B-B6DC-1AC99DC69D15}" name="Columna1" dataDxfId="6758" totalsRowDxfId="6757" dataCellStyle="Moneda">
      <calculatedColumnFormula>+N380/1.08*0.08</calculatedColumnFormula>
    </tableColumn>
    <tableColumn id="14" xr3:uid="{7F4D94AD-299D-4BA9-8437-9D144F8EB4DF}" name="CARTA" dataDxfId="6756" totalsRowDxfId="6755" dataCellStyle="Moneda">
      <calculatedColumnFormula>+Tabla551810723519260305312[[#This Row],[PRECIO N]]-Tabla551810723519260305312[[#This Row],[Columna1]]</calculatedColumnFormula>
    </tableColumn>
    <tableColumn id="15" xr3:uid="{AB999195-85F9-461E-B794-182BBCD09F39}" name="% " dataDxfId="6754" totalsRowDxfId="6753" dataCellStyle="Porcentaje">
      <calculatedColumnFormula>+Tabla551810723519260305312[[#This Row],[COSTO]]/Tabla551810723519260305312[[#This Row],[CARTA]]</calculatedColumnFormula>
    </tableColumn>
    <tableColumn id="16" xr3:uid="{907B0A91-DF95-4EE2-ABF2-5EA412D37109}" name="RATION" totalsRowFunction="sum" dataDxfId="6752" totalsRowDxfId="6751">
      <calculatedColumnFormula>+Tabla551810723519260305312[[#This Row],[PRECIO N]]/Tabla551810723519260305312[[#This Row],[COSTO]]</calculatedColumnFormula>
    </tableColumn>
  </tableColumns>
  <tableStyleInfo name="TableStyleLight8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2" xr:uid="{121BFE32-00CB-4677-91EA-641E8B2A16A0}" name="Tabla551810723519260305323" displayName="Tabla551810723519260305323" ref="B397:R405" totalsRowCount="1" headerRowDxfId="6750" dataDxfId="6749" totalsRowDxfId="6748">
  <autoFilter ref="B397:R404" xr:uid="{B91BAFC0-DD05-4BC7-9CFC-CB2D388E43F2}"/>
  <tableColumns count="17">
    <tableColumn id="1" xr3:uid="{B4982668-F621-4476-87FA-1945D600BC53}" name="VODKA" totalsRowLabel="Total" dataDxfId="6747" totalsRowDxfId="6746"/>
    <tableColumn id="17" xr3:uid="{A9CCDACA-E97E-449C-95E5-103785083684}" name="DESCRIPCION" dataDxfId="6745" totalsRowDxfId="6744"/>
    <tableColumn id="2" xr3:uid="{55ADDC53-1DA7-4DFF-BA81-67A7E171CC46}" name="COSTO" dataDxfId="6743" totalsRowDxfId="6742" dataCellStyle="Moneda"/>
    <tableColumn id="3" xr3:uid="{781CC070-D981-406D-9C6F-131B3E17AC7B}" name="VENTA" dataDxfId="6741" totalsRowDxfId="6740" dataCellStyle="Moneda"/>
    <tableColumn id="4" xr3:uid="{79637913-3FA9-4EBE-BCC3-23F4A746630A}" name="ICO 8%" dataDxfId="6739" totalsRowDxfId="6738" dataCellStyle="Moneda">
      <calculatedColumnFormula>+E398/1.08*0.08</calculatedColumnFormula>
    </tableColumn>
    <tableColumn id="5" xr3:uid="{895F63F5-F372-40A4-B0DA-7F5FA922128D}" name="BASE" dataDxfId="6737" totalsRowDxfId="6736">
      <calculatedColumnFormula>+Tabla551810723519260305323[[#This Row],[VENTA]]-Tabla551810723519260305323[[#This Row],[ICO 8%]]</calculatedColumnFormula>
    </tableColumn>
    <tableColumn id="6" xr3:uid="{8A1B6AD7-BE5D-4C35-B58D-330FE04410F3}" name="%" totalsRowFunction="average" dataDxfId="6735" totalsRowDxfId="6734" dataCellStyle="Porcentaje">
      <calculatedColumnFormula>+Tabla551810723519260305323[[#This Row],[COSTO]]/Tabla551810723519260305323[[#This Row],[BASE]]</calculatedColumnFormula>
    </tableColumn>
    <tableColumn id="7" xr3:uid="{00CAFE9F-912F-433B-BC77-F469CC74B46B}" name="RENTABILIDAD" dataDxfId="6733" totalsRowDxfId="6732">
      <calculatedColumnFormula>+Tabla551810723519260305323[[#This Row],[BASE]]/Tabla551810723519260305323[[#This Row],[COSTO]]</calculatedColumnFormula>
    </tableColumn>
    <tableColumn id="8" xr3:uid="{9E670751-EA86-4E73-9D87-286EDC88480F}" name="ROTACION" dataDxfId="6731" totalsRowDxfId="6730">
      <calculatedColumnFormula>+VLOOKUP(Tabla551810723519260305323[[#This Row],[VODKA]],Tabla77[#All],3,0)</calculatedColumnFormula>
    </tableColumn>
    <tableColumn id="9" xr3:uid="{531EB028-2C7A-4A89-8D51-A6E092CA26A2}" name="PRECIO SUGERIDO" dataDxfId="6729" totalsRowDxfId="6728" dataCellStyle="Moneda">
      <calculatedColumnFormula>+D398/(100-60)*100</calculatedColumnFormula>
    </tableColumn>
    <tableColumn id="10" xr3:uid="{D086B23E-6805-40A4-9725-00EBBA082D0A}" name="ICO2" dataDxfId="6727" totalsRowDxfId="6726" dataCellStyle="Moneda">
      <calculatedColumnFormula>+K398/1.08*0.08</calculatedColumnFormula>
    </tableColumn>
    <tableColumn id="11" xr3:uid="{FEF95ADB-9046-4D2C-B6FD-FE72D7293B67}" name="CARTA " dataDxfId="6725" totalsRowDxfId="6724">
      <calculatedColumnFormula>+Tabla551810723519260305323[[#This Row],[PRECIO SUGERIDO]]+Tabla551810723519260305323[[#This Row],[ICO2]]</calculatedColumnFormula>
    </tableColumn>
    <tableColumn id="12" xr3:uid="{830EC7EB-0035-40B2-925C-E15FA1561408}" name="PRECIO N" dataDxfId="6723" totalsRowDxfId="6722" dataCellStyle="Moneda"/>
    <tableColumn id="13" xr3:uid="{5BBBC0C0-6F7F-4956-A0C7-E49DF9AF22D3}" name="Columna1" dataDxfId="6721" totalsRowDxfId="6720" dataCellStyle="Moneda">
      <calculatedColumnFormula>+N398/1.08*0.08</calculatedColumnFormula>
    </tableColumn>
    <tableColumn id="14" xr3:uid="{3ECEAB70-7E72-4E4A-BB92-36822285DC13}" name="CARTA" dataDxfId="6719" totalsRowDxfId="6718" dataCellStyle="Moneda">
      <calculatedColumnFormula>+Tabla551810723519260305323[[#This Row],[PRECIO N]]-Tabla551810723519260305323[[#This Row],[Columna1]]</calculatedColumnFormula>
    </tableColumn>
    <tableColumn id="15" xr3:uid="{D085CA5E-AC76-4E01-8323-D7D09295F7A9}" name="% " dataDxfId="6717" totalsRowDxfId="6716" dataCellStyle="Porcentaje">
      <calculatedColumnFormula>+Tabla551810723519260305323[[#This Row],[COSTO]]/Tabla551810723519260305323[[#This Row],[CARTA]]</calculatedColumnFormula>
    </tableColumn>
    <tableColumn id="16" xr3:uid="{D8A0821B-5C08-4922-9DAF-4C6D36D9F0DC}" name="RATION" totalsRowFunction="sum" dataDxfId="6715" totalsRowDxfId="6714">
      <calculatedColumnFormula>+Tabla551810723519260305323[[#This Row],[PRECIO N]]/Tabla551810723519260305323[[#This Row],[COSTO]]</calculatedColumnFormula>
    </tableColumn>
  </tableColumns>
  <tableStyleInfo name="TableStyleLight8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3" xr:uid="{805657A2-F84F-4758-BFDC-93EF9A0E09F3}" name="Tabla551810723519260305324" displayName="Tabla551810723519260305324" ref="B408:R415" totalsRowCount="1" headerRowDxfId="6713" dataDxfId="6712" totalsRowDxfId="6711">
  <autoFilter ref="B408:R414" xr:uid="{96E4157A-FE9E-4D0C-B2AE-77E2BCD147E5}"/>
  <tableColumns count="17">
    <tableColumn id="1" xr3:uid="{573956B3-472F-4E04-BAAE-01A6C8DE072F}" name="GINEBRA" totalsRowLabel="Total" dataDxfId="6710" totalsRowDxfId="6709"/>
    <tableColumn id="17" xr3:uid="{FA390098-9067-4A47-B177-85037E821F79}" name="DESCRIPCION" dataDxfId="6708" totalsRowDxfId="6707"/>
    <tableColumn id="2" xr3:uid="{970C9340-8866-413E-891E-BF2BBDC75B59}" name="COSTO" dataDxfId="6706" totalsRowDxfId="6705" dataCellStyle="Moneda"/>
    <tableColumn id="3" xr3:uid="{1E09D3D2-59A8-48A1-9D36-211C856D5683}" name="VENTA" dataDxfId="6704" totalsRowDxfId="6703" dataCellStyle="Moneda"/>
    <tableColumn id="4" xr3:uid="{59D9E920-FD37-48B8-BE45-1BC85BAE0000}" name="ICO 8%" dataDxfId="6702" totalsRowDxfId="6701" dataCellStyle="Moneda">
      <calculatedColumnFormula>+E409/1.08*0.08</calculatedColumnFormula>
    </tableColumn>
    <tableColumn id="5" xr3:uid="{8ACB63F9-8822-460D-9BA4-4B02B86804BD}" name="BASE" dataDxfId="6700" totalsRowDxfId="6699">
      <calculatedColumnFormula>+Tabla551810723519260305324[[#This Row],[VENTA]]-Tabla551810723519260305324[[#This Row],[ICO 8%]]</calculatedColumnFormula>
    </tableColumn>
    <tableColumn id="6" xr3:uid="{055D0E48-0A5A-4E8C-9D6A-927FDFC6D318}" name="%" totalsRowFunction="average" dataDxfId="6698" totalsRowDxfId="6697" dataCellStyle="Porcentaje">
      <calculatedColumnFormula>+Tabla551810723519260305324[[#This Row],[COSTO]]/Tabla551810723519260305324[[#This Row],[BASE]]</calculatedColumnFormula>
    </tableColumn>
    <tableColumn id="7" xr3:uid="{16E572D0-9F94-4066-8B7B-382B7A4BD35B}" name="RENTABILIDAD" dataDxfId="6696" totalsRowDxfId="6695">
      <calculatedColumnFormula>+Tabla551810723519260305324[[#This Row],[BASE]]/Tabla551810723519260305324[[#This Row],[COSTO]]</calculatedColumnFormula>
    </tableColumn>
    <tableColumn id="8" xr3:uid="{F42945E7-A5E6-4C44-9B99-BBC576F04B00}" name="ROTACION" dataDxfId="6694" totalsRowDxfId="6693">
      <calculatedColumnFormula>+VLOOKUP(Tabla551810723519260305324[[#This Row],[GINEBRA]],Tabla77[#All],3,0)</calculatedColumnFormula>
    </tableColumn>
    <tableColumn id="9" xr3:uid="{A3CAACCC-61EA-4F9D-9B85-5D8643E78B3D}" name="PRECIO SUGERIDO" dataDxfId="6692" totalsRowDxfId="6691" dataCellStyle="Moneda">
      <calculatedColumnFormula>+D409/(100-60)*100</calculatedColumnFormula>
    </tableColumn>
    <tableColumn id="10" xr3:uid="{F3A91CC2-F733-4289-8ADB-ADE9FFD7E46D}" name="ICO2" dataDxfId="6690" totalsRowDxfId="6689" dataCellStyle="Moneda">
      <calculatedColumnFormula>+K409/1.08*0.08</calculatedColumnFormula>
    </tableColumn>
    <tableColumn id="11" xr3:uid="{55965503-67AA-4DFA-8C16-ABC32EB32A53}" name="CARTA " dataDxfId="6688" totalsRowDxfId="6687">
      <calculatedColumnFormula>+Tabla551810723519260305324[[#This Row],[PRECIO SUGERIDO]]+Tabla551810723519260305324[[#This Row],[ICO2]]</calculatedColumnFormula>
    </tableColumn>
    <tableColumn id="12" xr3:uid="{E67168E5-719C-4929-BC74-0299A2FB5FBF}" name="PRECIO N" dataDxfId="6686" totalsRowDxfId="6685" dataCellStyle="Moneda"/>
    <tableColumn id="13" xr3:uid="{A7CF0E75-D888-4FDF-B844-BC743801DDF6}" name="Columna1" dataDxfId="6684" totalsRowDxfId="6683" dataCellStyle="Moneda">
      <calculatedColumnFormula>+N409/1.08*0.08</calculatedColumnFormula>
    </tableColumn>
    <tableColumn id="14" xr3:uid="{7FAB29CF-3954-4AAA-969A-0FB18764C3A6}" name="CARTA" dataDxfId="6682" totalsRowDxfId="6681" dataCellStyle="Moneda">
      <calculatedColumnFormula>+Tabla551810723519260305324[[#This Row],[PRECIO N]]-Tabla551810723519260305324[[#This Row],[Columna1]]</calculatedColumnFormula>
    </tableColumn>
    <tableColumn id="15" xr3:uid="{7BBC2BF7-D223-4B12-BB90-5029A1E6886F}" name="% " dataDxfId="6680" totalsRowDxfId="6679" dataCellStyle="Porcentaje">
      <calculatedColumnFormula>+Tabla551810723519260305324[[#This Row],[COSTO]]/Tabla551810723519260305324[[#This Row],[CARTA]]</calculatedColumnFormula>
    </tableColumn>
    <tableColumn id="16" xr3:uid="{42B4BECB-7526-49A8-81CF-7617FBBBDABB}" name="RATION" totalsRowFunction="sum" dataDxfId="6678" totalsRowDxfId="6677">
      <calculatedColumnFormula>+Tabla551810723519260305324[[#This Row],[PRECIO N]]/Tabla551810723519260305324[[#This Row],[COSTO]]</calculatedColumnFormula>
    </tableColumn>
  </tableColumns>
  <tableStyleInfo name="TableStyleLight8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4" xr:uid="{A3D69CD8-998B-47DD-BA8A-24EC75F101CD}" name="Tabla551810723519260305325" displayName="Tabla551810723519260305325" ref="B418:R427" totalsRowCount="1" headerRowDxfId="6676" dataDxfId="6675" totalsRowDxfId="6674">
  <autoFilter ref="B418:R426" xr:uid="{814686BE-EF47-436A-ABBD-87444116DF19}"/>
  <tableColumns count="17">
    <tableColumn id="1" xr3:uid="{975C3F31-8655-4F18-B0DC-49BEA7621BF1}" name="APERITIVOS Y DIGESTIVOS" totalsRowLabel="Total" dataDxfId="6673" totalsRowDxfId="6672"/>
    <tableColumn id="17" xr3:uid="{6293512B-2F7D-422D-BCA1-DA65AFBE2F41}" name="DESCRIPCION" dataDxfId="6671" totalsRowDxfId="6670"/>
    <tableColumn id="2" xr3:uid="{72D396F0-3291-458D-8B2E-22604872E83D}" name="COSTO" dataDxfId="6669" totalsRowDxfId="6668" dataCellStyle="Moneda"/>
    <tableColumn id="3" xr3:uid="{51749952-10D8-4D92-9E69-91C059AE03A1}" name="VENTA" dataDxfId="6667" totalsRowDxfId="6666" dataCellStyle="Moneda"/>
    <tableColumn id="4" xr3:uid="{4E91FDE1-DD7D-4F3A-BB45-B89084B28C2E}" name="ICO 8%" dataDxfId="6665" totalsRowDxfId="6664" dataCellStyle="Moneda">
      <calculatedColumnFormula>+E419/1.08*0.08</calculatedColumnFormula>
    </tableColumn>
    <tableColumn id="5" xr3:uid="{97EFE197-1885-4ABB-A859-32A1A352ABDA}" name="BASE" dataDxfId="6663" totalsRowDxfId="6662">
      <calculatedColumnFormula>+Tabla551810723519260305325[[#This Row],[VENTA]]-Tabla551810723519260305325[[#This Row],[ICO 8%]]</calculatedColumnFormula>
    </tableColumn>
    <tableColumn id="6" xr3:uid="{6DE8407C-6C57-44FB-A2B5-FD2DAED8534A}" name="%" totalsRowFunction="average" dataDxfId="6661" totalsRowDxfId="6660" dataCellStyle="Porcentaje">
      <calculatedColumnFormula>+Tabla551810723519260305325[[#This Row],[COSTO]]/Tabla551810723519260305325[[#This Row],[BASE]]</calculatedColumnFormula>
    </tableColumn>
    <tableColumn id="7" xr3:uid="{568E2D0E-3715-4725-839E-9A52B49B9C50}" name="RENTABILIDAD" dataDxfId="6659" totalsRowDxfId="6658">
      <calculatedColumnFormula>+Tabla551810723519260305325[[#This Row],[BASE]]/Tabla551810723519260305325[[#This Row],[COSTO]]</calculatedColumnFormula>
    </tableColumn>
    <tableColumn id="8" xr3:uid="{25C9EB5B-4A8F-492D-8658-A4D75F689E49}" name="ROTACION" dataDxfId="6657" totalsRowDxfId="6656">
      <calculatedColumnFormula>+VLOOKUP(Tabla551810723519260305325[[#This Row],[APERITIVOS Y DIGESTIVOS]],Tabla77[#All],3,0)</calculatedColumnFormula>
    </tableColumn>
    <tableColumn id="9" xr3:uid="{D7DCD051-8156-4577-A388-348CDB76FFAB}" name="PRECIO SUGERIDO" dataDxfId="6655" totalsRowDxfId="6654" dataCellStyle="Moneda">
      <calculatedColumnFormula>+D419/(100-60)*100</calculatedColumnFormula>
    </tableColumn>
    <tableColumn id="10" xr3:uid="{D78C58C2-994E-4FE9-8331-133CFFB0104A}" name="ICO2" dataDxfId="6653" totalsRowDxfId="6652" dataCellStyle="Moneda">
      <calculatedColumnFormula>+K419/1.08*0.08</calculatedColumnFormula>
    </tableColumn>
    <tableColumn id="11" xr3:uid="{AF6A0089-F4FC-4A21-80BB-14CA1EF4B604}" name="CARTA " dataDxfId="6651" totalsRowDxfId="6650">
      <calculatedColumnFormula>+Tabla551810723519260305325[[#This Row],[PRECIO SUGERIDO]]+Tabla551810723519260305325[[#This Row],[ICO2]]</calculatedColumnFormula>
    </tableColumn>
    <tableColumn id="12" xr3:uid="{A3C0DBEC-6033-4FC8-961F-A6EF3F80693B}" name="PRECIO N" dataDxfId="6649" totalsRowDxfId="6648" dataCellStyle="Moneda"/>
    <tableColumn id="13" xr3:uid="{90896C21-024D-4095-9849-71D83BBE69F1}" name="Columna1" dataDxfId="6647" totalsRowDxfId="6646" dataCellStyle="Moneda">
      <calculatedColumnFormula>+N419/1.08*0.08</calculatedColumnFormula>
    </tableColumn>
    <tableColumn id="14" xr3:uid="{AEFAAB8D-B52D-4925-8530-3E369696ED51}" name="CARTA" dataDxfId="6645" totalsRowDxfId="6644" dataCellStyle="Moneda">
      <calculatedColumnFormula>+Tabla551810723519260305325[[#This Row],[PRECIO N]]-Tabla551810723519260305325[[#This Row],[Columna1]]</calculatedColumnFormula>
    </tableColumn>
    <tableColumn id="15" xr3:uid="{C9E7B360-DABD-4EE6-960C-76B7B2455CFE}" name="% " dataDxfId="6643" totalsRowDxfId="6642" dataCellStyle="Porcentaje">
      <calculatedColumnFormula>+Tabla551810723519260305325[[#This Row],[COSTO]]/Tabla551810723519260305325[[#This Row],[CARTA]]</calculatedColumnFormula>
    </tableColumn>
    <tableColumn id="16" xr3:uid="{99741B61-019C-4DB2-8FBF-569DDF03E538}" name="RATION" totalsRowFunction="sum" dataDxfId="6641" totalsRowDxfId="6640">
      <calculatedColumnFormula>+Tabla551810723519260305325[[#This Row],[PRECIO N]]/Tabla551810723519260305325[[#This Row],[COSTO]]</calculatedColumnFormula>
    </tableColumn>
  </tableColumns>
  <tableStyleInfo name="TableStyleLight8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0" xr:uid="{5BF43DAF-1115-40F2-8E7B-016ECA832AA1}" name="Tabla551857211411" displayName="Tabla551857211411" ref="B6:R47" totalsRowCount="1" headerRowDxfId="6639" dataDxfId="6637" totalsRowDxfId="6635" headerRowBorderDxfId="6638" tableBorderDxfId="6636" totalsRowBorderDxfId="6634">
  <autoFilter ref="B6:R46" xr:uid="{A6E1D8A6-2784-4051-9A51-D4285900E9CB}"/>
  <sortState xmlns:xlrd2="http://schemas.microsoft.com/office/spreadsheetml/2017/richdata2" ref="B7:R24">
    <sortCondition descending="1" ref="H12"/>
  </sortState>
  <tableColumns count="17">
    <tableColumn id="1" xr3:uid="{82885321-02A9-403F-9371-057C714938AD}" name="ADICIONES" totalsRowLabel="Total" dataDxfId="6633" totalsRowDxfId="6632"/>
    <tableColumn id="17" xr3:uid="{F44A041D-F1B8-4F1B-9209-A1CE89FA5D5D}" name="DESCRIPCION" dataDxfId="6631" totalsRowDxfId="6630"/>
    <tableColumn id="2" xr3:uid="{7F3336D8-C847-4CE7-81EF-5FE10A898753}" name="COSTO" dataDxfId="6629" totalsRowDxfId="6628" dataCellStyle="Moneda"/>
    <tableColumn id="3" xr3:uid="{978FA47A-D6FB-4EEF-A5B2-D60E5687C4C7}" name="VENTA" dataDxfId="6627" totalsRowDxfId="6626" dataCellStyle="Moneda"/>
    <tableColumn id="4" xr3:uid="{E83E8B10-83D9-42F6-A67D-BF0B018F8345}" name="ICO 8%" dataDxfId="6625" totalsRowDxfId="6624" dataCellStyle="Moneda">
      <calculatedColumnFormula>+E7/1.08*0.08</calculatedColumnFormula>
    </tableColumn>
    <tableColumn id="5" xr3:uid="{4DA8A94B-FFB7-4FA4-BB90-1825F803EA14}" name="BASE" dataDxfId="6623" totalsRowDxfId="6622">
      <calculatedColumnFormula>+Tabla551857211411[[#This Row],[VENTA]]-Tabla551857211411[[#This Row],[ICO 8%]]</calculatedColumnFormula>
    </tableColumn>
    <tableColumn id="6" xr3:uid="{31DF2577-2742-4449-A9EC-30EF1FD37DFB}" name="%" totalsRowFunction="average" dataDxfId="6621" totalsRowDxfId="6620" dataCellStyle="Porcentaje">
      <calculatedColumnFormula>+Tabla551857211411[[#This Row],[COSTO]]/Tabla551857211411[[#This Row],[BASE]]</calculatedColumnFormula>
    </tableColumn>
    <tableColumn id="7" xr3:uid="{1ECDF0BB-046B-4C33-AA79-9E80081B8C2A}" name="RENTABILIDAD" dataDxfId="6619" totalsRowDxfId="6618">
      <calculatedColumnFormula>+Tabla551857211411[[#This Row],[BASE]]/Tabla551857211411[[#This Row],[COSTO]]</calculatedColumnFormula>
    </tableColumn>
    <tableColumn id="8" xr3:uid="{FAEDC1C7-E77A-45F3-89AA-27A26221F164}" name="ROTACION" dataDxfId="6617" totalsRowDxfId="6616">
      <calculatedColumnFormula>+VLOOKUP(Tabla551857211411[[#This Row],[ADICIONES]],Tabla77[#All],3,0)</calculatedColumnFormula>
    </tableColumn>
    <tableColumn id="9" xr3:uid="{5FAB7B89-E3C3-4C7E-9F69-506C60B798EB}" name="PRECIO SUGERIDO" dataDxfId="6615" totalsRowDxfId="6614" dataCellStyle="Moneda">
      <calculatedColumnFormula>+D7/(100-70)*100</calculatedColumnFormula>
    </tableColumn>
    <tableColumn id="10" xr3:uid="{D5305E91-DFE2-4433-9785-20667389DCAF}" name="ICO2" dataDxfId="6613" totalsRowDxfId="6612" dataCellStyle="Moneda">
      <calculatedColumnFormula>+K7/1.08*0.08</calculatedColumnFormula>
    </tableColumn>
    <tableColumn id="11" xr3:uid="{F959D7C9-2DE2-4637-AEE4-A9D6CB372832}" name="CARTA " dataDxfId="6611" totalsRowDxfId="6610">
      <calculatedColumnFormula>+Tabla551857211411[[#This Row],[PRECIO SUGERIDO]]+Tabla551857211411[[#This Row],[ICO2]]</calculatedColumnFormula>
    </tableColumn>
    <tableColumn id="12" xr3:uid="{667F0899-6936-4423-B5EB-770A3AF0782F}" name="PRECIO N" dataDxfId="6609" totalsRowDxfId="6608" dataCellStyle="Moneda"/>
    <tableColumn id="13" xr3:uid="{3C8D6B5A-063F-4723-BD47-D9BB9EE3ADCC}" name="ICO 8%2" dataDxfId="6607" totalsRowDxfId="6606" dataCellStyle="Moneda">
      <calculatedColumnFormula>+N7/1.08*0.08</calculatedColumnFormula>
    </tableColumn>
    <tableColumn id="14" xr3:uid="{9E9D70F8-F8E4-4228-A169-EF94F9072DF1}" name="CARTA" dataDxfId="6605" totalsRowDxfId="6604" dataCellStyle="Moneda">
      <calculatedColumnFormula>+Tabla551857211411[[#This Row],[PRECIO N]]-Tabla551857211411[[#This Row],[ICO 8%2]]</calculatedColumnFormula>
    </tableColumn>
    <tableColumn id="15" xr3:uid="{489FAF3A-165E-4C86-8471-18261CAF0BDC}" name="% " dataDxfId="6603" totalsRowDxfId="6602" dataCellStyle="Porcentaje">
      <calculatedColumnFormula>+Tabla551857211411[[#This Row],[COSTO]]/Tabla551857211411[[#This Row],[CARTA]]</calculatedColumnFormula>
    </tableColumn>
    <tableColumn id="16" xr3:uid="{B11F8918-DE86-4741-B99E-15FF578CA1BC}" name="RATION" totalsRowFunction="sum" dataDxfId="6601" totalsRowDxfId="6600">
      <calculatedColumnFormula>+Tabla551857211411[[#This Row],[PRECIO N]]/Tabla551857211411[[#This Row],[COSTO]]</calculatedColumnFormula>
    </tableColumn>
  </tableColumns>
  <tableStyleInfo name="TableStyleLight8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7" xr:uid="{5467D51A-FB45-4D10-AF9C-FC376678A9B0}" name="Tabla5518106218" displayName="Tabla5518106218" ref="B432:R439" totalsRowCount="1" headerRowDxfId="6599" dataDxfId="6598" totalsRowDxfId="6597">
  <autoFilter ref="B432:R438" xr:uid="{8EAC6709-EABC-4FA4-8734-23D62370ADE7}"/>
  <tableColumns count="17">
    <tableColumn id="1" xr3:uid="{834A1398-F980-43CC-96B4-A6B6E8906FF7}" name="SUGERIDOS DEL CHEF" totalsRowLabel="Total" dataDxfId="6596" totalsRowDxfId="6595"/>
    <tableColumn id="17" xr3:uid="{050B6915-C59E-43C2-BEEB-C0BC6CD98583}" name="DESCRIPCION" dataDxfId="6594" totalsRowDxfId="6593"/>
    <tableColumn id="2" xr3:uid="{F780DEBB-39C0-47A8-AF55-AEB2206576F9}" name="COSTO" dataDxfId="6592" totalsRowDxfId="6591" dataCellStyle="Moneda"/>
    <tableColumn id="3" xr3:uid="{14EC141F-0B89-4DF2-BF35-0E90E3B90C40}" name="VENTA" dataDxfId="6590" totalsRowDxfId="6589" dataCellStyle="Moneda"/>
    <tableColumn id="4" xr3:uid="{0068C8D7-229A-4F2B-B3AF-504C5FB15F5D}" name="ICO 8%" dataDxfId="6588" totalsRowDxfId="6587" dataCellStyle="Moneda">
      <calculatedColumnFormula>+E433/1.08*0.08</calculatedColumnFormula>
    </tableColumn>
    <tableColumn id="5" xr3:uid="{327EBC8B-28DB-4F10-84AC-76840DC3107E}" name="BASE" dataDxfId="6586" totalsRowDxfId="6585">
      <calculatedColumnFormula>+Tabla5518106218[[#This Row],[VENTA]]-Tabla5518106218[[#This Row],[ICO 8%]]</calculatedColumnFormula>
    </tableColumn>
    <tableColumn id="6" xr3:uid="{580961B6-6224-4765-A8B7-884D3B629156}" name="%" totalsRowFunction="average" dataDxfId="6584" totalsRowDxfId="6583" dataCellStyle="Porcentaje">
      <calculatedColumnFormula>+Tabla5518106218[[#This Row],[COSTO]]/Tabla5518106218[[#This Row],[BASE]]</calculatedColumnFormula>
    </tableColumn>
    <tableColumn id="7" xr3:uid="{1A3A2179-3CF2-4299-84F0-82DB16EEC954}" name="RENTABILIDAD" dataDxfId="6582" totalsRowDxfId="6581">
      <calculatedColumnFormula>+Tabla5518106218[[#This Row],[BASE]]/Tabla5518106218[[#This Row],[COSTO]]</calculatedColumnFormula>
    </tableColumn>
    <tableColumn id="8" xr3:uid="{20D685D8-415C-44CB-BBC3-0449C07B6D1F}" name="ROTACION" dataDxfId="6580" totalsRowDxfId="6579">
      <calculatedColumnFormula>+VLOOKUP(Tabla5518106218[[#This Row],[SUGERIDOS DEL CHEF]],Tabla77[#All],3,0)</calculatedColumnFormula>
    </tableColumn>
    <tableColumn id="9" xr3:uid="{E78A7904-6520-4240-AF7A-F1D21A349787}" name="PRECIO SUGERIDO" dataDxfId="6578" totalsRowDxfId="6577" dataCellStyle="Moneda">
      <calculatedColumnFormula>+D433/(100-70)*100</calculatedColumnFormula>
    </tableColumn>
    <tableColumn id="10" xr3:uid="{83B47126-0A4C-4540-BF25-F1B18A93B923}" name="ICO2" dataDxfId="6576" totalsRowDxfId="6575" dataCellStyle="Moneda">
      <calculatedColumnFormula>+K433/1.08*0.08</calculatedColumnFormula>
    </tableColumn>
    <tableColumn id="11" xr3:uid="{AE1B81DE-CDD0-41E4-99F2-0C516451B697}" name="CARTA " dataDxfId="6574" totalsRowDxfId="6573">
      <calculatedColumnFormula>+Tabla5518106218[[#This Row],[PRECIO SUGERIDO]]+Tabla5518106218[[#This Row],[ICO2]]</calculatedColumnFormula>
    </tableColumn>
    <tableColumn id="12" xr3:uid="{CF6827B2-F767-4EEE-87D5-7DA4A9310B7C}" name="PRECIO N" dataDxfId="6572" totalsRowDxfId="6571" dataCellStyle="Moneda"/>
    <tableColumn id="13" xr3:uid="{CFAA4A09-51B9-4380-BC59-9643BFBD87E4}" name="Columna1" dataDxfId="6570" totalsRowDxfId="6569" dataCellStyle="Moneda">
      <calculatedColumnFormula>+N433/1.08*0.08</calculatedColumnFormula>
    </tableColumn>
    <tableColumn id="14" xr3:uid="{BAF8EE98-6ECE-463F-8AE4-7D59482A5AFB}" name="CARTA" dataDxfId="6568" totalsRowDxfId="6567" dataCellStyle="Moneda">
      <calculatedColumnFormula>+Tabla5518106218[[#This Row],[PRECIO N]]-Tabla5518106218[[#This Row],[Columna1]]</calculatedColumnFormula>
    </tableColumn>
    <tableColumn id="15" xr3:uid="{F20BAFD2-DB2B-4655-A992-F286B9E2429B}" name="% " dataDxfId="6566" totalsRowDxfId="6565" dataCellStyle="Porcentaje">
      <calculatedColumnFormula>+Tabla5518106218[[#This Row],[COSTO]]/Tabla5518106218[[#This Row],[CARTA]]</calculatedColumnFormula>
    </tableColumn>
    <tableColumn id="16" xr3:uid="{3E71F2A8-56B1-42A8-BE49-9A75D31CFD45}" name="RATION" totalsRowFunction="sum" dataDxfId="6564" totalsRowDxfId="6563">
      <calculatedColumnFormula>+Tabla5518106218[[#This Row],[PRECIO N]]/Tabla5518106218[[#This Row],[COSTO]]</calculatedColumnFormula>
    </tableColumn>
  </tableColumns>
  <tableStyleInfo name="TableStyleLight8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2" xr:uid="{D509E61E-2E4C-4F05-8501-DC7E2A38B8C4}" name="Tabla5518106218339331347423" displayName="Tabla5518106218339331347423" ref="B443:R448" totalsRowCount="1" headerRowDxfId="6562" dataDxfId="6561" totalsRowDxfId="6560">
  <autoFilter ref="B443:R447" xr:uid="{D509E61E-2E4C-4F05-8501-DC7E2A38B8C4}"/>
  <tableColumns count="17">
    <tableColumn id="1" xr3:uid="{35236F3A-0458-4875-BD02-2AB371BDC7DB}" name="TRAGOS" totalsRowLabel="Total" dataDxfId="6559" totalsRowDxfId="6558"/>
    <tableColumn id="17" xr3:uid="{CDB79767-75D8-4463-BFE9-B69B468F9D44}" name="DESCRIPCION" dataDxfId="6557" totalsRowDxfId="6556"/>
    <tableColumn id="2" xr3:uid="{A530F4C8-8EF5-47A0-83E4-AD49447DDA09}" name="COSTO" dataDxfId="6555" totalsRowDxfId="6554" dataCellStyle="Moneda"/>
    <tableColumn id="3" xr3:uid="{4D884F31-8EDE-4C9F-9804-3242B152A829}" name="VENTA" dataDxfId="6553" totalsRowDxfId="6552" dataCellStyle="Moneda"/>
    <tableColumn id="4" xr3:uid="{B0D9D9F3-FBA9-449F-9419-C0ED5B952611}" name="ICO 8%" dataDxfId="6551" totalsRowDxfId="6550" dataCellStyle="Moneda"/>
    <tableColumn id="5" xr3:uid="{41107E62-792D-4D6A-8759-8FD1B6E31AD5}" name="BASE" dataDxfId="6549" totalsRowDxfId="6548"/>
    <tableColumn id="6" xr3:uid="{99BE82C5-53DC-49A4-A0E4-F9E4A0480162}" name="%" totalsRowFunction="average" dataDxfId="6547" totalsRowDxfId="6546" dataCellStyle="Porcentaje">
      <calculatedColumnFormula>+Tabla5518106218339331347423[[#This Row],[COSTO]]/Tabla5518106218339331347423[[#This Row],[VENTA]]</calculatedColumnFormula>
    </tableColumn>
    <tableColumn id="7" xr3:uid="{B5814B4D-4B46-4108-8ED9-5D22858FD8EB}" name="RENTABILIDAD" dataDxfId="6545" totalsRowDxfId="6544">
      <calculatedColumnFormula>+Tabla5518106218339331347423[[#This Row],[BASE]]/Tabla5518106218339331347423[[#This Row],[COSTO]]</calculatedColumnFormula>
    </tableColumn>
    <tableColumn id="8" xr3:uid="{0A49126F-2C3A-4B9C-A220-1923FC7D6A34}" name="ROTACION" dataDxfId="6543" totalsRowDxfId="6542"/>
    <tableColumn id="9" xr3:uid="{DCE330D7-5FCB-45B8-8A4A-01AB465F5D97}" name="PRECIO SUGERIDO" dataDxfId="6541" totalsRowDxfId="6540" dataCellStyle="Moneda">
      <calculatedColumnFormula>+D444/(100-60)*100</calculatedColumnFormula>
    </tableColumn>
    <tableColumn id="10" xr3:uid="{3DC36284-063A-498C-927B-186B00DA8B58}" name="ICO2" dataDxfId="6539" totalsRowDxfId="6538" dataCellStyle="Moneda">
      <calculatedColumnFormula>+K444/1.08*0.08</calculatedColumnFormula>
    </tableColumn>
    <tableColumn id="11" xr3:uid="{15FB1156-E636-41A7-80BF-AF1402D0F9FB}" name="CARTA " dataDxfId="6537" totalsRowDxfId="6536">
      <calculatedColumnFormula>+Tabla5518106218339331347423[[#This Row],[PRECIO SUGERIDO]]+Tabla5518106218339331347423[[#This Row],[ICO2]]</calculatedColumnFormula>
    </tableColumn>
    <tableColumn id="12" xr3:uid="{D23A7613-6FA8-4A04-A8AC-96C39C6CA96F}" name="PRECIO N" dataDxfId="6535" totalsRowDxfId="6534" dataCellStyle="Moneda"/>
    <tableColumn id="13" xr3:uid="{FC48930E-D15F-4087-B48F-3A31BE89F305}" name="ICO 8%2" dataDxfId="6533" totalsRowDxfId="6532" dataCellStyle="Moneda">
      <calculatedColumnFormula>+N444/1.08*0.08</calculatedColumnFormula>
    </tableColumn>
    <tableColumn id="14" xr3:uid="{E17CC4EE-EE1E-454D-9B65-F6BB7448DC94}" name="BASE." dataDxfId="6531" totalsRowDxfId="6530" dataCellStyle="Moneda">
      <calculatedColumnFormula>+Tabla5518106218339331347423[[#This Row],[PRECIO N]]-Tabla5518106218339331347423[[#This Row],[ICO 8%2]]</calculatedColumnFormula>
    </tableColumn>
    <tableColumn id="15" xr3:uid="{8131AD50-9400-48F3-BF55-EED9CCEF4476}" name="% " dataDxfId="6529" totalsRowDxfId="6528" dataCellStyle="Porcentaje">
      <calculatedColumnFormula>+Tabla5518106218339331347423[[#This Row],[COSTO]]/Tabla5518106218339331347423[[#This Row],[BASE.]]</calculatedColumnFormula>
    </tableColumn>
    <tableColumn id="16" xr3:uid="{137B4AAD-D4DD-4EAF-BD13-6BA08C12B49A}" name="RATION" totalsRowFunction="sum" dataDxfId="6527" totalsRowDxfId="6526">
      <calculatedColumnFormula>+Tabla5518106218339331347423[[#This Row],[PRECIO N]]/Tabla5518106218339331347423[[#This Row],[COSTO]]</calculatedColumnFormula>
    </tableColumn>
  </tableColumns>
  <tableStyleInfo name="TableStyleLight8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1" xr:uid="{539A6978-0E11-4164-9E17-0AF1FD97BF98}" name="Tabla1103453454455456479108131138145424430432" displayName="Tabla1103453454455456479108131138145424430432" ref="B8:H18" totalsRowCount="1" headerRowDxfId="6525" dataDxfId="6523" totalsRowDxfId="6521" headerRowBorderDxfId="6524" tableBorderDxfId="6522" totalsRowBorderDxfId="6520">
  <autoFilter ref="B8:H17" xr:uid="{539A6978-0E11-4164-9E17-0AF1FD97BF98}"/>
  <sortState xmlns:xlrd2="http://schemas.microsoft.com/office/spreadsheetml/2017/richdata2" ref="B9:H17">
    <sortCondition descending="1" ref="H11:H17"/>
  </sortState>
  <tableColumns count="7">
    <tableColumn id="2" xr3:uid="{4C776D10-1D14-401E-8900-E177AB4C3B70}" name="Ingrediente" dataDxfId="6519" totalsRowDxfId="6518"/>
    <tableColumn id="3" xr3:uid="{FEF4F7BD-EC0D-40A7-86E2-7DED6A2029EC}" name="Und" dataDxfId="6517" totalsRowDxfId="6516"/>
    <tableColumn id="4" xr3:uid="{11C858ED-9FA7-4010-8757-9A5558CA136E}" name="Unidades Netas" dataDxfId="6515" totalsRowDxfId="6514"/>
    <tableColumn id="7" xr3:uid="{7C82F4D2-A42D-44A9-9241-C752F3F33114}" name="% Merma" dataDxfId="6513" totalsRowDxfId="6512"/>
    <tableColumn id="1" xr3:uid="{D65FC862-1336-4C26-8CEE-54C09BC47275}" name="Unidades" dataDxfId="6511" totalsRowDxfId="6510"/>
    <tableColumn id="5" xr3:uid="{16988C2B-469A-4E7A-B696-2B5B61D27045}" name="Costo" dataDxfId="6509" totalsRowDxfId="6508" dataCellStyle="Moneda">
      <calculatedColumnFormula>+VLOOKUP(Tabla1103453454455456479108131138145424430432[[#This Row],[Ingrediente]],Tabla34[#All],3,0)</calculatedColumnFormula>
    </tableColumn>
    <tableColumn id="6" xr3:uid="{6B299420-8D1A-412C-A838-C2BA50B164DC}" name="Total costo" totalsRowFunction="sum" dataDxfId="6507" totalsRowDxfId="6506" dataCellStyle="Moneda">
      <calculatedColumnFormula>+Tabla1103453454455456479108131138145424430432[[#This Row],[Costo]]*Tabla1103453454455456479108131138145424430432[[#This Row],[Unidades]]</calculatedColumnFormula>
    </tableColumn>
  </tableColumns>
  <tableStyleInfo name="TableStyleLight8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85CE91CA-1990-4D00-89C4-D8E12FC7B653}" name="Tabla110345345445545647910813113814542443043241" displayName="Tabla110345345445545647910813113814542443043241" ref="B21:H29" totalsRowCount="1" dataDxfId="6504" totalsRowDxfId="6502" headerRowBorderDxfId="6505" tableBorderDxfId="6503" totalsRowBorderDxfId="6501">
  <autoFilter ref="B21:H28" xr:uid="{85CE91CA-1990-4D00-89C4-D8E12FC7B653}"/>
  <sortState xmlns:xlrd2="http://schemas.microsoft.com/office/spreadsheetml/2017/richdata2" ref="B22:H26">
    <sortCondition descending="1" ref="H22:H26"/>
  </sortState>
  <tableColumns count="7">
    <tableColumn id="2" xr3:uid="{2406563E-434E-402F-A3D3-923BA10B21FA}" name="Ingrediente" dataDxfId="6500" totalsRowDxfId="6499"/>
    <tableColumn id="3" xr3:uid="{63970C53-F69A-41EF-8981-2901E093E197}" name="Und" dataDxfId="6498" totalsRowDxfId="6497"/>
    <tableColumn id="4" xr3:uid="{538660C2-8631-467C-8604-06106C391051}" name="Unidades Netas" dataDxfId="6496" totalsRowDxfId="6495"/>
    <tableColumn id="7" xr3:uid="{261711F0-5C79-4147-9D41-C60F911371DF}" name="% Merma" dataDxfId="6494" totalsRowDxfId="6493"/>
    <tableColumn id="1" xr3:uid="{B80C0B31-2404-48B4-8C4B-1185574FFD9C}" name="Unidades" dataDxfId="6492" totalsRowDxfId="6491"/>
    <tableColumn id="5" xr3:uid="{3F2B9A7E-AE6B-483E-A70D-A5BF4276B821}" name="Costo" dataDxfId="6490" totalsRowDxfId="6489" dataCellStyle="Moneda">
      <calculatedColumnFormula>+VLOOKUP(Tabla110345345445545647910813113814542443043241[[#This Row],[Ingrediente]],Tabla34[#All],3,0)</calculatedColumnFormula>
    </tableColumn>
    <tableColumn id="6" xr3:uid="{2FC77961-E052-47ED-BAF5-98C5008DD2E5}" name="Total costo" totalsRowFunction="sum" dataDxfId="6488" totalsRowDxfId="6487" dataCellStyle="Moneda">
      <calculatedColumnFormula>+Tabla110345345445545647910813113814542443043241[[#This Row],[Costo]]*Tabla110345345445545647910813113814542443043241[[#This Row],[Unidades]]</calculatedColumnFormula>
    </tableColumn>
  </tableColumns>
  <tableStyleInfo name="TableStyleLight8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AB7354B-65B8-4D43-B534-27FDDDDE7823}" name="Tabla11034534544554564791081311381454244304324179" displayName="Tabla11034534544554564791081311381454244304324179" ref="B36:H47" totalsRowCount="1" dataDxfId="6485" totalsRowDxfId="6483" headerRowBorderDxfId="6486" tableBorderDxfId="6484" totalsRowBorderDxfId="6482">
  <autoFilter ref="B36:H46" xr:uid="{5AB7354B-65B8-4D43-B534-27FDDDDE7823}"/>
  <sortState xmlns:xlrd2="http://schemas.microsoft.com/office/spreadsheetml/2017/richdata2" ref="B37:H46">
    <sortCondition descending="1" ref="H37:H46"/>
  </sortState>
  <tableColumns count="7">
    <tableColumn id="2" xr3:uid="{28AFBD9E-78AA-4B3E-A877-CDB44BAF36D9}" name="Ingrediente" dataDxfId="6481" totalsRowDxfId="6480"/>
    <tableColumn id="3" xr3:uid="{F91A5F65-924B-44F8-A808-1CC3BA7BA6BE}" name="Und" dataDxfId="6479" totalsRowDxfId="6478"/>
    <tableColumn id="4" xr3:uid="{890E9A42-5FB2-41BD-8876-88738C4EB059}" name="Unidades Netas" dataDxfId="6477" totalsRowDxfId="6476"/>
    <tableColumn id="7" xr3:uid="{57E83B5E-2348-49F7-9640-1D3002343C0C}" name="% Merma" dataDxfId="6475" totalsRowDxfId="6474"/>
    <tableColumn id="1" xr3:uid="{26D9BB9F-E1C0-4D08-A065-D910509BE201}" name="Unidades" dataDxfId="6473" totalsRowDxfId="6472"/>
    <tableColumn id="5" xr3:uid="{C204B2D0-07BC-4575-B80E-08502922336E}" name="Costo" dataDxfId="6471" totalsRowDxfId="6470" dataCellStyle="Moneda">
      <calculatedColumnFormula>+VLOOKUP(Tabla11034534544554564791081311381454244304324179[[#This Row],[Ingrediente]],Tabla34[#All],3,0)</calculatedColumnFormula>
    </tableColumn>
    <tableColumn id="6" xr3:uid="{B12D83A0-DD8F-44FB-9EB7-6A678C0DEA54}" name="Total costo" totalsRowFunction="sum" dataDxfId="6469" totalsRowDxfId="6468" dataCellStyle="Moneda">
      <calculatedColumnFormula>+Tabla11034534544554564791081311381454244304324179[[#This Row],[Costo]]*Tabla11034534544554564791081311381454244304324179[[#This Row],[Unidades]]</calculatedColumnFormula>
    </tableColumn>
  </tableColumns>
  <tableStyleInfo name="TableStyleLight8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5" xr:uid="{6AA7DA8A-A4E6-4C8E-9308-8C8E4C91BE2D}" name="Tabla11034534544554564791081311381454244304324179216" displayName="Tabla11034534544554564791081311381454244304324179216" ref="B50:H65" totalsRowCount="1" dataDxfId="6466" totalsRowDxfId="6464" headerRowBorderDxfId="6467" tableBorderDxfId="6465" totalsRowBorderDxfId="6463">
  <autoFilter ref="B50:H64" xr:uid="{6AA7DA8A-A4E6-4C8E-9308-8C8E4C91BE2D}"/>
  <sortState xmlns:xlrd2="http://schemas.microsoft.com/office/spreadsheetml/2017/richdata2" ref="B51:H60">
    <sortCondition descending="1" ref="H37:H46"/>
  </sortState>
  <tableColumns count="7">
    <tableColumn id="2" xr3:uid="{DD2ABB50-2093-4795-9C2A-5BB8F7658EAB}" name="Ingrediente" dataDxfId="6462" totalsRowDxfId="6461"/>
    <tableColumn id="3" xr3:uid="{C3BCEC67-5889-4831-B7A0-D774CDD1E355}" name="Und" dataDxfId="6460" totalsRowDxfId="6459"/>
    <tableColumn id="4" xr3:uid="{ED6C33A1-148F-409F-8211-B8D902BDA2D3}" name="Unidades Netas" dataDxfId="6458" totalsRowDxfId="6457"/>
    <tableColumn id="7" xr3:uid="{2FD530B7-E3A8-4BBA-9871-081DB877F426}" name="% Merma" dataDxfId="6456" totalsRowDxfId="6455"/>
    <tableColumn id="1" xr3:uid="{03F02FD4-7BDD-4498-A999-8A20F7270A2A}" name="Unidades" dataDxfId="6454" totalsRowDxfId="6453"/>
    <tableColumn id="5" xr3:uid="{B3B657C7-0C5B-4F7A-A23B-EC556A212A69}" name="Costo" dataDxfId="6452" totalsRowDxfId="6451" dataCellStyle="Moneda">
      <calculatedColumnFormula>+VLOOKUP(Tabla11034534544554564791081311381454244304324179216[[#This Row],[Ingrediente]],Tabla34[#All],3,0)</calculatedColumnFormula>
    </tableColumn>
    <tableColumn id="6" xr3:uid="{74D73E21-8A82-4F32-AF82-BB1CBD38B8F8}" name="Total costo" totalsRowFunction="sum" dataDxfId="6450" totalsRowDxfId="6449" dataCellStyle="Moneda">
      <calculatedColumnFormula>+Tabla11034534544554564791081311381454244304324179216[[#This Row],[Costo]]*Tabla11034534544554564791081311381454244304324179216[[#This Row],[Unidades]]</calculatedColumnFormula>
    </tableColumn>
  </tableColumns>
  <tableStyleInfo name="TableStyleLight8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72F2861D-CB17-4496-AD3C-5395FEC7E534}" name="Tabla11034534544554564791081311381454244304324179216143" displayName="Tabla11034534544554564791081311381454244304324179216143" ref="B70:H78" totalsRowCount="1" dataDxfId="6447" totalsRowDxfId="6445" headerRowBorderDxfId="6448" tableBorderDxfId="6446" totalsRowBorderDxfId="6444">
  <autoFilter ref="B70:H77" xr:uid="{72F2861D-CB17-4496-AD3C-5395FEC7E534}"/>
  <sortState xmlns:xlrd2="http://schemas.microsoft.com/office/spreadsheetml/2017/richdata2" ref="B71:H77">
    <sortCondition descending="1" ref="H37:H46"/>
  </sortState>
  <tableColumns count="7">
    <tableColumn id="2" xr3:uid="{E7A6EF83-76DA-4C1C-AB7A-0465B74FB542}" name="Ingrediente" dataDxfId="6443" totalsRowDxfId="6442"/>
    <tableColumn id="3" xr3:uid="{E5AA9D4E-4366-4693-A64F-9D4E035BD5BB}" name="Und" dataDxfId="6441" totalsRowDxfId="6440"/>
    <tableColumn id="4" xr3:uid="{52E68895-1697-493A-A43B-54909DDB1E14}" name="Unidades Netas" dataDxfId="6439" totalsRowDxfId="6438"/>
    <tableColumn id="7" xr3:uid="{02F2FD90-6B18-4B55-BA44-6B9CE84762ED}" name="% Merma" dataDxfId="6437" totalsRowDxfId="6436"/>
    <tableColumn id="1" xr3:uid="{0998CE24-1738-41BB-9595-DF2D7EFC056B}" name="Unidades" dataDxfId="6435" totalsRowDxfId="6434"/>
    <tableColumn id="5" xr3:uid="{5DAB44BF-7FBA-4627-B1E3-1DF46936BEEC}" name="Costo" dataDxfId="6433" totalsRowDxfId="6432" dataCellStyle="Moneda">
      <calculatedColumnFormula>+VLOOKUP(Tabla11034534544554564791081311381454244304324179216143[[#This Row],[Ingrediente]],Tabla34[#All],3,0)</calculatedColumnFormula>
    </tableColumn>
    <tableColumn id="6" xr3:uid="{803969AF-08F4-4BF4-ABCA-B52BAB5F1ECB}" name="Total costo" totalsRowFunction="sum" dataDxfId="6431" totalsRowDxfId="6430" dataCellStyle="Moneda">
      <calculatedColumnFormula>+Tabla11034534544554564791081311381454244304324179216143[[#This Row],[Costo]]*Tabla11034534544554564791081311381454244304324179216143[[#This Row],[Unidades]]</calculatedColumnFormula>
    </tableColumn>
  </tableColumns>
  <tableStyleInfo name="TableStyleLight8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6" xr:uid="{CF2CC4CF-93B5-44B0-8B2A-AD7B92D2986A}" name="Tabla11034534544554564791081311381454244304324179216143217" displayName="Tabla11034534544554564791081311381454244304324179216143217" ref="B84:H94" totalsRowCount="1" dataDxfId="6428" totalsRowDxfId="6426" headerRowBorderDxfId="6429" tableBorderDxfId="6427" totalsRowBorderDxfId="6425">
  <autoFilter ref="B84:H93" xr:uid="{CF2CC4CF-93B5-44B0-8B2A-AD7B92D2986A}"/>
  <sortState xmlns:xlrd2="http://schemas.microsoft.com/office/spreadsheetml/2017/richdata2" ref="B85:H91">
    <sortCondition descending="1" ref="H37:H46"/>
  </sortState>
  <tableColumns count="7">
    <tableColumn id="2" xr3:uid="{9B5B6951-AAFC-46D5-95E1-02192B024F0C}" name="Ingrediente" dataDxfId="6424" totalsRowDxfId="6423"/>
    <tableColumn id="3" xr3:uid="{2CE4E306-D4C6-44AD-AC10-EEFE1624875D}" name="Und" dataDxfId="6422" totalsRowDxfId="6421"/>
    <tableColumn id="4" xr3:uid="{CAD5A96B-269D-4D17-A6E7-FAB414AFE713}" name="Unidades Netas" dataDxfId="6420" totalsRowDxfId="6419"/>
    <tableColumn id="7" xr3:uid="{7B0E2A02-B7D0-4CCA-8C10-9F56D5CA7883}" name="% Merma" dataDxfId="6418" totalsRowDxfId="6417"/>
    <tableColumn id="1" xr3:uid="{5115663A-113B-4080-88DC-7176EA37A853}" name="Unidades" dataDxfId="6416" totalsRowDxfId="6415"/>
    <tableColumn id="5" xr3:uid="{FDF76633-23EC-4AB3-891A-E53B69C4B6EE}" name="Costo" dataDxfId="6414" totalsRowDxfId="6413" dataCellStyle="Moneda">
      <calculatedColumnFormula>+VLOOKUP(Tabla11034534544554564791081311381454244304324179216143217[[#This Row],[Ingrediente]],Tabla34[#All],3,0)</calculatedColumnFormula>
    </tableColumn>
    <tableColumn id="6" xr3:uid="{A8E077AE-3BC7-47A4-9976-3CE891782047}" name="Total costo" totalsRowFunction="sum" dataDxfId="6412" totalsRowDxfId="6411" dataCellStyle="Moneda">
      <calculatedColumnFormula>+Tabla11034534544554564791081311381454244304324179216143217[[#This Row],[Costo]]*Tabla11034534544554564791081311381454244304324179216143217[[#This Row],[Unidades]]</calculatedColumnFormula>
    </tableColumn>
  </tableColumns>
  <tableStyleInfo name="TableStyleLight8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1090698C-89A1-42B4-A89A-9E72A6510B04}" name="Tabla1103453454455456479108135149" displayName="Tabla1103453454455456479108135149" ref="B7:H20" totalsRowCount="1" headerRowDxfId="6410" dataDxfId="6408" totalsRowDxfId="6406" headerRowBorderDxfId="6409" tableBorderDxfId="6407" totalsRowBorderDxfId="6405">
  <autoFilter ref="B7:H19" xr:uid="{78BE3A0D-ECA7-47BB-B29F-2C3C5A2344BE}"/>
  <sortState xmlns:xlrd2="http://schemas.microsoft.com/office/spreadsheetml/2017/richdata2" ref="B8:H18">
    <sortCondition ref="B12"/>
  </sortState>
  <tableColumns count="7">
    <tableColumn id="2" xr3:uid="{AA72B3CB-147A-48A9-93CE-D7F06D615AFA}" name="Ingrediente" dataDxfId="6404" totalsRowDxfId="6403"/>
    <tableColumn id="3" xr3:uid="{B468DBF0-392E-4DB4-A26D-45A61CA7FAE3}" name="Und" dataDxfId="6402" totalsRowDxfId="6401"/>
    <tableColumn id="4" xr3:uid="{2150A51D-448D-405F-AC10-9D308834DA8D}" name="Unidades Netas" dataDxfId="6400" totalsRowDxfId="6399"/>
    <tableColumn id="7" xr3:uid="{BAB43A47-025D-4A50-AF1E-E323A9A115EA}" name="% Merma" dataDxfId="6398" totalsRowDxfId="6397"/>
    <tableColumn id="1" xr3:uid="{A4AE49B2-A931-42A3-92B2-31C52C9BF4C1}" name="Unidades" dataDxfId="6396" totalsRowDxfId="6395"/>
    <tableColumn id="5" xr3:uid="{AC2D740B-7B06-4689-BD31-360B1737ECCE}" name="Costo" dataDxfId="6394" totalsRowDxfId="6393" dataCellStyle="Moneda">
      <calculatedColumnFormula>+VLOOKUP(Tabla1103453454455456479108135149[[#This Row],[Ingrediente]],Tabla34[#All],3,0)</calculatedColumnFormula>
    </tableColumn>
    <tableColumn id="6" xr3:uid="{096B94B8-70B6-4EF7-A002-33CE950159A4}" name="Total costo" totalsRowFunction="sum" dataDxfId="6392" totalsRowDxfId="6391" dataCellStyle="Moneda">
      <calculatedColumnFormula>+Tabla1103453454455456479108135149[[#This Row],[Costo]]*Tabla1103453454455456479108135149[[#This Row],[Unidades]]</calculatedColumnFormula>
    </tableColumn>
  </tableColumns>
  <tableStyleInfo name="TableStyleLight8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6AF736BB-D578-4F9C-93E5-C1D95BFFE2AB}" name="Tabla1103453454455456479108130137151" displayName="Tabla1103453454455456479108130137151" ref="B23:H43" totalsRowCount="1" headerRowDxfId="6390" dataDxfId="6388" totalsRowDxfId="6386" headerRowBorderDxfId="6389" tableBorderDxfId="6387" totalsRowBorderDxfId="6385">
  <autoFilter ref="B23:H42" xr:uid="{13FBCEAD-C7B8-4FC5-957B-A5E5AEE709E4}"/>
  <sortState xmlns:xlrd2="http://schemas.microsoft.com/office/spreadsheetml/2017/richdata2" ref="B24:H36">
    <sortCondition descending="1" ref="H26:H36"/>
  </sortState>
  <tableColumns count="7">
    <tableColumn id="2" xr3:uid="{1FA2EBB9-1EE8-4125-B405-EDE7C2FFE967}" name="Ingrediente" dataDxfId="6384" totalsRowDxfId="6383"/>
    <tableColumn id="3" xr3:uid="{479C1DE9-C424-433D-B220-5AC4379F7693}" name="Und" dataDxfId="6382" totalsRowDxfId="6381"/>
    <tableColumn id="4" xr3:uid="{8D9C3A69-D63D-46BA-B4A1-9C785C4E4177}" name="Unidades Netas" dataDxfId="6380" totalsRowDxfId="6379"/>
    <tableColumn id="7" xr3:uid="{E9CFCE02-2A41-4966-859C-803B35238A03}" name="% Merma" dataDxfId="6378" totalsRowDxfId="6377"/>
    <tableColumn id="1" xr3:uid="{13D3794D-6402-486D-8983-96F5BE50A541}" name="Unidades" dataDxfId="6376" totalsRowDxfId="6375"/>
    <tableColumn id="5" xr3:uid="{058BD361-4025-4587-B919-085FAFC3E082}" name="Costo" dataDxfId="6374" totalsRowDxfId="6373" dataCellStyle="Moneda">
      <calculatedColumnFormula>+VLOOKUP(Tabla1103453454455456479108130137151[[#This Row],[Ingrediente]],Tabla34[#All],3,0)</calculatedColumnFormula>
    </tableColumn>
    <tableColumn id="6" xr3:uid="{090E7ABE-5892-4D1F-8BDF-A0883B92CFCC}" name="Total costo" totalsRowFunction="sum" dataDxfId="6372" totalsRowDxfId="6371" dataCellStyle="Moneda">
      <calculatedColumnFormula>+Tabla1103453454455456479108130137151[[#This Row],[Costo]]*Tabla1103453454455456479108130137151[[#This Row],[Unidades]]</calculatedColumnFormula>
    </tableColumn>
  </tableColumns>
  <tableStyleInfo name="TableStyleLight8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85190C3C-4AE3-4BB7-B8E5-8C79480B124C}" name="Tabla1103453454455456479108131138152" displayName="Tabla1103453454455456479108131138152" ref="B46:H59" totalsRowCount="1" headerRowDxfId="6370" dataDxfId="6368" totalsRowDxfId="6366" headerRowBorderDxfId="6369" tableBorderDxfId="6367" totalsRowBorderDxfId="6365">
  <autoFilter ref="B46:H58" xr:uid="{A8736C73-67AA-48C5-B2F7-655C1CC0BBBD}"/>
  <sortState xmlns:xlrd2="http://schemas.microsoft.com/office/spreadsheetml/2017/richdata2" ref="B47:H57">
    <sortCondition ref="B49"/>
  </sortState>
  <tableColumns count="7">
    <tableColumn id="2" xr3:uid="{DF6E005E-B387-403A-87CD-195DF6678E41}" name="Ingrediente" dataDxfId="6364" totalsRowDxfId="6363"/>
    <tableColumn id="3" xr3:uid="{DE6D8887-79FE-4C7A-B3A3-CC0C038B90A3}" name="Und" dataDxfId="6362" totalsRowDxfId="6361"/>
    <tableColumn id="4" xr3:uid="{A6754E53-9237-4700-A696-6833BDB0689E}" name="Unidades Netas" dataDxfId="6360" totalsRowDxfId="6359"/>
    <tableColumn id="7" xr3:uid="{5FCF4F82-B7D4-450F-A400-421FB1072D8C}" name="% Merma" dataDxfId="6358" totalsRowDxfId="6357"/>
    <tableColumn id="1" xr3:uid="{E6CF6ECB-A2A9-43F0-B3DF-4E8CF0018174}" name="Unidades" dataDxfId="6356" totalsRowDxfId="6355"/>
    <tableColumn id="5" xr3:uid="{5C92B279-9096-4BF4-A81F-8CCBAE32C4E1}" name="Costo" dataDxfId="6354" totalsRowDxfId="6353" dataCellStyle="Moneda">
      <calculatedColumnFormula>+VLOOKUP(Tabla1103453454455456479108131138152[[#This Row],[Ingrediente]],Tabla34[#All],3,0)</calculatedColumnFormula>
    </tableColumn>
    <tableColumn id="6" xr3:uid="{DE7F8F7D-8833-4748-A22A-856E85BF9E2A}" name="Total costo" totalsRowFunction="sum" dataDxfId="6352" totalsRowDxfId="6351" dataCellStyle="Moneda">
      <calculatedColumnFormula>+Tabla1103453454455456479108131138152[[#This Row],[Costo]]*Tabla1103453454455456479108131138152[[#This Row],[Unidades]]</calculatedColumnFormula>
    </tableColumn>
  </tableColumns>
  <tableStyleInfo name="TableStyleLight8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F537D3A3-62DB-40E5-86D8-7CECDB31EB78}" name="Tabla1103453454455456479108132139153" displayName="Tabla1103453454455456479108132139153" ref="B62:H78" totalsRowCount="1" headerRowDxfId="6350" dataDxfId="6348" totalsRowDxfId="6346" headerRowBorderDxfId="6349" tableBorderDxfId="6347" totalsRowBorderDxfId="6345">
  <autoFilter ref="B62:H77" xr:uid="{2002B4E3-3288-4F9D-ADD0-A68FF641E479}"/>
  <sortState xmlns:xlrd2="http://schemas.microsoft.com/office/spreadsheetml/2017/richdata2" ref="B63:H74">
    <sortCondition ref="B66"/>
  </sortState>
  <tableColumns count="7">
    <tableColumn id="2" xr3:uid="{96F818CD-8074-46B4-A49B-D4202BC47E6A}" name="Ingrediente" dataDxfId="6344" totalsRowDxfId="6343"/>
    <tableColumn id="3" xr3:uid="{08365510-233B-4C69-9EFD-ACB585985567}" name="Und" dataDxfId="6342" totalsRowDxfId="6341"/>
    <tableColumn id="4" xr3:uid="{FBA538C1-FFF5-4019-8C03-C019BFCCDFDB}" name="Unidades Netas" dataDxfId="6340" totalsRowDxfId="6339"/>
    <tableColumn id="7" xr3:uid="{F670EF05-0A6F-4640-A16E-EC29ED3F103C}" name="% Merma" dataDxfId="6338" totalsRowDxfId="6337"/>
    <tableColumn id="1" xr3:uid="{1C68BCA0-9A16-401E-BA5C-E37E67A34A4D}" name="Unidades" dataDxfId="6336" totalsRowDxfId="6335"/>
    <tableColumn id="5" xr3:uid="{15DEA89B-38B1-4952-A46E-F10E5CD64A1C}" name="Costo" dataDxfId="6334" totalsRowDxfId="6333" dataCellStyle="Moneda">
      <calculatedColumnFormula>+VLOOKUP(Tabla1103453454455456479108132139153[[#This Row],[Ingrediente]],Tabla34[#All],3,0)</calculatedColumnFormula>
    </tableColumn>
    <tableColumn id="6" xr3:uid="{E5A9074A-F914-46F0-B0A3-77FBE1F0EC8D}" name="Total costo" totalsRowFunction="sum" dataDxfId="6332" totalsRowDxfId="6331" dataCellStyle="Moneda">
      <calculatedColumnFormula>+Tabla1103453454455456479108132139153[[#This Row],[Costo]]*Tabla1103453454455456479108132139153[[#This Row],[Unidades]]</calculatedColumnFormula>
    </tableColumn>
  </tableColumns>
  <tableStyleInfo name="TableStyleLight8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7F1377E4-FEA5-452B-ABB9-3AB32F2F99A6}" name="Tabla1103453454455456479108133140154" displayName="Tabla1103453454455456479108133140154" ref="B83:H94" totalsRowCount="1" headerRowDxfId="6330" dataDxfId="6328" totalsRowDxfId="6326" headerRowBorderDxfId="6329" tableBorderDxfId="6327" totalsRowBorderDxfId="6325">
  <autoFilter ref="B83:H93" xr:uid="{E51661B7-AB33-4992-B1D2-B2FC3C6A14F5}"/>
  <sortState xmlns:xlrd2="http://schemas.microsoft.com/office/spreadsheetml/2017/richdata2" ref="B84:H92">
    <sortCondition ref="B86"/>
  </sortState>
  <tableColumns count="7">
    <tableColumn id="2" xr3:uid="{EEBF0C2E-81A2-4CDA-B7F2-406D20CB9BAE}" name="Ingrediente" dataDxfId="6324" totalsRowDxfId="6323"/>
    <tableColumn id="3" xr3:uid="{E694B215-FD25-4510-865A-D968BE2F0C39}" name="Und" dataDxfId="6322" totalsRowDxfId="6321"/>
    <tableColumn id="4" xr3:uid="{8F5BD304-1483-4DF5-BC54-67C1487A1C4A}" name="Unidades Netas" dataDxfId="6320" totalsRowDxfId="6319"/>
    <tableColumn id="7" xr3:uid="{EC6D7EDB-56E2-46DF-808E-D40119F8E8AC}" name="% Merma" dataDxfId="6318" totalsRowDxfId="6317"/>
    <tableColumn id="1" xr3:uid="{B7CF083D-186C-4A9F-A9F4-BFBDD02B9A24}" name="Unidades" dataDxfId="6316" totalsRowDxfId="6315"/>
    <tableColumn id="5" xr3:uid="{33E61B4E-8F37-4D40-B703-DC7888232FD1}" name="Costo" dataDxfId="6314" totalsRowDxfId="6313" dataCellStyle="Moneda">
      <calculatedColumnFormula>+VLOOKUP(Tabla1103453454455456479108133140154[[#This Row],[Ingrediente]],Tabla34[#All],3,0)</calculatedColumnFormula>
    </tableColumn>
    <tableColumn id="6" xr3:uid="{F7370CB3-1B4B-42B6-A700-3769B24BCF85}" name="Total costo" totalsRowFunction="sum" dataDxfId="6312" totalsRowDxfId="6311" dataCellStyle="Moneda">
      <calculatedColumnFormula>+Tabla1103453454455456479108133140154[[#This Row],[Costo]]*Tabla1103453454455456479108133140154[[#This Row],[Unidades]]</calculatedColumnFormula>
    </tableColumn>
  </tableColumns>
  <tableStyleInfo name="TableStyleLight8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0" xr:uid="{0682A1B4-58ED-4143-81DF-94B5713FD2D2}" name="Tabla1103453454455456479108133140154333431" displayName="Tabla1103453454455456479108133140154333431" ref="B97:H112" totalsRowCount="1" headerRowDxfId="6310" dataDxfId="6308" totalsRowDxfId="6306" headerRowBorderDxfId="6309" tableBorderDxfId="6307" totalsRowBorderDxfId="6305">
  <autoFilter ref="B97:H111" xr:uid="{0682A1B4-58ED-4143-81DF-94B5713FD2D2}"/>
  <tableColumns count="7">
    <tableColumn id="2" xr3:uid="{CB6A63CC-B701-41D2-9844-BEA782D53974}" name="Ingrediente" dataDxfId="6304" totalsRowDxfId="6303"/>
    <tableColumn id="3" xr3:uid="{6CD6B958-0724-4814-A054-C0E7ACD7660F}" name="Und" dataDxfId="6302" totalsRowDxfId="6301"/>
    <tableColumn id="4" xr3:uid="{6F7DBB29-DB8D-41D9-99E8-7A62050CBF7D}" name="Unidades Netas" dataDxfId="6300" totalsRowDxfId="6299"/>
    <tableColumn id="7" xr3:uid="{7E14D58C-7F18-4C61-AD12-699435446EEC}" name="% Merma" dataDxfId="6298" totalsRowDxfId="6297"/>
    <tableColumn id="1" xr3:uid="{A8C43D9A-DF50-4324-9DAE-034D7A2E1FAB}" name="Unidades" dataDxfId="6296" totalsRowDxfId="6295"/>
    <tableColumn id="5" xr3:uid="{D9FF547F-9FC3-4B30-AF77-9551AAD3F3D6}" name="Costo" dataDxfId="6294" totalsRowDxfId="6293" dataCellStyle="Moneda">
      <calculatedColumnFormula>+VLOOKUP(Tabla1103453454455456479108133140154333431[[#This Row],[Ingrediente]],Tabla34[#All],3,0)</calculatedColumnFormula>
    </tableColumn>
    <tableColumn id="6" xr3:uid="{A6C03E4F-CEE1-4263-8AD9-F5296B2BCC16}" name="Total costo" totalsRowFunction="sum" dataDxfId="6292" totalsRowDxfId="6291" dataCellStyle="Moneda">
      <calculatedColumnFormula>+Tabla1103453454455456479108133140154333431[[#This Row],[Costo]]*Tabla1103453454455456479108133140154333431[[#This Row],[Unidades]]</calculatedColumnFormula>
    </tableColumn>
  </tableColumns>
  <tableStyleInfo name="TableStyleLight8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AD5A87-2778-4A14-9FAB-0F72910BBD4B}" name="Tabla11034534544554564791081351121722991461472" displayName="Tabla11034534544554564791081351121722991461472" ref="B115:H129" totalsRowCount="1" headerRowDxfId="6290" dataDxfId="6288" totalsRowDxfId="6286" headerRowBorderDxfId="6289" tableBorderDxfId="6287" totalsRowBorderDxfId="6285">
  <autoFilter ref="B115:H128" xr:uid="{91AD5A87-2778-4A14-9FAB-0F72910BBD4B}"/>
  <sortState xmlns:xlrd2="http://schemas.microsoft.com/office/spreadsheetml/2017/richdata2" ref="B116:H128">
    <sortCondition descending="1" ref="H8"/>
  </sortState>
  <tableColumns count="7">
    <tableColumn id="2" xr3:uid="{47B5E6C0-D16F-46CA-A250-4879146DC5FA}" name="Ingrediente" dataDxfId="6284" totalsRowDxfId="6283"/>
    <tableColumn id="3" xr3:uid="{EA249521-5F41-43BB-A8CD-F0D8C075B190}" name="Und" dataDxfId="6282" totalsRowDxfId="6281"/>
    <tableColumn id="4" xr3:uid="{6250579D-802D-40C0-A780-1B3FDEDFB6C1}" name="Cant." dataDxfId="6280" totalsRowDxfId="6279"/>
    <tableColumn id="1" xr3:uid="{C1C990BE-9B68-4A8E-9AA7-BBC65FFD87FA}" name="Columna1" dataDxfId="6278" totalsRowDxfId="6277"/>
    <tableColumn id="7" xr3:uid="{D105E4CD-5E0C-4C7A-B4AF-BE6EDD364D30}" name="Columna2" dataDxfId="6276" totalsRowDxfId="6275"/>
    <tableColumn id="5" xr3:uid="{722AA1E4-C41F-42A2-B678-8840D56BCEAF}" name="Costo" dataDxfId="6274" totalsRowDxfId="6273" dataCellStyle="Moneda">
      <calculatedColumnFormula>+VLOOKUP(Tabla11034534544554564791081351121722991461472[[#This Row],[Ingrediente]],Tabla34[#All],3,0)</calculatedColumnFormula>
    </tableColumn>
    <tableColumn id="6" xr3:uid="{ED7EC1D7-28BA-489A-885B-9611B976CDEF}" name="Total costo" totalsRowFunction="sum" dataDxfId="6272" totalsRowDxfId="6271" dataCellStyle="Moneda">
      <calculatedColumnFormula>+Tabla11034534544554564791081351121722991461472[[#This Row],[Costo]]*Tabla11034534544554564791081351121722991461472[[#This Row],[Columna2]]</calculatedColumnFormula>
    </tableColumn>
  </tableColumns>
  <tableStyleInfo name="TableStyleLight8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D27E5A83-0F31-4F14-8A7F-DC542C963AF6}" name="Tabla11034534544554564791081351121722991461472145" displayName="Tabla11034534544554564791081351121722991461472145" ref="B133:H142" totalsRowCount="1" headerRowDxfId="6270" dataDxfId="6268" totalsRowDxfId="6266" headerRowBorderDxfId="6269" tableBorderDxfId="6267" totalsRowBorderDxfId="6265">
  <autoFilter ref="B133:H141" xr:uid="{D27E5A83-0F31-4F14-8A7F-DC542C963AF6}"/>
  <sortState xmlns:xlrd2="http://schemas.microsoft.com/office/spreadsheetml/2017/richdata2" ref="B134:H141">
    <sortCondition descending="1" ref="H8"/>
  </sortState>
  <tableColumns count="7">
    <tableColumn id="2" xr3:uid="{E197B8AD-7061-4937-8D17-5E3C0D0696BA}" name="Ingrediente" dataDxfId="6264" totalsRowDxfId="6263"/>
    <tableColumn id="3" xr3:uid="{DCAB6AF6-81D0-4B98-9519-806E482BB1C2}" name="Und" dataDxfId="6262" totalsRowDxfId="6261"/>
    <tableColumn id="4" xr3:uid="{B3E15382-D6D0-488C-AA74-E58B8A32F784}" name="Cant." dataDxfId="6260" totalsRowDxfId="6259"/>
    <tableColumn id="1" xr3:uid="{671ED15A-0F47-43B1-8476-71CEE875476A}" name="Columna1" dataDxfId="6258" totalsRowDxfId="6257"/>
    <tableColumn id="7" xr3:uid="{F76BD2DB-DF5C-43E0-AE12-3A526A2941FE}" name="Columna2" dataDxfId="6256" totalsRowDxfId="6255"/>
    <tableColumn id="5" xr3:uid="{2FE295BC-C14E-42CF-8A76-2C6AA4BEAA25}" name="Costo" dataDxfId="6254" totalsRowDxfId="6253" dataCellStyle="Moneda">
      <calculatedColumnFormula>+VLOOKUP(Tabla11034534544554564791081351121722991461472145[[#This Row],[Ingrediente]],Tabla34[#All],3,0)</calculatedColumnFormula>
    </tableColumn>
    <tableColumn id="6" xr3:uid="{6FA919D9-CAD6-447B-8893-C9E614B33769}" name="Total costo" totalsRowFunction="sum" dataDxfId="6252" totalsRowDxfId="6251" dataCellStyle="Moneda">
      <calculatedColumnFormula>+Tabla11034534544554564791081351121722991461472145[[#This Row],[Costo]]*Tabla11034534544554564791081351121722991461472145[[#This Row],[Columna2]]</calculatedColumnFormula>
    </tableColumn>
  </tableColumns>
  <tableStyleInfo name="TableStyleLight8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7" xr:uid="{E3BA094E-857B-404A-9537-D02760E5BECA}" name="Tabla11034534544554564791081351121722991461472145208" displayName="Tabla11034534544554564791081351121722991461472145208" ref="B146:H162" totalsRowCount="1" headerRowDxfId="6250" dataDxfId="6248" totalsRowDxfId="6246" headerRowBorderDxfId="6249" tableBorderDxfId="6247" totalsRowBorderDxfId="6245">
  <autoFilter ref="B146:H161" xr:uid="{E3BA094E-857B-404A-9537-D02760E5BECA}"/>
  <sortState xmlns:xlrd2="http://schemas.microsoft.com/office/spreadsheetml/2017/richdata2" ref="B147:H154">
    <sortCondition descending="1" ref="H8"/>
  </sortState>
  <tableColumns count="7">
    <tableColumn id="2" xr3:uid="{AACF6564-FC72-4C7B-92C9-3A14D9A18D59}" name="Ingrediente" dataDxfId="6244" totalsRowDxfId="6243"/>
    <tableColumn id="3" xr3:uid="{873A2EED-D85E-409B-8876-9FB9B9EC85FA}" name="Und" dataDxfId="6242" totalsRowDxfId="6241"/>
    <tableColumn id="4" xr3:uid="{E6B0D014-2EC8-491C-971C-6005DE87D362}" name="Cant." dataDxfId="6240" totalsRowDxfId="6239"/>
    <tableColumn id="1" xr3:uid="{D70A23E0-E868-437D-A20E-69182B9A0F93}" name="Columna1" dataDxfId="6238" totalsRowDxfId="6237"/>
    <tableColumn id="7" xr3:uid="{8D6CECAA-694A-4731-86AD-226140DDD804}" name="Columna2" dataDxfId="6236" totalsRowDxfId="6235"/>
    <tableColumn id="5" xr3:uid="{553D2E8A-81C6-46EA-8C49-BB2227670B96}" name="Costo" dataDxfId="6234" totalsRowDxfId="6233" dataCellStyle="Moneda">
      <calculatedColumnFormula>+VLOOKUP(Tabla11034534544554564791081351121722991461472145208[[#This Row],[Ingrediente]],Tabla34[#All],3,0)</calculatedColumnFormula>
    </tableColumn>
    <tableColumn id="6" xr3:uid="{F3FD6C36-0345-4D08-A24B-3B49DF763566}" name="Total costo" totalsRowFunction="sum" dataDxfId="6232" totalsRowDxfId="6231" dataCellStyle="Moneda">
      <calculatedColumnFormula>+Tabla11034534544554564791081351121722991461472145208[[#This Row],[Costo]]*Tabla11034534544554564791081351121722991461472145208[[#This Row],[Columna2]]</calculatedColumnFormula>
    </tableColumn>
  </tableColumns>
  <tableStyleInfo name="TableStyleLight8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EE4B1B43-D562-4F55-A942-7FBC67D9C2FA}" name="Tabla34" displayName="Tabla34" ref="A1:C707" totalsRowShown="0" headerRowDxfId="6230" dataDxfId="6228" headerRowBorderDxfId="6229" tableBorderDxfId="6227">
  <autoFilter ref="A1:C707" xr:uid="{EE4B1B43-D562-4F55-A942-7FBC67D9C2FA}">
    <filterColumn colId="0">
      <filters>
        <filter val="SUB. PAPA CRIOLLA"/>
      </filters>
    </filterColumn>
  </autoFilter>
  <tableColumns count="3">
    <tableColumn id="1" xr3:uid="{57DAED09-DD4C-4B38-BBE1-6B2971771B9B}" name="ArtÃ­culo" dataDxfId="6226"/>
    <tableColumn id="2" xr3:uid="{887E3517-609A-414A-B62D-2783B807636E}" name="SubartÃ­culo" dataDxfId="6225" dataCellStyle="Moneda"/>
    <tableColumn id="3" xr3:uid="{ADF0E475-DEC5-4B63-BBB7-13C0213FBD7F}" name="Coste" dataDxfId="6224" dataCellStyle="Moneda"/>
  </tableColumns>
  <tableStyleInfo name="TableStyleLight8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3E171A01-A40C-4D0A-9E62-7E18275FF66A}" name="Tabla1103453454455456479108135108" displayName="Tabla1103453454455456479108135108" ref="B7:H26" totalsRowCount="1" headerRowDxfId="6223" dataDxfId="6221" totalsRowDxfId="6219" headerRowBorderDxfId="6222" tableBorderDxfId="6220" totalsRowBorderDxfId="6218">
  <autoFilter ref="B7:H25" xr:uid="{78BE3A0D-ECA7-47BB-B29F-2C3C5A2344BE}"/>
  <sortState xmlns:xlrd2="http://schemas.microsoft.com/office/spreadsheetml/2017/richdata2" ref="B8:H25">
    <sortCondition descending="1" ref="H10:H25"/>
  </sortState>
  <tableColumns count="7">
    <tableColumn id="2" xr3:uid="{828871E9-E0C0-433E-AEA1-4CB33AD724F3}" name="Ingrediente" dataDxfId="6217" totalsRowDxfId="6216"/>
    <tableColumn id="3" xr3:uid="{E983D2D2-3825-4E94-B71C-7A01AFC65843}" name="Und" dataDxfId="6215" totalsRowDxfId="6214"/>
    <tableColumn id="4" xr3:uid="{DDE1D641-7531-4444-9C33-317BF77D5C82}" name="Unidades Netas" dataDxfId="6213" totalsRowDxfId="6212"/>
    <tableColumn id="7" xr3:uid="{979E4855-DD07-4D12-8F3B-EC7A1F9E895D}" name="% Merma" dataDxfId="6211" totalsRowDxfId="6210"/>
    <tableColumn id="1" xr3:uid="{4C3AA94F-71A2-4986-8309-D3FF2F05B62D}" name="Unidades" dataDxfId="6209" totalsRowDxfId="6208"/>
    <tableColumn id="5" xr3:uid="{0261F42A-67FA-41CB-A78D-2E6EEE1477AC}" name="Costo" dataDxfId="6207" totalsRowDxfId="6206" dataCellStyle="Moneda">
      <calculatedColumnFormula>+VLOOKUP(Tabla1103453454455456479108135108[[#This Row],[Ingrediente]],Tabla34[#All],3,0)</calculatedColumnFormula>
    </tableColumn>
    <tableColumn id="6" xr3:uid="{A5D818D8-C241-494E-A834-B88A3075F4C7}" name="Total costo" totalsRowFunction="sum" dataDxfId="6205" totalsRowDxfId="6204" dataCellStyle="Moneda">
      <calculatedColumnFormula>+Tabla1103453454455456479108135108[[#This Row],[Costo]]*Tabla1103453454455456479108135108[[#This Row],[Unidades]]</calculatedColumnFormula>
    </tableColumn>
  </tableColumns>
  <tableStyleInfo name="TableStyleLight8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6B9036EE-208A-4D5B-AD00-09605C706D24}" name="Tabla1103453454455456479108129136118" displayName="Tabla1103453454455456479108129136118" ref="B29:H47" totalsRowCount="1" headerRowDxfId="6203" dataDxfId="6201" totalsRowDxfId="6199" headerRowBorderDxfId="6202" tableBorderDxfId="6200" totalsRowBorderDxfId="6198">
  <autoFilter ref="B29:H46" xr:uid="{087B01A7-35AD-4F23-9E77-4B3FC96A2C1A}"/>
  <sortState xmlns:xlrd2="http://schemas.microsoft.com/office/spreadsheetml/2017/richdata2" ref="B30:H39">
    <sortCondition descending="1" ref="H32"/>
  </sortState>
  <tableColumns count="7">
    <tableColumn id="2" xr3:uid="{0DF8A6FB-4E9D-4850-93AC-9AB4F3C8D6C9}" name="Ingrediente" dataDxfId="6197" totalsRowDxfId="6196"/>
    <tableColumn id="3" xr3:uid="{A6C6A257-2567-4594-ADA3-6F4105D4E92A}" name="Und" dataDxfId="6195" totalsRowDxfId="6194"/>
    <tableColumn id="4" xr3:uid="{DD7E2471-C7DE-4BAA-8F21-66FAAC74226A}" name="Unidades Netas" dataDxfId="6193" totalsRowDxfId="6192"/>
    <tableColumn id="7" xr3:uid="{9EE70624-9762-4927-826C-2C019A805E50}" name="% Merma" dataDxfId="6191" totalsRowDxfId="6190"/>
    <tableColumn id="1" xr3:uid="{FB510CA2-4934-4500-9011-2EB155246E5B}" name="Unidades" dataDxfId="6189" totalsRowDxfId="6188"/>
    <tableColumn id="5" xr3:uid="{F7A3A7B5-45A8-4C02-8C1D-65AD74F0FE25}" name="Costo" dataDxfId="6187" totalsRowDxfId="6186" dataCellStyle="Moneda">
      <calculatedColumnFormula>+VLOOKUP(Tabla1103453454455456479108129136118[[#This Row],[Ingrediente]],Tabla34[#All],3,0)</calculatedColumnFormula>
    </tableColumn>
    <tableColumn id="6" xr3:uid="{4D07B14D-461E-4FFF-9709-EFF51A72F097}" name="Total costo" totalsRowFunction="sum" dataDxfId="6185" totalsRowDxfId="6184" dataCellStyle="Moneda">
      <calculatedColumnFormula>+Tabla1103453454455456479108129136118[[#This Row],[Costo]]*Tabla1103453454455456479108129136118[[#This Row],[Unidades]]</calculatedColumnFormula>
    </tableColumn>
  </tableColumns>
  <tableStyleInfo name="TableStyleLight8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8D3C833A-043C-4FD0-A057-217851737F69}" name="Tabla1103453454455456479108131138129" displayName="Tabla1103453454455456479108131138129" ref="B52:H64" totalsRowCount="1" headerRowDxfId="6183" dataDxfId="6181" totalsRowDxfId="6179" headerRowBorderDxfId="6182" tableBorderDxfId="6180" totalsRowBorderDxfId="6178">
  <autoFilter ref="B52:H63" xr:uid="{A8736C73-67AA-48C5-B2F7-655C1CC0BBBD}"/>
  <sortState xmlns:xlrd2="http://schemas.microsoft.com/office/spreadsheetml/2017/richdata2" ref="B53:H63">
    <sortCondition descending="1" ref="H54:H63"/>
  </sortState>
  <tableColumns count="7">
    <tableColumn id="2" xr3:uid="{4B9B9EC4-5B7B-4F1D-84DF-81E38C64D02D}" name="Ingrediente" dataDxfId="6177" totalsRowDxfId="6176"/>
    <tableColumn id="3" xr3:uid="{3693D4B6-844B-4EE4-BF95-FACA620630B6}" name="Und" dataDxfId="6175" totalsRowDxfId="6174"/>
    <tableColumn id="4" xr3:uid="{4FC229F3-923A-435F-A421-036F7B8925DA}" name="Cant." dataDxfId="6173" totalsRowDxfId="6172"/>
    <tableColumn id="7" xr3:uid="{9EB5882E-16FC-44A2-824D-5DE7835D6701}" name="Columna2" dataDxfId="6171" totalsRowDxfId="6170"/>
    <tableColumn id="1" xr3:uid="{437CC808-B5F3-4A26-B579-078851FC2799}" name="Columna1" dataDxfId="6169" totalsRowDxfId="6168"/>
    <tableColumn id="5" xr3:uid="{4E5F5521-A17B-46FF-B18F-673BF8C329EB}" name="Costo" dataDxfId="6167" totalsRowDxfId="6166" dataCellStyle="Moneda">
      <calculatedColumnFormula>+VLOOKUP(Tabla1103453454455456479108131138129[[#This Row],[Ingrediente]],Tabla34[#All],3,0)</calculatedColumnFormula>
    </tableColumn>
    <tableColumn id="6" xr3:uid="{A736B498-4582-41EB-8218-7D452C255443}" name="Total costo" totalsRowFunction="sum" dataDxfId="6165" totalsRowDxfId="6164" dataCellStyle="Moneda">
      <calculatedColumnFormula>+Tabla1103453454455456479108131138129[[#This Row],[Costo]]*Tabla1103453454455456479108131138129[[#This Row],[Columna1]]</calculatedColumnFormula>
    </tableColumn>
  </tableColumns>
  <tableStyleInfo name="TableStyleLight8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57642F9C-46CB-41F5-A55D-3ABBF097E1A4}" name="Tabla1103453454455456479108132139130" displayName="Tabla1103453454455456479108132139130" ref="B67:H72" totalsRowCount="1" headerRowDxfId="6163" dataDxfId="6161" totalsRowDxfId="6159" headerRowBorderDxfId="6162" tableBorderDxfId="6160" totalsRowBorderDxfId="6158">
  <autoFilter ref="B67:H71" xr:uid="{2002B4E3-3288-4F9D-ADD0-A68FF641E479}"/>
  <sortState xmlns:xlrd2="http://schemas.microsoft.com/office/spreadsheetml/2017/richdata2" ref="B68:H71">
    <sortCondition descending="1" ref="H70"/>
  </sortState>
  <tableColumns count="7">
    <tableColumn id="2" xr3:uid="{05375157-6136-4157-B5B3-5DE6C603D809}" name="Ingrediente" dataDxfId="6157" totalsRowDxfId="684"/>
    <tableColumn id="3" xr3:uid="{A84FFDF7-7C92-4609-B80A-1A0FB12D1289}" name="Und" dataDxfId="6156" totalsRowDxfId="683"/>
    <tableColumn id="4" xr3:uid="{B869B400-F36E-4826-BA54-33AFE2DF7A06}" name="Cant." dataDxfId="6155" totalsRowDxfId="682"/>
    <tableColumn id="7" xr3:uid="{98315988-52EC-49CD-9F42-2ECA2CB4A94E}" name="Columna2" dataDxfId="6154" totalsRowDxfId="681"/>
    <tableColumn id="1" xr3:uid="{889EC0C3-A71C-403C-994F-C283944297AF}" name="Columna1" dataDxfId="6153" totalsRowDxfId="680"/>
    <tableColumn id="5" xr3:uid="{6F0533EE-D281-42C9-91A6-0DC1806BFD59}" name="Costo" dataDxfId="6152" totalsRowDxfId="679" dataCellStyle="Moneda">
      <calculatedColumnFormula>+VLOOKUP(Tabla1103453454455456479108132139130[[#This Row],[Ingrediente]],Tabla34[#All],3,0)</calculatedColumnFormula>
    </tableColumn>
    <tableColumn id="6" xr3:uid="{E2ED6C29-2426-445C-8CDC-5DAC07C6B18D}" name="Total costo" totalsRowFunction="sum" dataDxfId="6151" totalsRowDxfId="678" dataCellStyle="Moneda">
      <calculatedColumnFormula>+Tabla1103453454455456479108132139130[[#This Row],[Costo]]*Tabla1103453454455456479108132139130[[#This Row],[Columna1]]</calculatedColumnFormula>
    </tableColumn>
  </tableColumns>
  <tableStyleInfo name="TableStyleLight8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8" xr:uid="{64291DD2-BB72-4E2A-BA20-BE0A04592D52}" name="Tabla1103453454455456479108132139130429" displayName="Tabla1103453454455456479108132139130429" ref="B86:H104" totalsRowCount="1" headerRowDxfId="6150" dataDxfId="6148" totalsRowDxfId="6146" headerRowBorderDxfId="6149" tableBorderDxfId="6147" totalsRowBorderDxfId="6145">
  <autoFilter ref="B86:H103" xr:uid="{64291DD2-BB72-4E2A-BA20-BE0A04592D52}"/>
  <sortState xmlns:xlrd2="http://schemas.microsoft.com/office/spreadsheetml/2017/richdata2" ref="B87:H103">
    <sortCondition descending="1" ref="H89:H103"/>
  </sortState>
  <tableColumns count="7">
    <tableColumn id="2" xr3:uid="{E5914B8F-A9D9-4D65-813A-D6805351F852}" name="Ingrediente" dataDxfId="6144" totalsRowDxfId="6143"/>
    <tableColumn id="3" xr3:uid="{95BCEABB-62D5-47E6-9177-EA68C73CBF8C}" name="Und" dataDxfId="6142" totalsRowDxfId="6141"/>
    <tableColumn id="4" xr3:uid="{AB6C20E7-DC4F-45D0-9321-BAAB81875F8B}" name="Cant." dataDxfId="6140" totalsRowDxfId="6139"/>
    <tableColumn id="7" xr3:uid="{EF9995BC-F818-4027-8E4A-6747EF336565}" name="Columna2" dataDxfId="6138" totalsRowDxfId="6137"/>
    <tableColumn id="1" xr3:uid="{A650E244-3FBE-42B4-8F22-77F06BE35F15}" name="Columna1" dataDxfId="6136" totalsRowDxfId="6135"/>
    <tableColumn id="5" xr3:uid="{33BE8E39-7053-48FF-A061-74012170226B}" name="Costo" dataDxfId="6134" totalsRowDxfId="6133" dataCellStyle="Moneda">
      <calculatedColumnFormula>+VLOOKUP(Tabla1103453454455456479108132139130429[[#This Row],[Ingrediente]],Tabla34[#All],3,0)</calculatedColumnFormula>
    </tableColumn>
    <tableColumn id="6" xr3:uid="{320C5000-2AE9-43C2-89A9-AD9EE1119E9F}" name="Total costo" totalsRowFunction="sum" dataDxfId="6132" totalsRowDxfId="6131" dataCellStyle="Moneda">
      <calculatedColumnFormula>+Tabla1103453454455456479108132139130429[[#This Row],[Costo]]*Tabla1103453454455456479108132139130429[[#This Row],[Columna1]]</calculatedColumnFormula>
    </tableColumn>
  </tableColumns>
  <tableStyleInfo name="TableStyleLight8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A3851163-36C5-4429-AF68-4B17BD42ED97}" name="Tabla110345345445545647910813213913042975" displayName="Tabla110345345445545647910813213913042975" ref="B109:H125" totalsRowCount="1" headerRowDxfId="6130" dataDxfId="6128" totalsRowDxfId="6126" headerRowBorderDxfId="6129" tableBorderDxfId="6127" totalsRowBorderDxfId="6125">
  <autoFilter ref="B109:H124" xr:uid="{A3851163-36C5-4429-AF68-4B17BD42ED97}"/>
  <sortState xmlns:xlrd2="http://schemas.microsoft.com/office/spreadsheetml/2017/richdata2" ref="B110:H120">
    <sortCondition descending="1" ref="H70"/>
  </sortState>
  <tableColumns count="7">
    <tableColumn id="2" xr3:uid="{5CC2164C-8422-4729-AF3E-428BF6EB05D8}" name="Ingrediente" dataDxfId="6124" totalsRowDxfId="6123"/>
    <tableColumn id="3" xr3:uid="{577D19A4-BE93-4395-B146-C0E9CFF76EEB}" name="Und" dataDxfId="6122" totalsRowDxfId="6121"/>
    <tableColumn id="4" xr3:uid="{C1F521EB-59DB-4BF5-BDE1-E84A43C034F0}" name="Cant." dataDxfId="6120" totalsRowDxfId="6119"/>
    <tableColumn id="7" xr3:uid="{800EA28A-9EB5-4CEA-A9D1-DBF9500F1E7C}" name="Columna2" dataDxfId="6118" totalsRowDxfId="6117"/>
    <tableColumn id="1" xr3:uid="{DDDDE14C-4622-44AF-BFF5-D475E1F71257}" name="Columna1" dataDxfId="6116" totalsRowDxfId="6115"/>
    <tableColumn id="5" xr3:uid="{D710EB72-2109-4C3D-9E66-6E1E6053AE5A}" name="Costo" dataDxfId="6114" totalsRowDxfId="6113" dataCellStyle="Moneda">
      <calculatedColumnFormula>+VLOOKUP(Tabla110345345445545647910813213913042975[[#This Row],[Ingrediente]],Tabla34[#All],3,0)</calculatedColumnFormula>
    </tableColumn>
    <tableColumn id="6" xr3:uid="{42DB7490-DBC4-41A1-9087-330BD3EF5D77}" name="Total costo" totalsRowFunction="sum" dataDxfId="6112" totalsRowDxfId="6111" dataCellStyle="Moneda">
      <calculatedColumnFormula>+Tabla110345345445545647910813213913042975[[#This Row],[Costo]]*Tabla110345345445545647910813213913042975[[#This Row],[Columna1]]</calculatedColumnFormula>
    </tableColumn>
  </tableColumns>
  <tableStyleInfo name="TableStyleLight8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B0279594-F18F-49AF-8E2E-B7D3415F0A62}" name="Tabla110345345445545647910813414117018983" displayName="Tabla110345345445545647910813414117018983" ref="B129:H147" totalsRowCount="1" headerRowDxfId="6110" dataDxfId="6108" totalsRowDxfId="6106" headerRowBorderDxfId="6109" tableBorderDxfId="6107" totalsRowBorderDxfId="6105">
  <autoFilter ref="B129:H146" xr:uid="{B0279594-F18F-49AF-8E2E-B7D3415F0A62}"/>
  <sortState xmlns:xlrd2="http://schemas.microsoft.com/office/spreadsheetml/2017/richdata2" ref="B130:H138">
    <sortCondition descending="1" ref="H202"/>
  </sortState>
  <tableColumns count="7">
    <tableColumn id="2" xr3:uid="{1765FC48-5DC2-49E5-BA7D-BDA27A0A25EB}" name="Ingrediente" dataDxfId="6104" totalsRowDxfId="6103"/>
    <tableColumn id="3" xr3:uid="{75033CF5-79DF-474C-81A6-880198F9F071}" name="Und" dataDxfId="6102" totalsRowDxfId="6101"/>
    <tableColumn id="4" xr3:uid="{F91691F6-95E3-4964-9B4A-49E57D433933}" name="Cant." dataDxfId="6100" totalsRowDxfId="6099"/>
    <tableColumn id="7" xr3:uid="{EE2408C3-99CF-41F6-9000-0D82BF3BB2F2}" name="Columna2" dataDxfId="6098" totalsRowDxfId="6097"/>
    <tableColumn id="1" xr3:uid="{DB5C123E-FCE2-4870-BC6F-C74A187B6294}" name="Columna1" dataDxfId="6096" totalsRowDxfId="6095"/>
    <tableColumn id="5" xr3:uid="{111F874C-5398-47CC-BD3C-2E1B67F1857A}" name="Costo" dataDxfId="6094" totalsRowDxfId="6093" dataCellStyle="Moneda">
      <calculatedColumnFormula>+VLOOKUP(Tabla110345345445545647910813414117018983[[#This Row],[Ingrediente]],Tabla34[#All],3,0)</calculatedColumnFormula>
    </tableColumn>
    <tableColumn id="6" xr3:uid="{F629948B-EDD5-41FC-9F32-51294DFF4422}" name="Total costo" totalsRowFunction="sum" dataDxfId="6092" totalsRowDxfId="6091" dataCellStyle="Moneda">
      <calculatedColumnFormula>+Tabla110345345445545647910813414117018983[[#This Row],[Costo]]*Tabla110345345445545647910813414117018983[[#This Row],[Columna1]]</calculatedColumnFormula>
    </tableColumn>
  </tableColumns>
  <tableStyleInfo name="TableStyleLight8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C72DF0E5-B488-400C-ABB6-8273E6A020FC}" name="Tabla1103453454455456479108109" displayName="Tabla1103453454455456479108109" ref="B7:H20" totalsRowCount="1" headerRowDxfId="6090" dataDxfId="6088" totalsRowDxfId="6086" headerRowBorderDxfId="6089" tableBorderDxfId="6087" totalsRowBorderDxfId="6085">
  <autoFilter ref="B7:H19" xr:uid="{78BE3A0D-ECA7-47BB-B29F-2C3C5A2344BE}"/>
  <sortState xmlns:xlrd2="http://schemas.microsoft.com/office/spreadsheetml/2017/richdata2" ref="B8:H19">
    <sortCondition descending="1" ref="H10:H19"/>
  </sortState>
  <tableColumns count="7">
    <tableColumn id="2" xr3:uid="{9A9D10C0-8B78-4453-B671-71D6CC92C573}" name="Ingrediente" dataDxfId="6084" totalsRowDxfId="6083"/>
    <tableColumn id="3" xr3:uid="{401F0B71-6DCB-46C1-BFFE-C1B6EA799357}" name="Und" dataDxfId="6082" totalsRowDxfId="6081"/>
    <tableColumn id="4" xr3:uid="{F6CD605C-4222-4F41-9977-D016260C9B47}" name="Unidades Netas" dataDxfId="6080" totalsRowDxfId="6079"/>
    <tableColumn id="7" xr3:uid="{799617A1-E72F-445A-ACC0-D402985DC5D2}" name="% Merma" dataDxfId="6078" totalsRowDxfId="6077"/>
    <tableColumn id="1" xr3:uid="{4A669B54-F194-4C22-BAC7-4D436D4B0F18}" name="Unidades" dataDxfId="6076" totalsRowDxfId="6075"/>
    <tableColumn id="5" xr3:uid="{0A58B16A-2158-435E-A9F8-B27E669714D6}" name="Costo" dataDxfId="6074" totalsRowDxfId="6073" dataCellStyle="Moneda">
      <calculatedColumnFormula>+VLOOKUP(Tabla1103453454455456479108109[[#This Row],[Ingrediente]],Tabla34[#All],3,0)</calculatedColumnFormula>
    </tableColumn>
    <tableColumn id="6" xr3:uid="{F24B84DD-3378-48C5-8364-D72C8F442191}" name="Total costo" totalsRowFunction="sum" dataDxfId="6072" totalsRowDxfId="6071" dataCellStyle="Moneda">
      <calculatedColumnFormula>+Tabla1103453454455456479108109[[#This Row],[Costo]]*Tabla1103453454455456479108109[[#This Row],[Unidades]]</calculatedColumnFormula>
    </tableColumn>
  </tableColumns>
  <tableStyleInfo name="TableStyleLight8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A456BB94-3ED3-4C93-9237-D144DF98FEA3}" name="Tabla1103453454455456479108109113" displayName="Tabla1103453454455456479108109113" ref="B26:H31" totalsRowCount="1" headerRowDxfId="6070" dataDxfId="6068" totalsRowDxfId="6066" headerRowBorderDxfId="6069" tableBorderDxfId="6067" totalsRowBorderDxfId="6065">
  <autoFilter ref="B26:H30" xr:uid="{EBE56CB0-201A-463E-8EE0-F5681756BD41}"/>
  <sortState xmlns:xlrd2="http://schemas.microsoft.com/office/spreadsheetml/2017/richdata2" ref="B27:H30">
    <sortCondition descending="1" ref="H8"/>
  </sortState>
  <tableColumns count="7">
    <tableColumn id="2" xr3:uid="{88E3070B-271A-4248-847A-78809F75AF4E}" name="Ingrediente" dataDxfId="6064" totalsRowDxfId="6063"/>
    <tableColumn id="3" xr3:uid="{C9864CEC-11B1-4EDC-A534-B96147BCD490}" name="Und" dataDxfId="6062" totalsRowDxfId="6061"/>
    <tableColumn id="4" xr3:uid="{D0F036E4-6274-4B58-BBE6-19ADADAB6A1C}" name="Unidades Netas" dataDxfId="6060" totalsRowDxfId="6059"/>
    <tableColumn id="7" xr3:uid="{409350C9-EF5F-4A7A-A4AF-0CBA5E0CCE31}" name="% Merma" dataDxfId="6058" totalsRowDxfId="6057"/>
    <tableColumn id="1" xr3:uid="{D1007545-1C48-4616-9A54-D82447522846}" name="Unidades" dataDxfId="6056" totalsRowDxfId="6055"/>
    <tableColumn id="5" xr3:uid="{EDF97C49-341C-4D0A-88F5-E55040BB66F8}" name="Costo" dataDxfId="6054" totalsRowDxfId="6053" dataCellStyle="Moneda">
      <calculatedColumnFormula>+VLOOKUP(Tabla1103453454455456479108109113[[#This Row],[Ingrediente]],Tabla34[#All],3,0)</calculatedColumnFormula>
    </tableColumn>
    <tableColumn id="6" xr3:uid="{1353EA82-67E8-4D56-A7AD-9160A78F7538}" name="Total costo" totalsRowFunction="sum" dataDxfId="6052" totalsRowDxfId="6051" dataCellStyle="Moneda">
      <calculatedColumnFormula>+Tabla1103453454455456479108109113[[#This Row],[Costo]]*Tabla1103453454455456479108109113[[#This Row],[Unidades]]</calculatedColumnFormula>
    </tableColumn>
  </tableColumns>
  <tableStyleInfo name="TableStyleLight8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6CB96A99-3A44-4E26-86A6-E00CF36576DA}" name="Tabla1103453454455456479108109114" displayName="Tabla1103453454455456479108109114" ref="B37:H47" totalsRowCount="1" headerRowDxfId="6050" dataDxfId="6048" totalsRowDxfId="6046" headerRowBorderDxfId="6049" tableBorderDxfId="6047" totalsRowBorderDxfId="6045">
  <autoFilter ref="B37:H46" xr:uid="{3EBDE5F9-07E4-421C-A544-648E4211E171}"/>
  <sortState xmlns:xlrd2="http://schemas.microsoft.com/office/spreadsheetml/2017/richdata2" ref="B38:H42">
    <sortCondition ref="B39"/>
  </sortState>
  <tableColumns count="7">
    <tableColumn id="2" xr3:uid="{D67FB3B8-972C-424D-8D01-07BCE3BDEB70}" name="Ingrediente" dataDxfId="6044" totalsRowDxfId="6043"/>
    <tableColumn id="3" xr3:uid="{DE969A68-8EE8-4DD9-BC8A-4DB320D050FD}" name="Und" dataDxfId="6042" totalsRowDxfId="6041"/>
    <tableColumn id="4" xr3:uid="{FE1CE6D7-FD02-4332-92B9-BD0621F9473D}" name="Unidades Netas" dataDxfId="6040" totalsRowDxfId="6039"/>
    <tableColumn id="7" xr3:uid="{26F6BC24-70F4-4144-8815-B9D3B9E0F014}" name="% Merma" dataDxfId="6038" totalsRowDxfId="6037"/>
    <tableColumn id="1" xr3:uid="{3A9C0CBE-DDAB-46FC-88B9-1713A00FB2A5}" name="Unidades" dataDxfId="6036" totalsRowDxfId="6035"/>
    <tableColumn id="5" xr3:uid="{10981A50-78AA-497F-BE45-3196B215524E}" name="Costo" dataDxfId="6034" totalsRowDxfId="6033" dataCellStyle="Moneda">
      <calculatedColumnFormula>+VLOOKUP(Tabla1103453454455456479108109114[[#This Row],[Ingrediente]],Tabla34[#All],3,0)</calculatedColumnFormula>
    </tableColumn>
    <tableColumn id="6" xr3:uid="{FEFD5596-F3DF-41F3-BD78-4C32F89F1C59}" name="Total costo" totalsRowFunction="sum" dataDxfId="6032" totalsRowDxfId="6031" dataCellStyle="Moneda">
      <calculatedColumnFormula>+Tabla1103453454455456479108109114[[#This Row],[Costo]]*Tabla1103453454455456479108109114[[#This Row],[Unidades]]</calculatedColumnFormula>
    </tableColumn>
  </tableColumns>
  <tableStyleInfo name="TableStyleLight8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64028836-EB47-4C44-82EE-E5178B0878E8}" name="Tabla1103453454455456479108109116" displayName="Tabla1103453454455456479108109116" ref="B54:H66" totalsRowCount="1" headerRowDxfId="6030" dataDxfId="6028" totalsRowDxfId="6026" headerRowBorderDxfId="6029" tableBorderDxfId="6027" totalsRowBorderDxfId="6025">
  <autoFilter ref="B54:H65" xr:uid="{55DEB429-EF31-4349-9FA2-72FDED27A546}"/>
  <sortState xmlns:xlrd2="http://schemas.microsoft.com/office/spreadsheetml/2017/richdata2" ref="B55:H65">
    <sortCondition ref="B57"/>
  </sortState>
  <tableColumns count="7">
    <tableColumn id="2" xr3:uid="{E3E68C0E-4FE2-4473-8FE6-D8D631FDC408}" name="Ingrediente" dataDxfId="6024" totalsRowDxfId="6023"/>
    <tableColumn id="3" xr3:uid="{DE28540C-FDC7-4139-BFA2-0F1C1A00094B}" name="Und" dataDxfId="6022" totalsRowDxfId="6021"/>
    <tableColumn id="4" xr3:uid="{7BBBCB75-DBEA-4AB7-8DF5-505C088CBD24}" name="Unidades Netas" dataDxfId="6020" totalsRowDxfId="6019"/>
    <tableColumn id="7" xr3:uid="{C32B2D44-D97E-472D-A76B-3FCAE174A229}" name="% Merma" dataDxfId="6018" totalsRowDxfId="6017"/>
    <tableColumn id="1" xr3:uid="{1C0DA283-6D7E-4364-BF7F-1FFC802FF43A}" name="Unidades" dataDxfId="6016" totalsRowDxfId="6015"/>
    <tableColumn id="5" xr3:uid="{661AE389-2357-4D9A-A318-D01C2A2921D2}" name="Costo" dataDxfId="6014" totalsRowDxfId="6013" dataCellStyle="Moneda">
      <calculatedColumnFormula>+VLOOKUP(Tabla1103453454455456479108109116[[#This Row],[Ingrediente]],Tabla34[#All],3,0)</calculatedColumnFormula>
    </tableColumn>
    <tableColumn id="6" xr3:uid="{A2124589-90CF-4B56-8FBE-9CD209011BEE}" name="Total costo" totalsRowFunction="sum" dataDxfId="6012" totalsRowDxfId="6011" dataCellStyle="Moneda">
      <calculatedColumnFormula>+Tabla1103453454455456479108109116[[#This Row],[Costo]]*Tabla1103453454455456479108109116[[#This Row],[Unidades]]</calculatedColumnFormula>
    </tableColumn>
  </tableColumns>
  <tableStyleInfo name="TableStyleLight8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6FC945C6-F1B2-4484-8FAC-9E99762C3C97}" name="Tabla1103453454455456479108109117" displayName="Tabla1103453454455456479108109117" ref="B70:H79" totalsRowCount="1" headerRowDxfId="6010" dataDxfId="6008" totalsRowDxfId="6006" headerRowBorderDxfId="6009" tableBorderDxfId="6007" totalsRowBorderDxfId="6005">
  <autoFilter ref="B70:H78" xr:uid="{74FEE720-9BFD-4C84-AA82-1717D5C33057}"/>
  <sortState xmlns:xlrd2="http://schemas.microsoft.com/office/spreadsheetml/2017/richdata2" ref="B71:H78">
    <sortCondition ref="B72"/>
  </sortState>
  <tableColumns count="7">
    <tableColumn id="2" xr3:uid="{9A4ACD53-D795-43F5-852A-71FBACF18D24}" name="Ingrediente" dataDxfId="6004" totalsRowDxfId="6003"/>
    <tableColumn id="3" xr3:uid="{CBEAC7A3-7AB0-4BE6-AD2B-A5003AAC58CF}" name="Und" dataDxfId="6002" totalsRowDxfId="6001"/>
    <tableColumn id="4" xr3:uid="{86B61296-ED3B-4F6D-9C85-6A3E18B9ED32}" name="Unidades Netas" dataDxfId="6000" totalsRowDxfId="5999"/>
    <tableColumn id="7" xr3:uid="{378DC292-04FB-40A8-9B44-1EB82DA3BAC9}" name="% Merma" dataDxfId="5998" totalsRowDxfId="5997"/>
    <tableColumn id="1" xr3:uid="{7E6DD520-9E60-4B1D-91B6-82EDA8AF6F65}" name="Unidades" dataDxfId="5996" totalsRowDxfId="5995"/>
    <tableColumn id="5" xr3:uid="{4BE7AD6A-B063-469F-B7A3-A04DF6F51C90}" name="Costo" dataDxfId="5994" totalsRowDxfId="5993" dataCellStyle="Moneda">
      <calculatedColumnFormula>+VLOOKUP(Tabla1103453454455456479108109117[[#This Row],[Ingrediente]],Tabla34[#All],3,0)</calculatedColumnFormula>
    </tableColumn>
    <tableColumn id="6" xr3:uid="{EBE3313F-1CA5-4B39-97FD-CDFFFE74BC96}" name="Total costo" totalsRowFunction="sum" dataDxfId="5992" totalsRowDxfId="5991" dataCellStyle="Moneda">
      <calculatedColumnFormula>+Tabla1103453454455456479108109117[[#This Row],[Costo]]*Tabla1103453454455456479108109117[[#This Row],[Unidades]]</calculatedColumnFormula>
    </tableColumn>
  </tableColumns>
  <tableStyleInfo name="TableStyleLight8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8E0D9769-C563-491B-8BF2-BA7D00E8FD90}" name="Tabla1103453454455456479108109117119120" displayName="Tabla1103453454455456479108109117119120" ref="B83:H89" totalsRowCount="1" headerRowDxfId="5990" dataDxfId="5988" totalsRowDxfId="5986" headerRowBorderDxfId="5989" tableBorderDxfId="5987" totalsRowBorderDxfId="5985">
  <autoFilter ref="B83:H88" xr:uid="{7AFE9926-2DC8-4498-8516-52D8027CC1F9}"/>
  <sortState xmlns:xlrd2="http://schemas.microsoft.com/office/spreadsheetml/2017/richdata2" ref="B84:H87">
    <sortCondition ref="B85"/>
  </sortState>
  <tableColumns count="7">
    <tableColumn id="2" xr3:uid="{7C7DCD3D-8238-474D-9F03-10B073DCE39D}" name="Ingrediente" dataDxfId="5984" totalsRowDxfId="5983"/>
    <tableColumn id="3" xr3:uid="{63B0E87C-AA9D-4F52-AE6C-8BC4CF6CE04A}" name="Und" dataDxfId="5982" totalsRowDxfId="5981"/>
    <tableColumn id="4" xr3:uid="{35ABF399-57F7-4C97-B414-DEBA247A7642}" name="Unidades Netas" dataDxfId="5980" totalsRowDxfId="5979"/>
    <tableColumn id="7" xr3:uid="{FC447658-6F7D-4E9D-8A46-09F10E603750}" name="% Merma" dataDxfId="5978" totalsRowDxfId="5977"/>
    <tableColumn id="1" xr3:uid="{8BC5537D-4B8C-41B4-887A-182280204F76}" name="Unidades" dataDxfId="5976" totalsRowDxfId="5975"/>
    <tableColumn id="5" xr3:uid="{59E16E5B-257C-4C1A-B151-B62874F3AC92}" name="Costo" dataDxfId="5974" totalsRowDxfId="5973" dataCellStyle="Moneda">
      <calculatedColumnFormula>+VLOOKUP(Tabla1103453454455456479108109117119120[[#This Row],[Ingrediente]],Tabla34[#All],3,0)</calculatedColumnFormula>
    </tableColumn>
    <tableColumn id="6" xr3:uid="{6228A754-A963-4443-8D97-EFFCC1576CCA}" name="Total costo" totalsRowFunction="sum" dataDxfId="5972" totalsRowDxfId="5971" dataCellStyle="Moneda">
      <calculatedColumnFormula>+Tabla1103453454455456479108109117119120[[#This Row],[Costo]]*Tabla1103453454455456479108109117119120[[#This Row],[Unidades]]</calculatedColumnFormula>
    </tableColumn>
  </tableColumns>
  <tableStyleInfo name="TableStyleLight8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B0BCBB9F-38E8-40C6-AE12-D06EF0AFC605}" name="Tabla1103453454455456479108109117119120122" displayName="Tabla1103453454455456479108109117119120122" ref="B94:H98" totalsRowCount="1" headerRowDxfId="5970" dataDxfId="5968" totalsRowDxfId="5966" headerRowBorderDxfId="5969" tableBorderDxfId="5967" totalsRowBorderDxfId="5965">
  <autoFilter ref="B94:H97" xr:uid="{8AA82083-AA79-4534-9BB0-D58F15124DF7}"/>
  <sortState xmlns:xlrd2="http://schemas.microsoft.com/office/spreadsheetml/2017/richdata2" ref="B95:H96">
    <sortCondition descending="1" ref="H8"/>
  </sortState>
  <tableColumns count="7">
    <tableColumn id="2" xr3:uid="{72BD77FD-40FF-4041-B0C2-1881D6DFC286}" name="Ingrediente" dataDxfId="5964" totalsRowDxfId="5963"/>
    <tableColumn id="3" xr3:uid="{DB1AB468-9D6F-4AEF-9448-2FF99DADE411}" name="Und" dataDxfId="5962" totalsRowDxfId="5961"/>
    <tableColumn id="4" xr3:uid="{735FC7AE-4942-4DA0-9B29-1666586D27A2}" name="Unidades Netas" dataDxfId="5960" totalsRowDxfId="5959"/>
    <tableColumn id="7" xr3:uid="{FF2C6A24-90B1-4C0D-8CCB-46A18D33285D}" name="% Merma" dataDxfId="5958" totalsRowDxfId="5957"/>
    <tableColumn id="1" xr3:uid="{BF230BA5-EB75-42CC-AECA-39A92FDF51A2}" name="Unidades" dataDxfId="5956" totalsRowDxfId="5955"/>
    <tableColumn id="5" xr3:uid="{FE5030BF-7FA8-45CB-A844-69437315E1E3}" name="Costo" dataDxfId="5954" totalsRowDxfId="5953" dataCellStyle="Moneda">
      <calculatedColumnFormula>+VLOOKUP(Tabla1103453454455456479108109117119120122[[#This Row],[Ingrediente]],Tabla34[#All],3,0)</calculatedColumnFormula>
    </tableColumn>
    <tableColumn id="6" xr3:uid="{F1399EB1-2096-430E-A54A-C930D2EAC469}" name="Total costo" totalsRowFunction="sum" dataDxfId="5952" totalsRowDxfId="5951" dataCellStyle="Moneda">
      <calculatedColumnFormula>+Tabla1103453454455456479108109117119120122[[#This Row],[Costo]]*Tabla1103453454455456479108109117119120122[[#This Row],[Unidades]]</calculatedColumnFormula>
    </tableColumn>
  </tableColumns>
  <tableStyleInfo name="TableStyleLight8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F2654A35-0DAA-46D9-8B35-BBCA2729E2BB}" name="Tabla1103453454455456479108109117119120123" displayName="Tabla1103453454455456479108109117119120123" ref="B106:H111" totalsRowCount="1" headerRowDxfId="5950" dataDxfId="5948" totalsRowDxfId="5946" headerRowBorderDxfId="5949" tableBorderDxfId="5947" totalsRowBorderDxfId="5945">
  <autoFilter ref="B106:H110" xr:uid="{76B6D3AE-91D0-45E4-ACB7-D265633308CD}"/>
  <sortState xmlns:xlrd2="http://schemas.microsoft.com/office/spreadsheetml/2017/richdata2" ref="B107:H109">
    <sortCondition ref="B108"/>
  </sortState>
  <tableColumns count="7">
    <tableColumn id="2" xr3:uid="{33CF25F4-A3D4-4AB1-B516-FDBB6D350FC9}" name="Ingrediente" dataDxfId="5944" totalsRowDxfId="5943"/>
    <tableColumn id="3" xr3:uid="{EF267A65-1517-462C-8481-848CBEF51CB6}" name="Und" dataDxfId="5942" totalsRowDxfId="5941"/>
    <tableColumn id="4" xr3:uid="{755645B2-C3DE-46CC-B4C7-BA9FD519AB8A}" name="Unidades Netas" dataDxfId="5940" totalsRowDxfId="5939"/>
    <tableColumn id="7" xr3:uid="{BEFF663C-FE05-4693-B35C-A332438659A0}" name="% Merma" dataDxfId="5938" totalsRowDxfId="5937"/>
    <tableColumn id="1" xr3:uid="{FF59BCAA-148F-488A-84F0-D7C3C15A2E65}" name="Unidades" dataDxfId="5936" totalsRowDxfId="5935"/>
    <tableColumn id="5" xr3:uid="{2B2104AA-CF62-4385-ABBC-E8F51347E49C}" name="Costo" dataDxfId="5934" totalsRowDxfId="5933" dataCellStyle="Moneda">
      <calculatedColumnFormula>+VLOOKUP(Tabla1103453454455456479108109117119120123[[#This Row],[Ingrediente]],Tabla34[#All],3,0)</calculatedColumnFormula>
    </tableColumn>
    <tableColumn id="6" xr3:uid="{A6FD7397-1B20-4318-8039-30ED0445F61A}" name="Total costo" totalsRowFunction="sum" dataDxfId="5932" totalsRowDxfId="5931" dataCellStyle="Moneda">
      <calculatedColumnFormula>+Tabla1103453454455456479108109117119120123[[#This Row],[Costo]]*Tabla1103453454455456479108109117119120123[[#This Row],[Unidades]]</calculatedColumnFormula>
    </tableColumn>
  </tableColumns>
  <tableStyleInfo name="TableStyleLight8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D4C6C1AC-DF14-442A-915C-11F8D665D3DD}" name="Tabla1103453454455456479108109117119120123124" displayName="Tabla1103453454455456479108109117119120123124" ref="B118:H127" totalsRowCount="1" headerRowDxfId="5930" dataDxfId="5928" totalsRowDxfId="5926" headerRowBorderDxfId="5929" tableBorderDxfId="5927" totalsRowBorderDxfId="5925">
  <autoFilter ref="B118:H126" xr:uid="{76264E18-EBE6-41E7-A5A5-F8B662F361B2}"/>
  <sortState xmlns:xlrd2="http://schemas.microsoft.com/office/spreadsheetml/2017/richdata2" ref="B119:H125">
    <sortCondition ref="B120"/>
  </sortState>
  <tableColumns count="7">
    <tableColumn id="2" xr3:uid="{25E105CD-3FE4-4DAE-A705-3C660D55FB14}" name="Ingrediente" dataDxfId="5924" totalsRowDxfId="5923"/>
    <tableColumn id="3" xr3:uid="{34DC2A44-D3CE-4807-8C85-8DA6862018C0}" name="Und" dataDxfId="5922" totalsRowDxfId="5921"/>
    <tableColumn id="4" xr3:uid="{1D756BDF-1FF7-446D-B580-3C4CFA80A727}" name="Unidades Netas" dataDxfId="5920" totalsRowDxfId="5919"/>
    <tableColumn id="7" xr3:uid="{BAC1E6F3-C71C-4E3B-A816-E260710F8C0F}" name="% Merma" dataDxfId="5918" totalsRowDxfId="5917"/>
    <tableColumn id="1" xr3:uid="{74ED5496-4F24-40A5-9D2D-733B6924C2C2}" name="Unidades" dataDxfId="5916" totalsRowDxfId="5915"/>
    <tableColumn id="5" xr3:uid="{B2D2646A-1A18-40D6-89EC-DE1D5DB12756}" name="Costo" dataDxfId="5914" totalsRowDxfId="5913" dataCellStyle="Moneda">
      <calculatedColumnFormula>+VLOOKUP(Tabla1103453454455456479108109117119120123124[[#This Row],[Ingrediente]],Tabla34[#All],3,0)</calculatedColumnFormula>
    </tableColumn>
    <tableColumn id="6" xr3:uid="{4A159729-97CD-405D-BEFF-5FAB3139BE57}" name="Total costo" totalsRowFunction="sum" dataDxfId="5912" totalsRowDxfId="5911" dataCellStyle="Moneda">
      <calculatedColumnFormula>+Tabla1103453454455456479108109117119120123124[[#This Row],[Costo]]*Tabla1103453454455456479108109117119120123124[[#This Row],[Unidades]]</calculatedColumnFormula>
    </tableColumn>
  </tableColumns>
  <tableStyleInfo name="TableStyleLight8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5F1DCBB0-9EA5-4AD9-9042-88316D184340}" name="Tabla1103453454455456479108109117119120123124125" displayName="Tabla1103453454455456479108109117119120123124125" ref="B130:H135" totalsRowCount="1" headerRowDxfId="5910" dataDxfId="5908" totalsRowDxfId="5906" headerRowBorderDxfId="5909" tableBorderDxfId="5907" totalsRowBorderDxfId="5905">
  <autoFilter ref="B130:H134" xr:uid="{07599B9B-5155-4777-9D8E-523353336954}"/>
  <tableColumns count="7">
    <tableColumn id="2" xr3:uid="{5405D415-E798-4069-B944-00A657D7BA21}" name="Ingrediente" dataDxfId="5904" totalsRowDxfId="5903"/>
    <tableColumn id="3" xr3:uid="{D8F18674-F79D-47F6-8F1D-FFFC1BC3BC1F}" name="Und" dataDxfId="5902" totalsRowDxfId="5901"/>
    <tableColumn id="4" xr3:uid="{0577A801-B04C-4D3C-8376-B22ADD33AF98}" name="Unidades Netas" dataDxfId="5900" totalsRowDxfId="5899"/>
    <tableColumn id="7" xr3:uid="{E99820FE-0F69-45B9-94D2-9229FBC10AF7}" name="% Merma" dataDxfId="5898" totalsRowDxfId="5897"/>
    <tableColumn id="1" xr3:uid="{99FB5D11-720C-4769-A8D7-E3B1B9BC67EE}" name="Unidades" dataDxfId="5896" totalsRowDxfId="5895"/>
    <tableColumn id="5" xr3:uid="{EBC41E05-EA49-4162-8E21-AC9A1EC5EA7F}" name="Costo" dataDxfId="5894" totalsRowDxfId="5893" dataCellStyle="Moneda">
      <calculatedColumnFormula>+VLOOKUP(Tabla1103453454455456479108109117119120123124125[[#This Row],[Ingrediente]],Tabla34[#All],3,0)</calculatedColumnFormula>
    </tableColumn>
    <tableColumn id="6" xr3:uid="{96C998BF-69BF-402A-82B1-3B57F1DDCF50}" name="Total costo" totalsRowFunction="sum" dataDxfId="5892" totalsRowDxfId="5891" dataCellStyle="Moneda">
      <calculatedColumnFormula>+Tabla1103453454455456479108109117119120123124125[[#This Row],[Costo]]*Tabla1103453454455456479108109117119120123124125[[#This Row],[Unidades]]</calculatedColumnFormula>
    </tableColumn>
  </tableColumns>
  <tableStyleInfo name="TableStyleLight8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A1E46B-C27C-48DA-92A0-EDBE5A507578}" name="Tabla11034534544554564791081351121722991461485" displayName="Tabla11034534544554564791081351121722991461485" ref="B143:H156" totalsRowCount="1" headerRowDxfId="5890" dataDxfId="5888" totalsRowDxfId="5886" headerRowBorderDxfId="5889" tableBorderDxfId="5887" totalsRowBorderDxfId="5885">
  <autoFilter ref="B143:H155" xr:uid="{04A1E46B-C27C-48DA-92A0-EDBE5A507578}"/>
  <sortState xmlns:xlrd2="http://schemas.microsoft.com/office/spreadsheetml/2017/richdata2" ref="B144:H155">
    <sortCondition descending="1" ref="H8"/>
  </sortState>
  <tableColumns count="7">
    <tableColumn id="2" xr3:uid="{56A6F6C8-2BDE-43F8-8716-F5F9BD42A4EC}" name="Ingrediente" dataDxfId="5884" totalsRowDxfId="5883"/>
    <tableColumn id="3" xr3:uid="{545EED4A-07C4-496F-BB8C-3DB0FE2E53F7}" name="Und" dataDxfId="5882" totalsRowDxfId="5881"/>
    <tableColumn id="4" xr3:uid="{19AB5AC1-89F7-474B-85DB-8DC9ED658308}" name="Cant." dataDxfId="5880" totalsRowDxfId="5879"/>
    <tableColumn id="1" xr3:uid="{7902A6B8-82FB-44A6-BEEB-F67DECA0A1CA}" name="Columna1" dataDxfId="5878" totalsRowDxfId="5877"/>
    <tableColumn id="7" xr3:uid="{E8F17048-A516-4A66-892E-0CD59903E341}" name="Columna2" dataDxfId="5876" totalsRowDxfId="5875"/>
    <tableColumn id="5" xr3:uid="{36ACAF8A-4517-47B1-BE09-B2977AA20AB2}" name="Costo" dataDxfId="5874" totalsRowDxfId="5873" dataCellStyle="Moneda">
      <calculatedColumnFormula>+VLOOKUP(Tabla11034534544554564791081351121722991461485[[#This Row],[Ingrediente]],Tabla34[#All],3,0)</calculatedColumnFormula>
    </tableColumn>
    <tableColumn id="6" xr3:uid="{6C78A0F1-354D-4F83-8C10-F7EAA43A70CB}" name="Total costo" totalsRowFunction="sum" dataDxfId="5872" totalsRowDxfId="5871" dataCellStyle="Moneda">
      <calculatedColumnFormula>+Tabla11034534544554564791081351121722991461485[[#This Row],[Costo]]*Tabla11034534544554564791081351121722991461485[[#This Row],[Columna2]]</calculatedColumnFormula>
    </tableColumn>
  </tableColumns>
  <tableStyleInfo name="TableStyleLight8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C88BA84B-2D48-4103-933B-7327877F8897}" name="Tabla11034534544554564791081351121722991461485163" displayName="Tabla11034534544554564791081351121722991461485163" ref="B160:H177" totalsRowCount="1" headerRowDxfId="5870" dataDxfId="5868" totalsRowDxfId="5866" headerRowBorderDxfId="5869" tableBorderDxfId="5867" totalsRowBorderDxfId="5865">
  <autoFilter ref="B160:H176" xr:uid="{C88BA84B-2D48-4103-933B-7327877F8897}"/>
  <sortState xmlns:xlrd2="http://schemas.microsoft.com/office/spreadsheetml/2017/richdata2" ref="B161:H176">
    <sortCondition descending="1" ref="H8"/>
  </sortState>
  <tableColumns count="7">
    <tableColumn id="2" xr3:uid="{0581E7C5-7772-4DB1-AF1A-E922BBF2BCBD}" name="Ingrediente" dataDxfId="5864" totalsRowDxfId="5863"/>
    <tableColumn id="3" xr3:uid="{2BB68FBA-B7D8-48D0-BDF7-469076319F55}" name="Und" dataDxfId="5862" totalsRowDxfId="5861"/>
    <tableColumn id="4" xr3:uid="{CDD1FDC2-D296-40BA-96F0-5B954E568B5C}" name="Cant." dataDxfId="5860" totalsRowDxfId="5859"/>
    <tableColumn id="1" xr3:uid="{1EB6C4B2-3779-4252-BECA-D4F230DF564F}" name="Columna1" dataDxfId="5858" totalsRowDxfId="5857"/>
    <tableColumn id="7" xr3:uid="{76BFB8A3-7628-4C41-9BA6-27EE37B2E453}" name="Columna2" dataDxfId="5856" totalsRowDxfId="5855"/>
    <tableColumn id="5" xr3:uid="{85F764B6-159F-446A-BF5B-B89496812388}" name="Costo" dataDxfId="5854" totalsRowDxfId="5853" dataCellStyle="Moneda">
      <calculatedColumnFormula>+VLOOKUP(Tabla11034534544554564791081351121722991461485163[[#This Row],[Ingrediente]],Tabla34[#All],3,0)</calculatedColumnFormula>
    </tableColumn>
    <tableColumn id="6" xr3:uid="{5E46DFEB-2F82-4FB2-8033-FF2FA884964E}" name="Total costo" totalsRowFunction="sum" dataDxfId="5852" totalsRowDxfId="5851" dataCellStyle="Moneda">
      <calculatedColumnFormula>+Tabla11034534544554564791081351121722991461485163[[#This Row],[Costo]]*Tabla11034534544554564791081351121722991461485163[[#This Row],[Columna2]]</calculatedColumnFormula>
    </tableColumn>
  </tableColumns>
  <tableStyleInfo name="TableStyleLight8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25E24D6A-940D-4437-B263-679AE371D044}" name="Tabla1103453454455456479" displayName="Tabla1103453454455456479" ref="B7:H28" totalsRowCount="1" headerRowDxfId="5850" dataDxfId="5848" totalsRowDxfId="5846" headerRowBorderDxfId="5849" tableBorderDxfId="5847" totalsRowBorderDxfId="5845">
  <autoFilter ref="B7:H27" xr:uid="{25E24D6A-940D-4437-B263-679AE371D044}"/>
  <sortState xmlns:xlrd2="http://schemas.microsoft.com/office/spreadsheetml/2017/richdata2" ref="B8:H26">
    <sortCondition descending="1" ref="H9:H26"/>
  </sortState>
  <tableColumns count="7">
    <tableColumn id="2" xr3:uid="{EE8549DB-2A61-4A0D-9925-A12DB91BD6B2}" name="Ingrediente" dataDxfId="5844" totalsRowDxfId="5843"/>
    <tableColumn id="3" xr3:uid="{2E0A8594-34DD-4838-A945-CF0626FD8410}" name="Und" dataDxfId="5842" totalsRowDxfId="5841"/>
    <tableColumn id="4" xr3:uid="{8A1CBFCF-579A-4119-A5AC-4A636097D11D}" name="Unidades Netas" dataDxfId="5840" totalsRowDxfId="5839"/>
    <tableColumn id="7" xr3:uid="{2CC213E1-1229-4BF6-80DE-66B11C667231}" name="% Merma" dataDxfId="5838" totalsRowDxfId="5837"/>
    <tableColumn id="1" xr3:uid="{25CB2145-0A66-4BBC-B7D3-3B6DB071050C}" name="Unidades" dataDxfId="5836" totalsRowDxfId="5835"/>
    <tableColumn id="5" xr3:uid="{DFCDC07D-EB7E-4D2F-9DF6-933951B5188B}" name="Costo" dataDxfId="5834" totalsRowDxfId="5833" dataCellStyle="Moneda">
      <calculatedColumnFormula>+VLOOKUP(Tabla1103453454455456479[[#This Row],[Ingrediente]],Tabla34[#All],3,0)</calculatedColumnFormula>
    </tableColumn>
    <tableColumn id="6" xr3:uid="{B08FB915-0933-4C7C-AC7F-168904C45DB3}" name="Total costo" totalsRowFunction="sum" dataDxfId="5832" totalsRowDxfId="5831" dataCellStyle="Moneda">
      <calculatedColumnFormula>+Tabla1103453454455456479[[#This Row],[Costo]]*Tabla1103453454455456479[[#This Row],[Unidades]]</calculatedColumnFormula>
    </tableColumn>
  </tableColumns>
  <tableStyleInfo name="TableStyleLight8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1455AAB-C9AE-477B-9E8B-A594DC3E3BA6}" name="Tabla110345345445545647919" displayName="Tabla110345345445545647919" ref="B31:H53" totalsRowCount="1" headerRowDxfId="5830" dataDxfId="5828" totalsRowDxfId="5826" headerRowBorderDxfId="5829" tableBorderDxfId="5827" totalsRowBorderDxfId="5825">
  <autoFilter ref="B31:H52" xr:uid="{A7233990-8CFB-4BCA-B363-38DFB8282537}"/>
  <sortState xmlns:xlrd2="http://schemas.microsoft.com/office/spreadsheetml/2017/richdata2" ref="B32:H49">
    <sortCondition descending="1" ref="H32:H49"/>
  </sortState>
  <tableColumns count="7">
    <tableColumn id="2" xr3:uid="{1B0A157D-A66F-4637-B808-AE1EBC80FE41}" name="Ingrediente" dataDxfId="5824" totalsRowDxfId="5823"/>
    <tableColumn id="3" xr3:uid="{86FD7077-DCF3-4E10-9066-2F60DE79FB0E}" name="Und" dataDxfId="5822" totalsRowDxfId="5821"/>
    <tableColumn id="4" xr3:uid="{1523D2E1-8B3F-4797-899D-165F756143A8}" name="Unidades Netas" dataDxfId="5820" totalsRowDxfId="5819"/>
    <tableColumn id="1" xr3:uid="{BFAFA24B-E0FB-46D0-95DE-B859602D899D}" name="% Merma" dataDxfId="5818" totalsRowDxfId="5817" dataCellStyle="Porcentaje"/>
    <tableColumn id="7" xr3:uid="{77A04E54-7FC5-4855-99E8-843D3D3E4EB3}" name="Unidades" dataDxfId="5816" totalsRowDxfId="5815"/>
    <tableColumn id="5" xr3:uid="{5DB687AE-9749-4277-BB38-21196DED0339}" name="Costo" dataDxfId="5814" totalsRowDxfId="5813" dataCellStyle="Moneda">
      <calculatedColumnFormula>+VLOOKUP(Tabla110345345445545647919[[#This Row],[Ingrediente]],Tabla34[#All],3,0)</calculatedColumnFormula>
    </tableColumn>
    <tableColumn id="6" xr3:uid="{ED51F60D-E344-4368-AB89-97DB24137D21}" name="Total costo" totalsRowFunction="sum" dataDxfId="5812" totalsRowDxfId="5811" dataCellStyle="Moneda">
      <calculatedColumnFormula>+Tabla110345345445545647919[[#This Row],[Costo]]*Tabla110345345445545647919[[#This Row],[Unidades]]</calculatedColumnFormula>
    </tableColumn>
  </tableColumns>
  <tableStyleInfo name="TableStyleLight8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BA682D3-EFF0-4454-A7B0-0E5895C1A314}" name="Tabla11034534544554564791921" displayName="Tabla11034534544554564791921" ref="B56:H73" totalsRowCount="1" headerRowDxfId="5810" dataDxfId="5808" totalsRowDxfId="5806" headerRowBorderDxfId="5809" tableBorderDxfId="5807" totalsRowBorderDxfId="5805">
  <autoFilter ref="B56:H72" xr:uid="{056D191A-D780-4EBD-8628-B3DDFB5F9227}"/>
  <sortState xmlns:xlrd2="http://schemas.microsoft.com/office/spreadsheetml/2017/richdata2" ref="B57:H70">
    <sortCondition descending="1" ref="H60"/>
  </sortState>
  <tableColumns count="7">
    <tableColumn id="2" xr3:uid="{6C1F8E64-5B0E-4873-8119-1C5ADCE5BE2D}" name="Ingrediente" dataDxfId="5804" totalsRowDxfId="5803"/>
    <tableColumn id="3" xr3:uid="{E6291F9E-004B-4EB8-A02F-D62C678E3307}" name="Und" dataDxfId="5802" totalsRowDxfId="5801"/>
    <tableColumn id="4" xr3:uid="{F0CCDEC0-1C26-4436-88A0-57602368A66F}" name="Unidades Netas" dataDxfId="5800" totalsRowDxfId="5799"/>
    <tableColumn id="7" xr3:uid="{5AE5567D-FC05-48AE-9A8E-0A5B8BE9324D}" name="% Merma" dataDxfId="5798" totalsRowDxfId="5797" dataCellStyle="Porcentaje"/>
    <tableColumn id="1" xr3:uid="{94AF99A3-2FC7-4B37-AF02-280062D6F041}" name="Unidades" dataDxfId="5796" totalsRowDxfId="5795"/>
    <tableColumn id="5" xr3:uid="{74D1D1A2-647E-4C05-843D-75A626E8D3DA}" name="Costo" dataDxfId="5794" totalsRowDxfId="5793" dataCellStyle="Moneda">
      <calculatedColumnFormula>+VLOOKUP(Tabla11034534544554564791921[[#This Row],[Ingrediente]],Tabla34[#All],3,0)</calculatedColumnFormula>
    </tableColumn>
    <tableColumn id="6" xr3:uid="{B3DC24A7-0360-46E1-8054-3FED7760E4A2}" name="Total costo" totalsRowFunction="sum" dataDxfId="5792" totalsRowDxfId="5791" dataCellStyle="Moneda">
      <calculatedColumnFormula>+Tabla11034534544554564791921[[#This Row],[Costo]]*Tabla11034534544554564791921[[#This Row],[Unidades Netas]]</calculatedColumnFormula>
    </tableColumn>
  </tableColumns>
  <tableStyleInfo name="TableStyleLight8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12C2E214-F7F4-45FE-88A3-E21321CEF630}" name="Tabla1103453454455456479192122" displayName="Tabla1103453454455456479192122" ref="B76:H91" totalsRowCount="1" headerRowDxfId="5790" dataDxfId="5788" totalsRowDxfId="5786" headerRowBorderDxfId="5789" tableBorderDxfId="5787" totalsRowBorderDxfId="5785">
  <autoFilter ref="B76:H90" xr:uid="{9DF8E15F-60D2-40C6-84A2-A93EF829B6D8}"/>
  <sortState xmlns:xlrd2="http://schemas.microsoft.com/office/spreadsheetml/2017/richdata2" ref="B77:H88">
    <sortCondition descending="1" ref="H78"/>
  </sortState>
  <tableColumns count="7">
    <tableColumn id="2" xr3:uid="{AA332C1C-F7A9-405B-8103-5DA902E5A6E1}" name="Ingrediente" dataDxfId="5784" totalsRowDxfId="5783"/>
    <tableColumn id="3" xr3:uid="{372A2E03-F2C2-4448-8D86-6BDE3819EB4F}" name="Und" dataDxfId="5782" totalsRowDxfId="5781"/>
    <tableColumn id="4" xr3:uid="{B997F3D7-E098-4085-81C2-4E82000F3F39}" name="Unidades Netas" dataDxfId="5780" totalsRowDxfId="5779"/>
    <tableColumn id="1" xr3:uid="{B04CA11E-02DD-4721-A7F2-4621C39EF1BD}" name="% Merma" dataDxfId="5778" totalsRowDxfId="5777" dataCellStyle="Porcentaje"/>
    <tableColumn id="7" xr3:uid="{0F9FBD82-63B7-422E-BC63-957DA350DCDF}" name="Unidades" dataDxfId="5776" totalsRowDxfId="5775"/>
    <tableColumn id="5" xr3:uid="{FDB14A45-FFEE-4B3E-9097-F6A6CB01E46C}" name="Costo" dataDxfId="5774" totalsRowDxfId="5773" dataCellStyle="Moneda">
      <calculatedColumnFormula>+VLOOKUP(Tabla1103453454455456479192122[[#This Row],[Ingrediente]],Tabla34[#All],3,0)</calculatedColumnFormula>
    </tableColumn>
    <tableColumn id="6" xr3:uid="{C808A5C2-4892-4C5F-995B-D1400312117D}" name="Total costo" totalsRowFunction="sum" dataDxfId="5772" totalsRowDxfId="5771" dataCellStyle="Moneda">
      <calculatedColumnFormula>+Tabla1103453454455456479192122[[#This Row],[Costo]]*Tabla1103453454455456479192122[[#This Row],[Unidades]]</calculatedColumnFormula>
    </tableColumn>
  </tableColumns>
  <tableStyleInfo name="TableStyleLight8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57F19336-6663-4FE0-A39F-324CEAF2FED8}" name="Tabla1103453454455456479192123" displayName="Tabla1103453454455456479192123" ref="B94:H110" totalsRowCount="1" headerRowDxfId="5770" dataDxfId="5768" totalsRowDxfId="5766" headerRowBorderDxfId="5769" tableBorderDxfId="5767" totalsRowBorderDxfId="5765">
  <autoFilter ref="B94:H109" xr:uid="{C5F65905-BA1E-4447-A8A2-ECEA1112DA97}"/>
  <sortState xmlns:xlrd2="http://schemas.microsoft.com/office/spreadsheetml/2017/richdata2" ref="B95:H106">
    <sortCondition descending="1" ref="H97:H106"/>
  </sortState>
  <tableColumns count="7">
    <tableColumn id="2" xr3:uid="{85CD6822-3011-4DB7-9A51-65BA80BC9DDC}" name="Ingrediente" dataDxfId="5764" totalsRowDxfId="5763"/>
    <tableColumn id="3" xr3:uid="{AED24BCB-B161-4FD2-871F-2B35898AFCA8}" name="Und" dataDxfId="5762" totalsRowDxfId="5761"/>
    <tableColumn id="4" xr3:uid="{68EFC03C-9385-47D6-9F9D-76302355177C}" name="Unidades Netas" dataDxfId="5760" totalsRowDxfId="5759"/>
    <tableColumn id="1" xr3:uid="{7D401005-B29C-40C4-85ED-5056C94B2E99}" name="% Merma" dataDxfId="5758" totalsRowDxfId="5757" dataCellStyle="Porcentaje"/>
    <tableColumn id="7" xr3:uid="{922A697C-79C1-4FC1-BB20-370567464772}" name="Unidades" dataDxfId="5756" totalsRowDxfId="5755"/>
    <tableColumn id="5" xr3:uid="{4B6386A5-3FEB-4CC7-929A-082067989C2F}" name="Costo" dataDxfId="5754" totalsRowDxfId="5753" dataCellStyle="Moneda">
      <calculatedColumnFormula>+VLOOKUP(Tabla1103453454455456479192123[[#This Row],[Ingrediente]],Tabla34[#All],3,0)</calculatedColumnFormula>
    </tableColumn>
    <tableColumn id="6" xr3:uid="{C939FE16-E99A-4860-B8E8-5F856C586F0D}" name="Total costo" totalsRowFunction="sum" dataDxfId="5752" totalsRowDxfId="5751" dataCellStyle="Moneda">
      <calculatedColumnFormula>+Tabla1103453454455456479192123[[#This Row],[Costo]]*Tabla1103453454455456479192123[[#This Row],[Unidades]]</calculatedColumnFormula>
    </tableColumn>
  </tableColumns>
  <tableStyleInfo name="TableStyleLight8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F628E06A-047A-43FF-A1D2-CA2971E8009F}" name="Tabla1103453454455456479192124" displayName="Tabla1103453454455456479192124" ref="B113:H131" totalsRowCount="1" headerRowDxfId="5750" dataDxfId="5748" totalsRowDxfId="5746" headerRowBorderDxfId="5749" tableBorderDxfId="5747" totalsRowBorderDxfId="5745">
  <autoFilter ref="B113:H130" xr:uid="{5B46244F-46BF-4CA2-B658-F2ED59305436}"/>
  <sortState xmlns:xlrd2="http://schemas.microsoft.com/office/spreadsheetml/2017/richdata2" ref="B114:H127">
    <sortCondition descending="1" ref="H118"/>
  </sortState>
  <tableColumns count="7">
    <tableColumn id="2" xr3:uid="{2FA1A0A4-0B4F-4990-9C33-2026460D5CDD}" name="Ingrediente" dataDxfId="5744" totalsRowDxfId="5743"/>
    <tableColumn id="3" xr3:uid="{9698659F-E852-40CE-9E2F-566C235546EB}" name="Und" dataDxfId="5742" totalsRowDxfId="5741"/>
    <tableColumn id="4" xr3:uid="{0F9CA714-A355-4DC6-8F00-FE25A5F2B734}" name="Unidades Netas" dataDxfId="5740" totalsRowDxfId="5739"/>
    <tableColumn id="1" xr3:uid="{93ADACC9-30AD-465D-8795-60738AD57F03}" name="% Merma" dataDxfId="5738" totalsRowDxfId="5737" dataCellStyle="Porcentaje"/>
    <tableColumn id="7" xr3:uid="{F4F5A8E6-C69D-49F4-B41C-A3E7FD89F24E}" name="Unidades" dataDxfId="5736" totalsRowDxfId="5735"/>
    <tableColumn id="5" xr3:uid="{67D15671-CAE3-43C9-A9C9-4C542DED4787}" name="Costo" dataDxfId="5734" totalsRowDxfId="5733" dataCellStyle="Moneda">
      <calculatedColumnFormula>+VLOOKUP(Tabla1103453454455456479192124[[#This Row],[Ingrediente]],Tabla34[#All],3,0)</calculatedColumnFormula>
    </tableColumn>
    <tableColumn id="6" xr3:uid="{D76790C4-FE37-4B7C-81B4-8A633275F113}" name="Total costo" totalsRowFunction="sum" dataDxfId="5732" totalsRowDxfId="5731" dataCellStyle="Moneda">
      <calculatedColumnFormula>+Tabla1103453454455456479192124[[#This Row],[Costo]]*Tabla1103453454455456479192124[[#This Row],[Unidades]]</calculatedColumnFormula>
    </tableColumn>
  </tableColumns>
  <tableStyleInfo name="TableStyleLight8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B81B9DAD-95A4-478B-97B8-5D2154E6E9E0}" name="Tabla110345345445545647919212526" displayName="Tabla110345345445545647919212526" ref="B136:H150" totalsRowCount="1" headerRowDxfId="5730" dataDxfId="5728" totalsRowDxfId="5726" headerRowBorderDxfId="5729" tableBorderDxfId="5727" totalsRowBorderDxfId="5725">
  <autoFilter ref="B136:H149" xr:uid="{7AC42787-2281-4259-9199-147B5AECA76F}"/>
  <sortState xmlns:xlrd2="http://schemas.microsoft.com/office/spreadsheetml/2017/richdata2" ref="B137:H147">
    <sortCondition descending="1" ref="H137:H147"/>
  </sortState>
  <tableColumns count="7">
    <tableColumn id="2" xr3:uid="{AC5D3A47-D64C-4F0B-A149-2FEFC9641FD9}" name="Ingrediente" dataDxfId="5724" totalsRowDxfId="5723"/>
    <tableColumn id="3" xr3:uid="{68EDF17C-6130-4462-83D9-D1FCAC03A7E2}" name="Und" dataDxfId="5722" totalsRowDxfId="5721"/>
    <tableColumn id="4" xr3:uid="{34FAB837-BB0A-4558-8BDC-D77AB8603707}" name="Unidades Netas" dataDxfId="5720" totalsRowDxfId="5719"/>
    <tableColumn id="5" xr3:uid="{90412465-DA60-4C01-B715-87912FE4AC51}" name="% Merma" dataDxfId="5718" totalsRowDxfId="5717" dataCellStyle="Moneda"/>
    <tableColumn id="7" xr3:uid="{72D84952-8B53-4310-94E8-5F38EAAF231A}" name="Unidades" dataDxfId="5716" totalsRowDxfId="5715" dataCellStyle="Moneda"/>
    <tableColumn id="1" xr3:uid="{DEE0DE71-A290-4EC5-BED2-C9BBA58E24B2}" name="Costo" dataDxfId="5714" totalsRowDxfId="5713" dataCellStyle="Moneda">
      <calculatedColumnFormula>+VLOOKUP(Tabla110345345445545647919212526[[#This Row],[Ingrediente]],Tabla34[#All],3,0)</calculatedColumnFormula>
    </tableColumn>
    <tableColumn id="6" xr3:uid="{11443E5B-F4F9-4A10-859C-03344230681D}" name="Total costo" totalsRowFunction="sum" dataDxfId="5712" totalsRowDxfId="5711" dataCellStyle="Moneda">
      <calculatedColumnFormula>+Tabla110345345445545647919212526[[#This Row],[Costo]]*Tabla110345345445545647919212526[[#This Row],[Unidades]]</calculatedColumnFormula>
    </tableColumn>
  </tableColumns>
  <tableStyleInfo name="TableStyleLight8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4A36907B-61CE-43DF-9D7F-C2E09A4825B1}" name="Tabla110345345445545647919212527" displayName="Tabla110345345445545647919212527" ref="B153:H168" totalsRowCount="1" headerRowDxfId="5710" dataDxfId="5708" totalsRowDxfId="5706" headerRowBorderDxfId="5709" tableBorderDxfId="5707" totalsRowBorderDxfId="5705">
  <autoFilter ref="B153:H167" xr:uid="{ECB1B698-FC04-4F91-8F92-3AE9C8B0BF61}"/>
  <sortState xmlns:xlrd2="http://schemas.microsoft.com/office/spreadsheetml/2017/richdata2" ref="B154:H166">
    <sortCondition descending="1" ref="H155"/>
  </sortState>
  <tableColumns count="7">
    <tableColumn id="2" xr3:uid="{35423735-1246-49A1-A491-F077EFD9E13B}" name="Ingrediente" dataDxfId="5704" totalsRowDxfId="5703"/>
    <tableColumn id="3" xr3:uid="{41B71AD7-D6BC-4BD3-8DF6-27F6E0DC2513}" name="Und" dataDxfId="5702" totalsRowDxfId="5701"/>
    <tableColumn id="4" xr3:uid="{A7CA36DA-0121-4A6F-A57A-2462FD2DBD85}" name="Unidades Netas" dataDxfId="5700" totalsRowDxfId="5699"/>
    <tableColumn id="7" xr3:uid="{03C872FA-410E-4388-B6CE-E6446492C1CD}" name="% Merma" dataDxfId="5698" totalsRowDxfId="5697"/>
    <tableColumn id="1" xr3:uid="{9B5F1968-3525-4200-942A-CE13AB2234D4}" name="Unidades" dataDxfId="5696" totalsRowDxfId="5695"/>
    <tableColumn id="5" xr3:uid="{56F16372-D822-4DBF-8824-DF95D735FA44}" name="Costo" dataDxfId="5694" totalsRowDxfId="5693" dataCellStyle="Moneda">
      <calculatedColumnFormula>+VLOOKUP(Tabla110345345445545647919212527[[#This Row],[Ingrediente]],Tabla34[#All],3,0)</calculatedColumnFormula>
    </tableColumn>
    <tableColumn id="6" xr3:uid="{6211940F-8515-4C0F-93AC-DF7BA15226C6}" name="Total costo" totalsRowFunction="sum" dataDxfId="5692" totalsRowDxfId="5691" dataCellStyle="Moneda">
      <calculatedColumnFormula>+Tabla110345345445545647919212527[[#This Row],[Costo]]*Tabla110345345445545647919212527[[#This Row],[Unidades]]</calculatedColumnFormula>
    </tableColumn>
  </tableColumns>
  <tableStyleInfo name="TableStyleLight8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18C32F16-7E95-4596-8DDB-DB8E0CB503AA}" name="Tabla110345345445545647919212528" displayName="Tabla110345345445545647919212528" ref="B171:H186" totalsRowCount="1" headerRowDxfId="5690" dataDxfId="5688" totalsRowDxfId="5686" headerRowBorderDxfId="5689" tableBorderDxfId="5687" totalsRowBorderDxfId="5685">
  <autoFilter ref="B171:H185" xr:uid="{FE94C13B-C7C8-40E9-8DDF-E2F218CA87BE}"/>
  <sortState xmlns:xlrd2="http://schemas.microsoft.com/office/spreadsheetml/2017/richdata2" ref="B172:H184">
    <sortCondition descending="1" ref="H177"/>
  </sortState>
  <tableColumns count="7">
    <tableColumn id="2" xr3:uid="{DE99C88C-A7C4-4BEF-AC7E-34B2BDD34948}" name="Ingrediente" dataDxfId="5684" totalsRowDxfId="5683"/>
    <tableColumn id="3" xr3:uid="{9AC57FDA-D403-4049-ADE3-EE2EFEC75FA5}" name="Und" dataDxfId="5682" totalsRowDxfId="5681"/>
    <tableColumn id="4" xr3:uid="{8226EC13-F614-4CF5-92AD-B401EA34C5D6}" name="Unidades Netas" dataDxfId="5680" totalsRowDxfId="5679"/>
    <tableColumn id="7" xr3:uid="{A9D364C7-44C7-4A48-851C-24AA4AB6E88D}" name="% Merma" dataDxfId="5678" totalsRowDxfId="5677"/>
    <tableColumn id="1" xr3:uid="{EA039075-C876-4AB2-82BA-BFFB3AABBC49}" name="Unidades" dataDxfId="5676" totalsRowDxfId="5675"/>
    <tableColumn id="5" xr3:uid="{F5008D7F-5F77-44E9-B2B9-D0D51F8937DB}" name="Costo" dataDxfId="5674" totalsRowDxfId="5673" dataCellStyle="Moneda">
      <calculatedColumnFormula>+VLOOKUP(Tabla110345345445545647919212528[[#This Row],[Ingrediente]],Tabla34[#All],3,0)</calculatedColumnFormula>
    </tableColumn>
    <tableColumn id="6" xr3:uid="{1E47C0AC-8EDB-46F6-935D-7325550CBD1B}" name="Total costo" totalsRowFunction="sum" dataDxfId="5672" totalsRowDxfId="5671" dataCellStyle="Moneda">
      <calculatedColumnFormula>+Tabla110345345445545647919212528[[#This Row],[Costo]]*Tabla110345345445545647919212528[[#This Row],[Unidades]]</calculatedColumnFormula>
    </tableColumn>
  </tableColumns>
  <tableStyleInfo name="TableStyleLight8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3871EE9A-18B4-4412-B3A8-2A0307F3F6FE}" name="Tabla1103453454455456479108134141170189" displayName="Tabla1103453454455456479108134141170189" ref="B189:H200" totalsRowCount="1" headerRowDxfId="5670" dataDxfId="5668" totalsRowDxfId="5666" headerRowBorderDxfId="5669" tableBorderDxfId="5667" totalsRowBorderDxfId="5665">
  <autoFilter ref="B189:H199" xr:uid="{55130793-821B-429E-95B5-AF47E7D3E463}"/>
  <sortState xmlns:xlrd2="http://schemas.microsoft.com/office/spreadsheetml/2017/richdata2" ref="B190:H198">
    <sortCondition descending="1" ref="H191"/>
  </sortState>
  <tableColumns count="7">
    <tableColumn id="2" xr3:uid="{4350CA19-287F-4074-B325-BCBAE5A540FD}" name="Ingrediente" dataDxfId="5664" totalsRowDxfId="5663"/>
    <tableColumn id="3" xr3:uid="{E3AB7ABA-2C3E-456F-8D4D-7313B6C0F7BD}" name="Und" dataDxfId="5662" totalsRowDxfId="5661"/>
    <tableColumn id="4" xr3:uid="{5FC9D788-E587-46D7-B443-49CA04BDA135}" name="Cant." dataDxfId="5660" totalsRowDxfId="5659"/>
    <tableColumn id="7" xr3:uid="{B535709B-D818-4D94-A7D6-B9F549B31C1E}" name="Columna2" dataDxfId="5658" totalsRowDxfId="5657"/>
    <tableColumn id="1" xr3:uid="{E459E1E4-06D7-4B00-96CD-9AF1A23D3F0E}" name="Columna1" dataDxfId="5656" totalsRowDxfId="5655"/>
    <tableColumn id="5" xr3:uid="{D2CC2EAF-7F78-4E70-A51F-20CCE05A0885}" name="Costo" dataDxfId="5654" totalsRowDxfId="5653" dataCellStyle="Moneda">
      <calculatedColumnFormula>+VLOOKUP(Tabla1103453454455456479108134141170189[[#This Row],[Ingrediente]],Tabla34[#All],3,0)</calculatedColumnFormula>
    </tableColumn>
    <tableColumn id="6" xr3:uid="{6E8DC2D2-F19B-4BE2-A02B-D448A52AAB0D}" name="Total costo" totalsRowFunction="sum" dataDxfId="5652" totalsRowDxfId="5651" dataCellStyle="Moneda">
      <calculatedColumnFormula>+Tabla1103453454455456479108134141170189[[#This Row],[Costo]]*Tabla1103453454455456479108134141170189[[#This Row],[Columna1]]</calculatedColumnFormula>
    </tableColumn>
  </tableColumns>
  <tableStyleInfo name="TableStyleLight8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6" xr:uid="{0AE47511-AC7E-4796-A7C7-3C5276D340DC}" name="Tabla1103453454455456479108132139163197" displayName="Tabla1103453454455456479108132139163197" ref="B204:H214" totalsRowCount="1" headerRowDxfId="5650" dataDxfId="5648" totalsRowDxfId="5646" headerRowBorderDxfId="5649" tableBorderDxfId="5647" totalsRowBorderDxfId="5645">
  <autoFilter ref="B204:H213" xr:uid="{E725830E-0AB4-431E-A64E-BB48E2869DDB}"/>
  <sortState xmlns:xlrd2="http://schemas.microsoft.com/office/spreadsheetml/2017/richdata2" ref="B205:H212">
    <sortCondition descending="1" ref="H205:H212"/>
  </sortState>
  <tableColumns count="7">
    <tableColumn id="2" xr3:uid="{CFCE2EF1-A43E-4991-8826-4558FF587233}" name="Ingrediente" dataDxfId="5644" totalsRowDxfId="5643"/>
    <tableColumn id="3" xr3:uid="{7485A3FA-D008-4FF0-B98C-7959EEEDB40A}" name="Und" dataDxfId="5642" totalsRowDxfId="5641"/>
    <tableColumn id="4" xr3:uid="{4857DFE1-71D4-4C65-B31C-3F12A8C19CAC}" name="Unidades Netas" dataDxfId="5640" totalsRowDxfId="5639"/>
    <tableColumn id="7" xr3:uid="{0287E0E9-D4E7-4D8E-806D-9DA27C9500D1}" name="% Merma" dataDxfId="5638" totalsRowDxfId="5637"/>
    <tableColumn id="1" xr3:uid="{0DC01EA6-06A1-4D7D-BEAB-103BC57FA621}" name="Unidades" dataDxfId="5636" totalsRowDxfId="5635"/>
    <tableColumn id="5" xr3:uid="{74CFA29F-139A-4538-AB94-90FCE814505C}" name="Costo" dataDxfId="5634" totalsRowDxfId="5633" dataCellStyle="Moneda">
      <calculatedColumnFormula>+VLOOKUP(Tabla1103453454455456479108132139163197[[#This Row],[Ingrediente]],Tabla34[#All],3,0)</calculatedColumnFormula>
    </tableColumn>
    <tableColumn id="6" xr3:uid="{62CD5DC4-B28C-486E-AD4B-B76D19C33610}" name="Total costo" totalsRowFunction="sum" dataDxfId="5632" totalsRowDxfId="5631" dataCellStyle="Moneda">
      <calculatedColumnFormula>+Tabla1103453454455456479108132139163197[[#This Row],[Costo]]*Tabla1103453454455456479108132139163197[[#This Row],[Unidades]]</calculatedColumnFormula>
    </tableColumn>
  </tableColumns>
  <tableStyleInfo name="TableStyleLight8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536AB667-0D58-443B-B4B4-E96D972370A8}" name="Tabla110345345445545647910813511217229914621425740" displayName="Tabla110345345445545647910813511217229914621425740" ref="B217:H239" totalsRowCount="1" headerRowDxfId="5630" dataDxfId="5628" totalsRowDxfId="5626" headerRowBorderDxfId="5629" tableBorderDxfId="5627" totalsRowBorderDxfId="5625">
  <autoFilter ref="B217:H238" xr:uid="{536AB667-0D58-443B-B4B4-E96D972370A8}"/>
  <sortState xmlns:xlrd2="http://schemas.microsoft.com/office/spreadsheetml/2017/richdata2" ref="B218:H238">
    <sortCondition descending="1" ref="H219:H238"/>
  </sortState>
  <tableColumns count="7">
    <tableColumn id="2" xr3:uid="{F27B5AD7-F517-47F0-9163-A3AB1D4C2D47}" name="Ingrediente" dataDxfId="5624" totalsRowDxfId="5623"/>
    <tableColumn id="3" xr3:uid="{DAECF823-010C-45FC-B704-61532FE5EB94}" name="Und" dataDxfId="5622" totalsRowDxfId="5621"/>
    <tableColumn id="4" xr3:uid="{DAC83C8E-232E-4391-A791-35102ADDB116}" name="Cant." dataDxfId="5620" totalsRowDxfId="5619"/>
    <tableColumn id="1" xr3:uid="{3D82CD91-60EB-4AF9-A8D4-3165FE2F8F67}" name="Columna1" dataDxfId="5618" totalsRowDxfId="5617"/>
    <tableColumn id="7" xr3:uid="{8E1A60D7-93FC-4690-A311-FAFA3F37E053}" name="Columna2" dataDxfId="5616" totalsRowDxfId="5615"/>
    <tableColumn id="5" xr3:uid="{51537D21-081F-4E33-A21A-96E638A37D2F}" name="Costo" dataDxfId="5614" totalsRowDxfId="5613" dataCellStyle="Moneda">
      <calculatedColumnFormula>+VLOOKUP(Tabla110345345445545647910813511217229914621425740[[#This Row],[Ingrediente]],Tabla34[#All],3,0)</calculatedColumnFormula>
    </tableColumn>
    <tableColumn id="6" xr3:uid="{C2304D93-8355-4A94-B4C6-F7B0278F3ADD}" name="Total costo" totalsRowFunction="sum" dataDxfId="5612" totalsRowDxfId="5611" dataCellStyle="Moneda">
      <calculatedColumnFormula>+Tabla110345345445545647910813511217229914621425740[[#This Row],[Costo]]*Tabla110345345445545647910813511217229914621425740[[#This Row],[Columna2]]</calculatedColumnFormula>
    </tableColumn>
  </tableColumns>
  <tableStyleInfo name="TableStyleLight8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5" xr:uid="{915461B2-809D-4639-8638-4631F29DC04C}" name="Tabla110345345445545647910813511217229914621425740196" displayName="Tabla110345345445545647910813511217229914621425740196" ref="B243:H261" totalsRowCount="1" headerRowDxfId="5610" dataDxfId="5608" totalsRowDxfId="5606" headerRowBorderDxfId="5609" tableBorderDxfId="5607" totalsRowBorderDxfId="5605">
  <autoFilter ref="B243:H260" xr:uid="{915461B2-809D-4639-8638-4631F29DC04C}"/>
  <sortState xmlns:xlrd2="http://schemas.microsoft.com/office/spreadsheetml/2017/richdata2" ref="B244:H258">
    <sortCondition descending="1" ref="H219:H238"/>
  </sortState>
  <tableColumns count="7">
    <tableColumn id="2" xr3:uid="{89370CFD-D53B-4697-A54C-0FCB88B8E7E7}" name="Ingrediente" dataDxfId="5604" totalsRowDxfId="5603"/>
    <tableColumn id="3" xr3:uid="{4BA8B824-7163-443B-9B27-62A166B6B306}" name="Und" dataDxfId="5602" totalsRowDxfId="5601"/>
    <tableColumn id="4" xr3:uid="{9C83121E-DE78-49A1-BB24-E90DC4570A85}" name="Cant." dataDxfId="5600" totalsRowDxfId="5599"/>
    <tableColumn id="1" xr3:uid="{2BFA31E5-995A-4AC6-BCBA-A70735F6CAAE}" name="Columna1" dataDxfId="5598" totalsRowDxfId="5597"/>
    <tableColumn id="7" xr3:uid="{7D20AB30-F89B-4B4B-8B0E-47E8739C8C78}" name="Columna2" dataDxfId="5596" totalsRowDxfId="5595"/>
    <tableColumn id="5" xr3:uid="{CAD23207-94D8-4E23-AEE9-1C02B5C7861A}" name="Costo" dataDxfId="5594" totalsRowDxfId="5593" dataCellStyle="Moneda">
      <calculatedColumnFormula>+VLOOKUP(Tabla110345345445545647910813511217229914621425740196[[#This Row],[Ingrediente]],Tabla34[#All],3,0)</calculatedColumnFormula>
    </tableColumn>
    <tableColumn id="6" xr3:uid="{74DBC1EF-7E7A-4DAE-B071-27A25642DC48}" name="Total costo" totalsRowFunction="sum" dataDxfId="5592" totalsRowDxfId="5591" dataCellStyle="Moneda">
      <calculatedColumnFormula>+Tabla110345345445545647910813511217229914621425740196[[#This Row],[Costo]]*Tabla110345345445545647910813511217229914621425740196[[#This Row],[Columna2]]</calculatedColumnFormula>
    </tableColumn>
  </tableColumns>
  <tableStyleInfo name="TableStyleLight8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8" xr:uid="{C41D3571-32D1-4566-AD28-4B20D7F13990}" name="Tabla110345345445545647910813511217229914621425740196199" displayName="Tabla110345345445545647910813511217229914621425740196199" ref="B265:H281" totalsRowCount="1" headerRowDxfId="5590" dataDxfId="5588" totalsRowDxfId="5586" headerRowBorderDxfId="5589" tableBorderDxfId="5587" totalsRowBorderDxfId="5585">
  <autoFilter ref="B265:H280" xr:uid="{C41D3571-32D1-4566-AD28-4B20D7F13990}"/>
  <sortState xmlns:xlrd2="http://schemas.microsoft.com/office/spreadsheetml/2017/richdata2" ref="B266:H280">
    <sortCondition descending="1" ref="H219:H238"/>
  </sortState>
  <tableColumns count="7">
    <tableColumn id="2" xr3:uid="{A49BBAAD-B01A-4A3B-A6FB-271B2B3B438D}" name="Ingrediente" dataDxfId="5584" totalsRowDxfId="5583"/>
    <tableColumn id="3" xr3:uid="{F122E17C-1ADC-4E6B-A875-795B21A2886E}" name="Und" dataDxfId="5582" totalsRowDxfId="5581"/>
    <tableColumn id="4" xr3:uid="{87977470-4305-486E-BFAF-57A6D9D9480A}" name="Cant." dataDxfId="5580" totalsRowDxfId="5579"/>
    <tableColumn id="1" xr3:uid="{D45F9984-A03D-4A2C-9B92-83F126618BC9}" name="Columna1" dataDxfId="5578" totalsRowDxfId="5577"/>
    <tableColumn id="7" xr3:uid="{6E16536C-0B54-4C17-A0F4-52BEC0CDEFA2}" name="Columna2" dataDxfId="5576" totalsRowDxfId="5575"/>
    <tableColumn id="5" xr3:uid="{3BA2B997-391C-4228-BEF6-15D9B57A59EF}" name="Costo" dataDxfId="5574" totalsRowDxfId="5573" dataCellStyle="Moneda">
      <calculatedColumnFormula>+VLOOKUP(Tabla110345345445545647910813511217229914621425740196199[[#This Row],[Ingrediente]],Tabla34[#All],3,0)</calculatedColumnFormula>
    </tableColumn>
    <tableColumn id="6" xr3:uid="{846C7BAF-6013-4B87-B670-B0EEE7A0C68F}" name="Total costo" totalsRowFunction="sum" dataDxfId="5572" totalsRowDxfId="5571" dataCellStyle="Moneda">
      <calculatedColumnFormula>+Tabla110345345445545647910813511217229914621425740196199[[#This Row],[Costo]]*Tabla110345345445545647910813511217229914621425740196199[[#This Row],[Columna2]]</calculatedColumnFormula>
    </tableColumn>
  </tableColumns>
  <tableStyleInfo name="TableStyleLight8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28896526-C701-4DF2-879D-0FD8B1F67352}" name="Tabla1103453454455456479108135112" displayName="Tabla1103453454455456479108135112" ref="B7:H14" totalsRowCount="1" headerRowDxfId="5570" dataDxfId="5568" totalsRowDxfId="5566" headerRowBorderDxfId="5569" tableBorderDxfId="5567" totalsRowBorderDxfId="5565">
  <autoFilter ref="B7:H13" xr:uid="{78BE3A0D-ECA7-47BB-B29F-2C3C5A2344BE}"/>
  <sortState xmlns:xlrd2="http://schemas.microsoft.com/office/spreadsheetml/2017/richdata2" ref="B8:H13">
    <sortCondition descending="1" ref="H9"/>
  </sortState>
  <tableColumns count="7">
    <tableColumn id="2" xr3:uid="{C8D0671B-2995-487F-8B76-CA3F45E1FDE1}" name="Ingrediente" dataDxfId="5564" totalsRowDxfId="5563"/>
    <tableColumn id="3" xr3:uid="{B3271C4E-61D8-434B-A566-F9DCA4954EA0}" name="Und" dataDxfId="5562" totalsRowDxfId="5561"/>
    <tableColumn id="4" xr3:uid="{926A8CEA-7AAB-4D98-B7BD-05894396E4EC}" name="Cant." dataDxfId="5560" totalsRowDxfId="5559"/>
    <tableColumn id="1" xr3:uid="{C0A2430E-2361-4032-AD4C-7EDDACA796BF}" name="Columna1" dataDxfId="5558" totalsRowDxfId="5557"/>
    <tableColumn id="7" xr3:uid="{56286673-74BB-477E-AAD8-664768841266}" name="Columna2" dataDxfId="5556" totalsRowDxfId="5555"/>
    <tableColumn id="5" xr3:uid="{F5D79BFC-8A20-4442-A51E-E5C8584C1E1D}" name="Costo" dataDxfId="5554" totalsRowDxfId="5553" dataCellStyle="Moneda">
      <calculatedColumnFormula>+VLOOKUP(Tabla1103453454455456479108135112[[#This Row],[Ingrediente]],Tabla34[#All],3,0)</calculatedColumnFormula>
    </tableColumn>
    <tableColumn id="6" xr3:uid="{1DFE73B7-D912-4B6F-8570-9E87562A64C9}" name="Total costo" totalsRowFunction="sum" dataDxfId="5552" totalsRowDxfId="5551" dataCellStyle="Moneda">
      <calculatedColumnFormula>+Tabla1103453454455456479108135112[[#This Row],[Costo]]*Tabla1103453454455456479108135112[[#This Row],[Columna2]]</calculatedColumnFormula>
    </tableColumn>
  </tableColumns>
  <tableStyleInfo name="TableStyleLight8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3FF10AE2-F6F1-4E9E-B66F-A092A023EB69}" name="Tabla1103453454455456479108129136156" displayName="Tabla1103453454455456479108129136156" ref="B18:H25" totalsRowCount="1" headerRowDxfId="5550" dataDxfId="5548" totalsRowDxfId="5546" headerRowBorderDxfId="5549" tableBorderDxfId="5547" totalsRowBorderDxfId="5545">
  <autoFilter ref="B18:H24" xr:uid="{087B01A7-35AD-4F23-9E77-4B3FC96A2C1A}"/>
  <sortState xmlns:xlrd2="http://schemas.microsoft.com/office/spreadsheetml/2017/richdata2" ref="B19:H23">
    <sortCondition descending="1" ref="H19"/>
  </sortState>
  <tableColumns count="7">
    <tableColumn id="2" xr3:uid="{763B75D7-1E2D-4EBB-8CF3-E16ED432315D}" name="Ingrediente" dataDxfId="5544" totalsRowDxfId="5543"/>
    <tableColumn id="3" xr3:uid="{660CA4C6-66E0-4C25-8C49-1C8C83BAD35C}" name="Und" dataDxfId="5542" totalsRowDxfId="5541"/>
    <tableColumn id="1" xr3:uid="{6809FEDE-2353-46E8-A611-4034E3334A93}" name="Columna1" dataDxfId="5540" totalsRowDxfId="5539"/>
    <tableColumn id="7" xr3:uid="{8AC2A070-8B8E-4234-94EC-9477BEC7ACBC}" name="Columna2" dataDxfId="5538" totalsRowDxfId="5537"/>
    <tableColumn id="4" xr3:uid="{95B844A6-7C4C-404E-8503-C75D93760EB5}" name="Cant." dataDxfId="5536" totalsRowDxfId="5535"/>
    <tableColumn id="5" xr3:uid="{361CCC8E-9972-4E8F-A33D-F33618E002C7}" name="Costo" dataDxfId="5534" totalsRowDxfId="5533" dataCellStyle="Moneda">
      <calculatedColumnFormula>+VLOOKUP(Tabla1103453454455456479108129136156[[#This Row],[Ingrediente]],Tabla34[#All],3,0)</calculatedColumnFormula>
    </tableColumn>
    <tableColumn id="6" xr3:uid="{95169636-8130-4D3D-8E78-B63B04F0F72F}" name="Total costo" totalsRowFunction="sum" dataDxfId="5532" totalsRowDxfId="5531" dataCellStyle="Moneda">
      <calculatedColumnFormula>+Tabla1103453454455456479108129136156[[#This Row],[Costo]]*Tabla1103453454455456479108129136156[[#This Row],[Cant.]]</calculatedColumnFormula>
    </tableColumn>
  </tableColumns>
  <tableStyleInfo name="TableStyleLight8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0DE7FCF8-1D7C-4D0E-88D2-4415CB155A0D}" name="Tabla1103453454455456479108130137157" displayName="Tabla1103453454455456479108130137157" ref="B43:H50" totalsRowCount="1" headerRowDxfId="5530" dataDxfId="5528" totalsRowDxfId="5526" headerRowBorderDxfId="5529" tableBorderDxfId="5527" totalsRowBorderDxfId="5525">
  <autoFilter ref="B43:H49" xr:uid="{13FBCEAD-C7B8-4FC5-957B-A5E5AEE709E4}"/>
  <sortState xmlns:xlrd2="http://schemas.microsoft.com/office/spreadsheetml/2017/richdata2" ref="B44:H49">
    <sortCondition descending="1" ref="H8"/>
  </sortState>
  <tableColumns count="7">
    <tableColumn id="2" xr3:uid="{EAA320F2-6372-4DCF-ADFC-B611CD3444A1}" name="Ingrediente" dataDxfId="5524" totalsRowDxfId="5523"/>
    <tableColumn id="3" xr3:uid="{D19ADC67-6A1C-4B5C-A44D-FF09A8928105}" name="Und" dataDxfId="5522" totalsRowDxfId="5521"/>
    <tableColumn id="4" xr3:uid="{EF42FF12-F4DD-4495-8B95-2CEB34FC9600}" name="Cant." dataDxfId="5520" totalsRowDxfId="5519"/>
    <tableColumn id="1" xr3:uid="{4B29D7D1-F37A-46EB-8C83-4ED636A2C0A2}" name="Columna1" dataDxfId="5518" totalsRowDxfId="5517"/>
    <tableColumn id="7" xr3:uid="{7AF0FEC1-7F94-4981-960D-9ECDD1A16DA7}" name="Columna2" dataDxfId="5516" totalsRowDxfId="5515"/>
    <tableColumn id="5" xr3:uid="{132E869E-59CE-4ABF-B927-48734E6B7562}" name="Costo" dataDxfId="5514" totalsRowDxfId="5513" dataCellStyle="Moneda">
      <calculatedColumnFormula>+VLOOKUP(Tabla1103453454455456479108130137157[[#This Row],[Ingrediente]],Tabla34[#All],3,0)</calculatedColumnFormula>
    </tableColumn>
    <tableColumn id="6" xr3:uid="{E1D61976-E635-49C1-B7A1-AC12550FA8D9}" name="Total costo" totalsRowFunction="sum" dataDxfId="5512" totalsRowDxfId="5511" dataCellStyle="Moneda">
      <calculatedColumnFormula>+Tabla1103453454455456479108130137157[[#This Row],[Costo]]*Tabla1103453454455456479108130137157[[#This Row],[Columna2]]</calculatedColumnFormula>
    </tableColumn>
  </tableColumns>
  <tableStyleInfo name="TableStyleLight8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5B4751EB-D54C-47D8-BC42-AF1982E20B9C}" name="Tabla1103453454455456479108131138166" displayName="Tabla1103453454455456479108131138166" ref="B55:H61" totalsRowCount="1" headerRowDxfId="5510" dataDxfId="5508" totalsRowDxfId="5506" headerRowBorderDxfId="5509" tableBorderDxfId="5507" totalsRowBorderDxfId="5505">
  <autoFilter ref="B55:H60" xr:uid="{A8736C73-67AA-48C5-B2F7-655C1CC0BBBD}"/>
  <sortState xmlns:xlrd2="http://schemas.microsoft.com/office/spreadsheetml/2017/richdata2" ref="B56:H60">
    <sortCondition descending="1" ref="H8"/>
  </sortState>
  <tableColumns count="7">
    <tableColumn id="2" xr3:uid="{C5B59AA9-3ECA-4E7F-B5F7-03D8D8BFFD51}" name="Ingrediente" dataDxfId="5504" totalsRowDxfId="5503"/>
    <tableColumn id="3" xr3:uid="{7BDAD217-DC04-448C-813F-A6E55F0486E7}" name="Und" dataDxfId="5502" totalsRowDxfId="5501"/>
    <tableColumn id="4" xr3:uid="{DC52C7BD-796B-4488-8827-B10FCC4E562A}" name="Cant." dataDxfId="5500" totalsRowDxfId="5499"/>
    <tableColumn id="1" xr3:uid="{5E219530-DB86-4EB1-947F-CA90F6873BE1}" name="Columna1" dataDxfId="5498" totalsRowDxfId="5497"/>
    <tableColumn id="7" xr3:uid="{23ABA605-7A52-4729-876A-EC88050B792D}" name="Columna2" dataDxfId="5496" totalsRowDxfId="5495"/>
    <tableColumn id="5" xr3:uid="{051CD92A-DD59-4612-8F02-97691C3E8679}" name="Costo" dataDxfId="5494" totalsRowDxfId="5493" dataCellStyle="Moneda">
      <calculatedColumnFormula>+VLOOKUP(Tabla1103453454455456479108131138166[[#This Row],[Ingrediente]],Tabla34[#All],3,0)</calculatedColumnFormula>
    </tableColumn>
    <tableColumn id="6" xr3:uid="{4F912D14-9AB4-45F0-ACD9-DCD79E115DDD}" name="Total costo" totalsRowFunction="sum" dataDxfId="5492" totalsRowDxfId="5491" dataCellStyle="Moneda">
      <calculatedColumnFormula>+Tabla1103453454455456479108131138166[[#This Row],[Costo]]*Tabla1103453454455456479108131138166[[#This Row],[Columna2]]</calculatedColumnFormula>
    </tableColumn>
  </tableColumns>
  <tableStyleInfo name="TableStyleLight8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F6AAC10C-D9D4-49AE-9518-A0229ED4793E}" name="Tabla1103453454455456479108133140168" displayName="Tabla1103453454455456479108133140168" ref="B68:H75" totalsRowCount="1" headerRowDxfId="5490" dataDxfId="5488" totalsRowDxfId="5486" headerRowBorderDxfId="5489" tableBorderDxfId="5487" totalsRowBorderDxfId="5485">
  <autoFilter ref="B68:H74" xr:uid="{E51661B7-AB33-4992-B1D2-B2FC3C6A14F5}"/>
  <sortState xmlns:xlrd2="http://schemas.microsoft.com/office/spreadsheetml/2017/richdata2" ref="B69:H74">
    <sortCondition descending="1" ref="H71"/>
  </sortState>
  <tableColumns count="7">
    <tableColumn id="2" xr3:uid="{8D2261DF-F867-4A99-8B56-01B2A0741452}" name="Ingrediente" dataDxfId="5484" totalsRowDxfId="5483"/>
    <tableColumn id="3" xr3:uid="{948CD69C-52F4-4373-8CFC-05624487D49E}" name="Und" dataDxfId="5482" totalsRowDxfId="5481"/>
    <tableColumn id="4" xr3:uid="{AB338643-FEDB-457F-86E3-7C0A0F3B70B0}" name="Cant." dataDxfId="5480" totalsRowDxfId="5479"/>
    <tableColumn id="1" xr3:uid="{795E2202-89B8-442A-83C8-322B57358C02}" name="Columna1" dataDxfId="5478" totalsRowDxfId="5477"/>
    <tableColumn id="7" xr3:uid="{E48F404A-37A4-4C71-8335-4377D4994E59}" name="Columna2" dataDxfId="5476" totalsRowDxfId="5475"/>
    <tableColumn id="5" xr3:uid="{7FCC65DA-6A23-444F-A644-099717F610F8}" name="Costo" dataDxfId="5474" totalsRowDxfId="5473">
      <calculatedColumnFormula>+VLOOKUP(Tabla1103453454455456479108133140168[[#This Row],[Ingrediente]],Tabla34[#All],3,0)</calculatedColumnFormula>
    </tableColumn>
    <tableColumn id="6" xr3:uid="{9368FDF1-E861-444E-B672-4D6FCEAE486E}" name="Total costo" totalsRowFunction="sum" dataDxfId="5472" totalsRowDxfId="5471">
      <calculatedColumnFormula>+Tabla1103453454455456479108133140168[[#This Row],[Costo]]*Tabla1103453454455456479108133140168[[#This Row],[Columna2]]</calculatedColumnFormula>
    </tableColumn>
  </tableColumns>
  <tableStyleInfo name="TableStyleLight8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419E8FA7-58FB-435D-91BC-E70596AF2717}" name="Tabla1103453454455456479108134141171" displayName="Tabla1103453454455456479108134141171" ref="B80:H87" totalsRowCount="1" headerRowDxfId="5470" dataDxfId="5468" totalsRowDxfId="5466" headerRowBorderDxfId="5469" tableBorderDxfId="5467" totalsRowBorderDxfId="5465">
  <autoFilter ref="B80:H86" xr:uid="{ABD20643-9B69-4368-9A3B-AF77BC5AFE8B}"/>
  <sortState xmlns:xlrd2="http://schemas.microsoft.com/office/spreadsheetml/2017/richdata2" ref="B81:H85">
    <sortCondition descending="1" ref="H83"/>
  </sortState>
  <tableColumns count="7">
    <tableColumn id="2" xr3:uid="{24C8C5F9-65F6-41EF-869B-ECBEC5E61C08}" name="Ingrediente" dataDxfId="5464" totalsRowDxfId="5463"/>
    <tableColumn id="3" xr3:uid="{4949BC2C-1C42-4D7C-A6B3-2917266373DF}" name="Und" dataDxfId="5462" totalsRowDxfId="5461"/>
    <tableColumn id="4" xr3:uid="{930A4D3C-B63D-4786-BF61-461B731A9BD4}" name="Cant." dataDxfId="5460" totalsRowDxfId="5459"/>
    <tableColumn id="1" xr3:uid="{3D85F28A-2FE1-4571-B3BF-EFB33D83A57A}" name="Columna1" dataDxfId="5458" totalsRowDxfId="5457"/>
    <tableColumn id="7" xr3:uid="{6C8E272E-DA28-4AFE-B1CF-D862951C20BB}" name="Columna2" dataDxfId="5456" totalsRowDxfId="5455"/>
    <tableColumn id="5" xr3:uid="{FE7F21B1-89D9-42DF-873E-962364FB173B}" name="Costo" dataDxfId="5454" totalsRowDxfId="5453" dataCellStyle="Moneda">
      <calculatedColumnFormula>+VLOOKUP(Tabla1103453454455456479108134141171[[#This Row],[Ingrediente]],Tabla34[#All],3,0)</calculatedColumnFormula>
    </tableColumn>
    <tableColumn id="6" xr3:uid="{846B4768-1B17-4BA7-8483-F0E586A7CABA}" name="Total costo" totalsRowFunction="sum" dataDxfId="5452" totalsRowDxfId="5451" dataCellStyle="Moneda">
      <calculatedColumnFormula>+Tabla1103453454455456479108134141171[[#This Row],[Costo]]*Tabla1103453454455456479108134141171[[#This Row],[Columna2]]</calculatedColumnFormula>
    </tableColumn>
  </tableColumns>
  <tableStyleInfo name="TableStyleLight8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0" xr:uid="{173B48AB-B8C6-4C57-AF33-0050333CEDAD}" name="Tabla1103453454455456479108134141171251" displayName="Tabla1103453454455456479108134141171251" ref="B91:H96" totalsRowCount="1" headerRowDxfId="5450" dataDxfId="5448" totalsRowDxfId="5446" headerRowBorderDxfId="5449" tableBorderDxfId="5447" totalsRowBorderDxfId="5445">
  <autoFilter ref="B91:H95" xr:uid="{17A34304-8231-459F-8E05-3F061822D74B}"/>
  <sortState xmlns:xlrd2="http://schemas.microsoft.com/office/spreadsheetml/2017/richdata2" ref="B92:H95">
    <sortCondition descending="1" ref="H8"/>
  </sortState>
  <tableColumns count="7">
    <tableColumn id="2" xr3:uid="{A7A48E18-5559-4A79-B499-A5D866FF8EEB}" name="Ingrediente" dataDxfId="5444" totalsRowDxfId="5443"/>
    <tableColumn id="3" xr3:uid="{99E4B1CC-5B28-4730-8A76-3DE86092B698}" name="Und" dataDxfId="5442" totalsRowDxfId="5441"/>
    <tableColumn id="4" xr3:uid="{63930863-DFAA-4D6E-87CD-54293F6AD3E1}" name="Cant." dataDxfId="5440" totalsRowDxfId="5439"/>
    <tableColumn id="1" xr3:uid="{C53AFCB8-ED1E-4BEA-ACE0-3A36825F4F5B}" name="Columna1" dataDxfId="5438" totalsRowDxfId="5437"/>
    <tableColumn id="7" xr3:uid="{D17D8602-9271-46C4-80F4-752F5AB2A759}" name="Columna2" dataDxfId="5436" totalsRowDxfId="5435"/>
    <tableColumn id="5" xr3:uid="{69F08348-80D5-4242-9BBC-96FB17BFEE38}" name="Costo" dataDxfId="5434" totalsRowDxfId="5433" dataCellStyle="Moneda">
      <calculatedColumnFormula>+VLOOKUP(Tabla1103453454455456479108134141171251[[#This Row],[Ingrediente]],Tabla34[#All],3,0)</calculatedColumnFormula>
    </tableColumn>
    <tableColumn id="6" xr3:uid="{45FEE950-743D-4094-B131-9E5F14AEF9AF}" name="Total costo" totalsRowFunction="sum" dataDxfId="5432" totalsRowDxfId="5431" dataCellStyle="Moneda">
      <calculatedColumnFormula>+Tabla1103453454455456479108134141171251[[#This Row],[Costo]]*Tabla1103453454455456479108134141171251[[#This Row],[Columna2]]</calculatedColumnFormula>
    </tableColumn>
  </tableColumns>
  <tableStyleInfo name="TableStyleLight8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1" xr:uid="{FC7E535A-69C1-4FDA-A436-216BC2E6D421}" name="Tabla1103453454455456479108134141171252" displayName="Tabla1103453454455456479108134141171252" ref="B104:H110" totalsRowCount="1" headerRowDxfId="5430" dataDxfId="5428" totalsRowDxfId="5426" headerRowBorderDxfId="5429" tableBorderDxfId="5427" totalsRowBorderDxfId="5425">
  <autoFilter ref="B104:H109" xr:uid="{7459B898-9E18-4B8B-978E-2DDCEA3F3D41}"/>
  <sortState xmlns:xlrd2="http://schemas.microsoft.com/office/spreadsheetml/2017/richdata2" ref="B105:H109">
    <sortCondition descending="1" ref="H8"/>
  </sortState>
  <tableColumns count="7">
    <tableColumn id="2" xr3:uid="{D4CCBC07-D869-4AF4-9F30-76601164DC80}" name="Ingrediente" dataDxfId="5424" totalsRowDxfId="5423"/>
    <tableColumn id="3" xr3:uid="{BBBEFBFE-89CF-45ED-81AB-EA51BB10FDF3}" name="Und" dataDxfId="5422" totalsRowDxfId="5421"/>
    <tableColumn id="4" xr3:uid="{357EB473-453D-464F-8D6C-6DC0D4874473}" name="Cant." dataDxfId="5420" totalsRowDxfId="5419"/>
    <tableColumn id="1" xr3:uid="{AC6E7F27-58D3-4A15-B36B-1A87BD54C1BB}" name="Columna1" dataDxfId="5418" totalsRowDxfId="5417"/>
    <tableColumn id="7" xr3:uid="{A84E0E20-D365-4A2A-8B3B-58608608DF97}" name="Columna2" dataDxfId="5416" totalsRowDxfId="5415"/>
    <tableColumn id="5" xr3:uid="{35026E61-C3EE-4245-89D7-09FA0BF8063D}" name="Costo" dataDxfId="5414" totalsRowDxfId="5413" dataCellStyle="Moneda">
      <calculatedColumnFormula>+VLOOKUP(Tabla1103453454455456479108134141171252[[#This Row],[Ingrediente]],Tabla34[#All],3,0)</calculatedColumnFormula>
    </tableColumn>
    <tableColumn id="6" xr3:uid="{F56B6A17-04E2-410C-82DD-17BF11098752}" name="Total costo" totalsRowFunction="sum" dataDxfId="5412" totalsRowDxfId="5411" dataCellStyle="Moneda">
      <calculatedColumnFormula>+Tabla1103453454455456479108134141171252[[#This Row],[Costo]]*Tabla1103453454455456479108134141171252[[#This Row],[Columna2]]</calculatedColumnFormula>
    </tableColumn>
  </tableColumns>
  <tableStyleInfo name="TableStyleLight8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2" xr:uid="{1D7B30D5-FCD5-4D45-829D-04E5141D76F2}" name="Tabla1103453454455456479108134141171253" displayName="Tabla1103453454455456479108134141171253" ref="B116:H124" totalsRowCount="1" headerRowDxfId="5410" dataDxfId="5408" totalsRowDxfId="5406" headerRowBorderDxfId="5409" tableBorderDxfId="5407" totalsRowBorderDxfId="5405">
  <autoFilter ref="B116:H123" xr:uid="{798EBCC5-25E0-4187-824B-62FBB6B4A066}"/>
  <sortState xmlns:xlrd2="http://schemas.microsoft.com/office/spreadsheetml/2017/richdata2" ref="B117:H122">
    <sortCondition descending="1" ref="H8"/>
  </sortState>
  <tableColumns count="7">
    <tableColumn id="2" xr3:uid="{1991FB0F-E33D-4D02-98E1-4DAF0D2863B4}" name="Ingrediente" dataDxfId="5404" totalsRowDxfId="5403"/>
    <tableColumn id="3" xr3:uid="{4D7F1117-3FA2-4677-811A-2B2FEABFDE45}" name="Und" dataDxfId="5402" totalsRowDxfId="5401"/>
    <tableColumn id="4" xr3:uid="{CAF57064-C4AB-4CC4-A5F6-B1220750136D}" name="Cant." dataDxfId="5400" totalsRowDxfId="5399"/>
    <tableColumn id="1" xr3:uid="{61F53785-3E19-4782-9023-0F5AB75F3438}" name="Columna1" dataDxfId="5398" totalsRowDxfId="5397"/>
    <tableColumn id="7" xr3:uid="{33690CAE-8B22-481C-8079-04D8B3EA5748}" name="Columna2" dataDxfId="5396" totalsRowDxfId="5395"/>
    <tableColumn id="5" xr3:uid="{D54C75F0-B65D-436E-8BAC-FFFA373586DB}" name="Costo" dataDxfId="5394" totalsRowDxfId="5393" dataCellStyle="Moneda">
      <calculatedColumnFormula>+VLOOKUP(Tabla1103453454455456479108134141171253[[#This Row],[Ingrediente]],Tabla34[#All],3,0)</calculatedColumnFormula>
    </tableColumn>
    <tableColumn id="6" xr3:uid="{CF04D36E-C6A9-400D-BDA7-14B829B0260B}" name="Total costo" totalsRowFunction="sum" dataDxfId="5392" totalsRowDxfId="5391" dataCellStyle="Moneda">
      <calculatedColumnFormula>+Tabla1103453454455456479108134141171253[[#This Row],[Costo]]*Tabla1103453454455456479108134141171253[[#This Row],[Columna2]]</calculatedColumnFormula>
    </tableColumn>
  </tableColumns>
  <tableStyleInfo name="TableStyleLight8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3" xr:uid="{985EB4E6-B651-413A-89D2-CF2F8AF0C425}" name="Tabla1103453454455456479108134141171253254" displayName="Tabla1103453454455456479108134141171253254" ref="B128:H134" totalsRowCount="1" headerRowDxfId="5390" dataDxfId="5388" totalsRowDxfId="5386" headerRowBorderDxfId="5389" tableBorderDxfId="5387" totalsRowBorderDxfId="5385">
  <autoFilter ref="B128:H133" xr:uid="{F9667CAF-9340-454E-AE22-8540005FFE18}"/>
  <sortState xmlns:xlrd2="http://schemas.microsoft.com/office/spreadsheetml/2017/richdata2" ref="B129:H133">
    <sortCondition descending="1" ref="H129:H133"/>
  </sortState>
  <tableColumns count="7">
    <tableColumn id="2" xr3:uid="{A13BBBBE-0103-49AE-9922-5EF7832E74F1}" name="Ingrediente" dataDxfId="5384" totalsRowDxfId="5383"/>
    <tableColumn id="3" xr3:uid="{CE107DF8-F86B-423A-92AA-A34A5A9FB528}" name="Und" dataDxfId="5382" totalsRowDxfId="5381"/>
    <tableColumn id="4" xr3:uid="{B96690B2-3A5E-4171-85B7-AA4FD2CF22D8}" name="Cant." dataDxfId="5380" totalsRowDxfId="5379"/>
    <tableColumn id="1" xr3:uid="{84A90631-E76D-4CC8-B2A1-8C0203E66EDA}" name="Columna1" dataDxfId="5378" totalsRowDxfId="5377"/>
    <tableColumn id="7" xr3:uid="{B5115D99-2E2B-456B-84AB-DD0C46331FB8}" name="Columna2" dataDxfId="5376" totalsRowDxfId="5375"/>
    <tableColumn id="5" xr3:uid="{52C7B74F-EF45-4B39-9710-2A6387B4B43E}" name="Costo" dataDxfId="5374" totalsRowDxfId="5373" dataCellStyle="Moneda">
      <calculatedColumnFormula>+VLOOKUP(Tabla1103453454455456479108134141171253254[[#This Row],[Ingrediente]],Tabla34[#All],3,0)</calculatedColumnFormula>
    </tableColumn>
    <tableColumn id="6" xr3:uid="{9ABB5A9A-072E-49AD-A3E7-8CC4DF5052AB}" name="Total costo" totalsRowFunction="sum" dataDxfId="5372" totalsRowDxfId="5371" dataCellStyle="Moneda">
      <calculatedColumnFormula>+Tabla1103453454455456479108134141171253254[[#This Row],[Costo]]*Tabla1103453454455456479108134141171253254[[#This Row],[Columna2]]</calculatedColumnFormula>
    </tableColumn>
  </tableColumns>
  <tableStyleInfo name="TableStyleLight8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5" xr:uid="{729180CD-A87B-485F-9626-AF0621455D64}" name="Tabla1103453454455456479108134141171253254256" displayName="Tabla1103453454455456479108134141171253254256" ref="B141:H148" totalsRowCount="1" headerRowDxfId="5370" dataDxfId="5368" totalsRowDxfId="5366" headerRowBorderDxfId="5369" tableBorderDxfId="5367" totalsRowBorderDxfId="5365">
  <autoFilter ref="B141:H147" xr:uid="{89966531-9844-4E87-B0F3-6D732A42ACDF}"/>
  <sortState xmlns:xlrd2="http://schemas.microsoft.com/office/spreadsheetml/2017/richdata2" ref="B142:H144">
    <sortCondition descending="1" ref="H8"/>
  </sortState>
  <tableColumns count="7">
    <tableColumn id="2" xr3:uid="{E6BCCC22-C578-4B5F-9B8B-AA1CE1EB0211}" name="Ingrediente" dataDxfId="5364" totalsRowDxfId="5363"/>
    <tableColumn id="3" xr3:uid="{8223CC01-AFE1-48F0-A74E-754674890A87}" name="Und" dataDxfId="5362" totalsRowDxfId="5361"/>
    <tableColumn id="4" xr3:uid="{D932D07E-0EEA-44E9-B01F-1F1FF8C3FB41}" name="Cant." dataDxfId="5360" totalsRowDxfId="5359"/>
    <tableColumn id="1" xr3:uid="{45693368-6FBE-43BE-BC2B-EE4E84069FBA}" name="Columna1" dataDxfId="5358" totalsRowDxfId="5357"/>
    <tableColumn id="7" xr3:uid="{D5AF9FF3-E9BC-4C3D-BF13-5E9B5B8FDA2B}" name="Columna2" dataDxfId="5356" totalsRowDxfId="5355"/>
    <tableColumn id="5" xr3:uid="{12D7CDF4-79B0-40DC-9FA0-741CACEBECF8}" name="Costo" dataDxfId="5354" totalsRowDxfId="5353" dataCellStyle="Moneda">
      <calculatedColumnFormula>+VLOOKUP(Tabla1103453454455456479108134141171253254256[[#This Row],[Ingrediente]],Tabla34[#All],3,0)</calculatedColumnFormula>
    </tableColumn>
    <tableColumn id="6" xr3:uid="{09BB1AB3-2463-44C1-B9FF-0ABD53CD85D5}" name="Total costo" totalsRowFunction="sum" dataDxfId="5352" totalsRowDxfId="5351" dataCellStyle="Moneda">
      <calculatedColumnFormula>+Tabla1103453454455456479108134141171253254256[[#This Row],[Costo]]*Tabla1103453454455456479108134141171253254256[[#This Row],[Columna2]]</calculatedColumnFormula>
    </tableColumn>
  </tableColumns>
  <tableStyleInfo name="TableStyleLight8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3" xr:uid="{93E12D9D-9A85-4C00-B0A9-96059C0F9BD5}" name="Tabla1103453454455456479108134141171253254256257274" displayName="Tabla1103453454455456479108134141171253254256257274" ref="B154:H162" totalsRowCount="1" headerRowDxfId="5350" dataDxfId="5348" totalsRowDxfId="5346" headerRowBorderDxfId="5349" tableBorderDxfId="5347" totalsRowBorderDxfId="5345">
  <autoFilter ref="B154:H161" xr:uid="{950AB00A-575F-424C-9EBA-B7B0602B178C}"/>
  <sortState xmlns:xlrd2="http://schemas.microsoft.com/office/spreadsheetml/2017/richdata2" ref="B155:H160">
    <sortCondition descending="1" ref="H8"/>
  </sortState>
  <tableColumns count="7">
    <tableColumn id="2" xr3:uid="{4C7AFD9B-119B-474E-81F9-F02021864F94}" name="Ingrediente" dataDxfId="5344" totalsRowDxfId="5343"/>
    <tableColumn id="3" xr3:uid="{B2140B5D-017D-4332-BF69-D1BB7AB5A110}" name="Und" dataDxfId="5342" totalsRowDxfId="5341"/>
    <tableColumn id="4" xr3:uid="{DA7F1339-ECFF-4BF0-91D0-4E9603FD060A}" name="Cant." dataDxfId="5340" totalsRowDxfId="5339"/>
    <tableColumn id="1" xr3:uid="{AB56CFFE-2E79-4C5A-9BA2-544B665DA30C}" name="Columna1" dataDxfId="5338" totalsRowDxfId="5337"/>
    <tableColumn id="7" xr3:uid="{EB742DC7-4C16-45E5-84A7-8E3F24551F22}" name="Columna2" dataDxfId="5336" totalsRowDxfId="5335"/>
    <tableColumn id="5" xr3:uid="{DD5161DF-D8FB-4BBF-B259-67B814C11D07}" name="Costo" dataDxfId="5334" totalsRowDxfId="5333" dataCellStyle="Moneda">
      <calculatedColumnFormula>+VLOOKUP(Tabla1103453454455456479108134141171253254256257274[[#This Row],[Ingrediente]],Tabla34[#All],3,0)</calculatedColumnFormula>
    </tableColumn>
    <tableColumn id="6" xr3:uid="{8A2A9E5F-FD89-4738-A157-2CBE64042727}" name="Total costo" totalsRowFunction="sum" dataDxfId="5332" totalsRowDxfId="5331" dataCellStyle="Moneda">
      <calculatedColumnFormula>+Tabla1103453454455456479108134141171253254256257274[[#This Row],[Costo]]*Tabla1103453454455456479108134141171253254256257274[[#This Row],[Columna2]]</calculatedColumnFormula>
    </tableColumn>
  </tableColumns>
  <tableStyleInfo name="TableStyleLight8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8" xr:uid="{32BE6061-DDDA-43A5-8715-9C40376C4E54}" name="Tabla1103453454455456479108130137157194203212218240284326329" displayName="Tabla1103453454455456479108130137157194203212218240284326329" ref="B167:H176" totalsRowCount="1" headerRowDxfId="5330" dataDxfId="5328" totalsRowDxfId="5326" headerRowBorderDxfId="5329" tableBorderDxfId="5327" totalsRowBorderDxfId="5325">
  <autoFilter ref="B167:H175" xr:uid="{0FACBB70-2C39-4BFB-B86A-5321A27A78D7}"/>
  <sortState xmlns:xlrd2="http://schemas.microsoft.com/office/spreadsheetml/2017/richdata2" ref="B168:H175">
    <sortCondition descending="1" ref="D168"/>
  </sortState>
  <tableColumns count="7">
    <tableColumn id="2" xr3:uid="{AE4C3EC2-1E90-440A-86A5-926A854BCF86}" name="Ingrediente" dataDxfId="5324" totalsRowDxfId="5323"/>
    <tableColumn id="3" xr3:uid="{119FF066-7DD2-45EA-834F-C53B8FD60E12}" name="Und" dataDxfId="5322" totalsRowDxfId="5321"/>
    <tableColumn id="4" xr3:uid="{B89DCD80-8F74-4907-BFCD-98546E2F5C4D}" name="Cant." dataDxfId="5320" totalsRowDxfId="5319"/>
    <tableColumn id="1" xr3:uid="{8994459E-0B69-4EC9-9519-15D5A8E8DBE8}" name="Columna1" dataDxfId="5318" totalsRowDxfId="5317"/>
    <tableColumn id="7" xr3:uid="{12ACBC12-8742-489E-90CF-0DBA91E8E129}" name="Columna2" dataDxfId="5316" totalsRowDxfId="5315"/>
    <tableColumn id="5" xr3:uid="{359FD6BC-7532-4227-8147-A420BB253F6A}" name="Costo" dataDxfId="5314" totalsRowDxfId="5313" dataCellStyle="Moneda">
      <calculatedColumnFormula>+VLOOKUP(Tabla1103453454455456479108130137157194203212218240284326329[[#This Row],[Ingrediente]],Tabla34[#All],3,0)</calculatedColumnFormula>
    </tableColumn>
    <tableColumn id="6" xr3:uid="{D4346AC1-B2F9-408E-8D29-AF4720C60944}" name="Total costo" totalsRowFunction="sum" dataDxfId="5312" totalsRowDxfId="5311" dataCellStyle="Moneda">
      <calculatedColumnFormula>+Tabla1103453454455456479108130137157194203212218240284326329[[#This Row],[Costo]]*Tabla1103453454455456479108130137157194203212218240284326329[[#This Row],[Columna2]]</calculatedColumnFormula>
    </tableColumn>
  </tableColumns>
  <tableStyleInfo name="TableStyleLight8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FD43C0C7-77AD-40F7-85AB-0153F3DE39F2}" name="Tabla110345345445545647910812913615689" displayName="Tabla110345345445545647910812913615689" ref="B29:H36" totalsRowCount="1" headerRowDxfId="5310" dataDxfId="5308" totalsRowDxfId="5306" headerRowBorderDxfId="5309" tableBorderDxfId="5307" totalsRowBorderDxfId="5305">
  <autoFilter ref="B29:H35" xr:uid="{151401EB-94A5-4FFE-B41D-006DB4C04F60}"/>
  <sortState xmlns:xlrd2="http://schemas.microsoft.com/office/spreadsheetml/2017/richdata2" ref="B30:H33">
    <sortCondition descending="1" ref="H31"/>
  </sortState>
  <tableColumns count="7">
    <tableColumn id="2" xr3:uid="{89609ED1-80B8-4078-BA97-61DD2EC403F6}" name="Ingrediente" dataDxfId="5304" totalsRowDxfId="5303"/>
    <tableColumn id="3" xr3:uid="{BF95A24B-2B8D-470C-9714-D68F8FFAC0B3}" name="Und" dataDxfId="5302" totalsRowDxfId="5301"/>
    <tableColumn id="4" xr3:uid="{2CF31FC5-4D0B-4CB8-9486-2EDA7DABA62B}" name="Cant." dataDxfId="5300" totalsRowDxfId="5299"/>
    <tableColumn id="1" xr3:uid="{92025BB7-C021-4D37-8C1F-83F53742DF03}" name="Columna1" dataDxfId="5298" totalsRowDxfId="5297"/>
    <tableColumn id="7" xr3:uid="{F1831D6C-69DD-4796-87A5-4A81D9C78D59}" name="Columna2" dataDxfId="5296" totalsRowDxfId="5295"/>
    <tableColumn id="5" xr3:uid="{512FD466-7026-4E45-8F32-4CE67080A7AC}" name="Costo" dataDxfId="5294" totalsRowDxfId="5293" dataCellStyle="Moneda">
      <calculatedColumnFormula>+VLOOKUP(Tabla110345345445545647910812913615689[[#This Row],[Ingrediente]],Tabla34[#All],3,0)</calculatedColumnFormula>
    </tableColumn>
    <tableColumn id="6" xr3:uid="{E5775497-5407-4F98-8D68-EED4F4A6A92E}" name="Total costo" totalsRowFunction="sum" dataDxfId="5292" totalsRowDxfId="5291" dataCellStyle="Moneda">
      <calculatedColumnFormula>+Tabla110345345445545647910812913615689[[#This Row],[Costo]]*Tabla110345345445545647910812913615689[[#This Row],[Columna2]]</calculatedColumnFormula>
    </tableColumn>
  </tableColumns>
  <tableStyleInfo name="TableStyleLight8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9B5F08D2-2D97-4BC4-B634-BC3540F21981}" name="Tabla1103453454455456479108135112127" displayName="Tabla1103453454455456479108135112127" ref="B180:H187" totalsRowCount="1" headerRowDxfId="5290" dataDxfId="5288" totalsRowDxfId="5286" headerRowBorderDxfId="5289" tableBorderDxfId="5287" totalsRowBorderDxfId="5285">
  <autoFilter ref="B180:H186" xr:uid="{81C261B5-8297-465C-82AB-F9F7CBAA58BB}"/>
  <sortState xmlns:xlrd2="http://schemas.microsoft.com/office/spreadsheetml/2017/richdata2" ref="B181:H186">
    <sortCondition descending="1" ref="H9"/>
  </sortState>
  <tableColumns count="7">
    <tableColumn id="2" xr3:uid="{CA723727-D2D5-4EA3-9918-A1279CD8D79E}" name="Ingrediente" dataDxfId="5284" totalsRowDxfId="5283"/>
    <tableColumn id="3" xr3:uid="{D790F172-FF62-428D-A972-28FF945C39A7}" name="Und" dataDxfId="5282" totalsRowDxfId="5281"/>
    <tableColumn id="4" xr3:uid="{0C2A787D-8F17-48F0-AA33-2BDDAA1C0244}" name="Cant." dataDxfId="5280" totalsRowDxfId="5279"/>
    <tableColumn id="1" xr3:uid="{64BD5A3C-5710-44FE-A8BC-024DBFAFC719}" name="Columna1" dataDxfId="5278" totalsRowDxfId="5277"/>
    <tableColumn id="7" xr3:uid="{34384EF3-0A31-4058-A308-49DEA169E69A}" name="Columna2" dataDxfId="5276" totalsRowDxfId="5275"/>
    <tableColumn id="5" xr3:uid="{3A25A2E7-80B3-48CE-BCD5-7B6B7408B3C6}" name="Costo" dataDxfId="5274" totalsRowDxfId="5273" dataCellStyle="Moneda">
      <calculatedColumnFormula>+VLOOKUP(Tabla1103453454455456479108135112127[[#This Row],[Ingrediente]],Tabla34[#All],3,0)</calculatedColumnFormula>
    </tableColumn>
    <tableColumn id="6" xr3:uid="{8E7D88DB-74D6-4386-AC6D-F6281D28C0D7}" name="Total costo" totalsRowFunction="sum" dataDxfId="5272" totalsRowDxfId="5271" dataCellStyle="Moneda">
      <calculatedColumnFormula>+Tabla1103453454455456479108135112127[[#This Row],[Costo]]*Tabla1103453454455456479108135112127[[#This Row],[Columna2]]</calculatedColumnFormula>
    </tableColumn>
  </tableColumns>
  <tableStyleInfo name="TableStyleLight8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35529DCA-85B1-4F90-8B7F-974F116B434D}" name="Tabla110345345445545647910813511212772" displayName="Tabla110345345445545647910813511212772" ref="B193:H200" totalsRowCount="1" headerRowDxfId="5270" dataDxfId="5268" totalsRowDxfId="5266" headerRowBorderDxfId="5269" tableBorderDxfId="5267" totalsRowBorderDxfId="5265">
  <autoFilter ref="B193:H199" xr:uid="{35529DCA-85B1-4F90-8B7F-974F116B434D}"/>
  <sortState xmlns:xlrd2="http://schemas.microsoft.com/office/spreadsheetml/2017/richdata2" ref="B194:H199">
    <sortCondition descending="1" ref="H9"/>
  </sortState>
  <tableColumns count="7">
    <tableColumn id="2" xr3:uid="{018DC16C-41C7-4D1C-BEA3-70566FA3AE7F}" name="Ingrediente" dataDxfId="5264" totalsRowDxfId="5263"/>
    <tableColumn id="3" xr3:uid="{25169EB4-9AD9-4096-B871-FBC891C81715}" name="Und" dataDxfId="5262" totalsRowDxfId="5261"/>
    <tableColumn id="4" xr3:uid="{1F28B4E0-F4EB-485B-BF47-FDF1E67EE66F}" name="Cant." dataDxfId="5260" totalsRowDxfId="5259"/>
    <tableColumn id="1" xr3:uid="{C4676645-50BE-45FB-8F51-5579A4186FA2}" name="Columna1" dataDxfId="5258" totalsRowDxfId="5257"/>
    <tableColumn id="7" xr3:uid="{2BB220B9-D77C-4264-A8F0-A2FCD5A825D0}" name="Columna2" dataDxfId="5256" totalsRowDxfId="5255"/>
    <tableColumn id="5" xr3:uid="{0B8F76E1-047A-4B2D-A790-6655BE18F41E}" name="Costo" dataDxfId="5254" totalsRowDxfId="5253" dataCellStyle="Moneda">
      <calculatedColumnFormula>+VLOOKUP(Tabla110345345445545647910813511212772[[#This Row],[Ingrediente]],Tabla34[#All],3,0)</calculatedColumnFormula>
    </tableColumn>
    <tableColumn id="6" xr3:uid="{4146029D-AE08-498A-90A4-8A4FA57F490E}" name="Total costo" totalsRowFunction="sum" dataDxfId="5252" totalsRowDxfId="5251" dataCellStyle="Moneda">
      <calculatedColumnFormula>+Tabla110345345445545647910813511212772[[#This Row],[Costo]]*Tabla110345345445545647910813511212772[[#This Row],[Columna2]]</calculatedColumnFormula>
    </tableColumn>
  </tableColumns>
  <tableStyleInfo name="TableStyleLight8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BE1EFD02-2B35-4125-9C65-622966CE88A8}" name="Tabla11034534544554564791081351121277282" displayName="Tabla11034534544554564791081351121277282" ref="B208:H216" totalsRowCount="1" headerRowDxfId="5250" dataDxfId="5248" totalsRowDxfId="5246" headerRowBorderDxfId="5249" tableBorderDxfId="5247" totalsRowBorderDxfId="5245">
  <autoFilter ref="B208:H215" xr:uid="{BE1EFD02-2B35-4125-9C65-622966CE88A8}"/>
  <sortState xmlns:xlrd2="http://schemas.microsoft.com/office/spreadsheetml/2017/richdata2" ref="B209:H214">
    <sortCondition descending="1" ref="H9"/>
  </sortState>
  <tableColumns count="7">
    <tableColumn id="2" xr3:uid="{704DFDDB-7988-4387-B05B-7566CDF0C676}" name="Ingrediente" dataDxfId="5244" totalsRowDxfId="5243"/>
    <tableColumn id="3" xr3:uid="{85141618-21A4-4C2A-8FF5-D600B7C4AAC1}" name="Und" dataDxfId="5242" totalsRowDxfId="5241"/>
    <tableColumn id="4" xr3:uid="{2CB60CA2-BF6B-4871-BC92-C300AE831ED8}" name="Cant." dataDxfId="5240" totalsRowDxfId="5239"/>
    <tableColumn id="1" xr3:uid="{DF400D3D-CDCE-45DA-993E-BC1C47E01EA6}" name="Columna1" dataDxfId="5238" totalsRowDxfId="5237"/>
    <tableColumn id="7" xr3:uid="{1CD8F955-81EE-4066-AE2F-CFA64EDD29CA}" name="Columna2" dataDxfId="5236" totalsRowDxfId="5235"/>
    <tableColumn id="5" xr3:uid="{734B96D2-0853-466A-A28F-0F62CD00B397}" name="Costo" dataDxfId="5234" totalsRowDxfId="5233" dataCellStyle="Moneda">
      <calculatedColumnFormula>+VLOOKUP(Tabla11034534544554564791081351121277282[[#This Row],[Ingrediente]],Tabla34[#All],3,0)</calculatedColumnFormula>
    </tableColumn>
    <tableColumn id="6" xr3:uid="{2EEAD8F3-EA2D-4791-A30C-F76988980538}" name="Total costo" totalsRowFunction="sum" dataDxfId="5232" totalsRowDxfId="5231" dataCellStyle="Moneda">
      <calculatedColumnFormula>+Tabla11034534544554564791081351121277282[[#This Row],[Costo]]*Tabla11034534544554564791081351121277282[[#This Row],[Columna2]]</calculatedColumnFormula>
    </tableColumn>
  </tableColumns>
  <tableStyleInfo name="TableStyleLight8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0C8CEE32-808D-45EE-9944-D8566DCECBBF}" name="Tabla1103453454455456479108135112127728286" displayName="Tabla1103453454455456479108135112127728286" ref="B222:H229" totalsRowCount="1" headerRowDxfId="5230" dataDxfId="5228" totalsRowDxfId="5226" headerRowBorderDxfId="5229" tableBorderDxfId="5227" totalsRowBorderDxfId="5225">
  <autoFilter ref="B222:H228" xr:uid="{0C8CEE32-808D-45EE-9944-D8566DCECBBF}"/>
  <sortState xmlns:xlrd2="http://schemas.microsoft.com/office/spreadsheetml/2017/richdata2" ref="B223:H228">
    <sortCondition descending="1" ref="H9"/>
  </sortState>
  <tableColumns count="7">
    <tableColumn id="2" xr3:uid="{CB71ECFC-EB3F-4F26-9AB1-0D7FBD1E9088}" name="Ingrediente" dataDxfId="5224" totalsRowDxfId="5223"/>
    <tableColumn id="3" xr3:uid="{69548E34-0747-4381-BBE7-EA9AEEE8ED52}" name="Und" dataDxfId="5222" totalsRowDxfId="5221"/>
    <tableColumn id="4" xr3:uid="{D271A63E-79D6-4D03-BB38-ACFE84BCEC94}" name="Cant." dataDxfId="5220" totalsRowDxfId="5219"/>
    <tableColumn id="1" xr3:uid="{EF4E4BCE-5F0E-4C46-80F0-A93310090232}" name="Columna1" dataDxfId="5218" totalsRowDxfId="5217"/>
    <tableColumn id="7" xr3:uid="{CB05B247-FAFA-472D-B401-74F17287F4BF}" name="Columna2" dataDxfId="5216" totalsRowDxfId="5215"/>
    <tableColumn id="5" xr3:uid="{BAABCD02-1EEB-465B-89E5-6E2B3C7A7326}" name="Costo" dataDxfId="5214" totalsRowDxfId="5213" dataCellStyle="Moneda">
      <calculatedColumnFormula>+VLOOKUP(Tabla1103453454455456479108135112127728286[[#This Row],[Ingrediente]],Tabla34[#All],3,0)</calculatedColumnFormula>
    </tableColumn>
    <tableColumn id="6" xr3:uid="{95FB33F1-9F31-487D-AF01-957B529ED739}" name="Total costo" totalsRowFunction="sum" dataDxfId="5212" totalsRowDxfId="5211" dataCellStyle="Moneda">
      <calculatedColumnFormula>+Tabla1103453454455456479108135112127728286[[#This Row],[Costo]]*Tabla1103453454455456479108135112127728286[[#This Row],[Columna2]]</calculatedColumnFormula>
    </tableColumn>
  </tableColumns>
  <tableStyleInfo name="TableStyleLight8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08699599-473F-4B63-A8ED-0EDE899B4B4D}" name="Tabla1103453454455456479108135112127728288" displayName="Tabla1103453454455456479108135112127728288" ref="B235:H242" totalsRowCount="1" headerRowDxfId="5210" dataDxfId="5208" totalsRowDxfId="5206" headerRowBorderDxfId="5209" tableBorderDxfId="5207" totalsRowBorderDxfId="5205">
  <autoFilter ref="B235:H241" xr:uid="{08699599-473F-4B63-A8ED-0EDE899B4B4D}"/>
  <sortState xmlns:xlrd2="http://schemas.microsoft.com/office/spreadsheetml/2017/richdata2" ref="B236:H241">
    <sortCondition descending="1" ref="H9"/>
  </sortState>
  <tableColumns count="7">
    <tableColumn id="2" xr3:uid="{48388B59-FD7A-4020-BB50-3201EC7A8560}" name="Ingrediente" dataDxfId="5204" totalsRowDxfId="5203"/>
    <tableColumn id="3" xr3:uid="{BF080DE8-CB71-4E5F-805D-07305420DD67}" name="Und" dataDxfId="5202" totalsRowDxfId="5201"/>
    <tableColumn id="4" xr3:uid="{63068F32-0778-4F5F-896D-15D1162D662E}" name="Cant." dataDxfId="5200" totalsRowDxfId="5199"/>
    <tableColumn id="1" xr3:uid="{E0D7011C-E018-41DB-ACC8-4E0DA30B631F}" name="Columna1" dataDxfId="5198" totalsRowDxfId="5197"/>
    <tableColumn id="7" xr3:uid="{0276D7E1-C8D7-44D4-8D24-74722B49A1AE}" name="Columna2" dataDxfId="5196" totalsRowDxfId="5195"/>
    <tableColumn id="5" xr3:uid="{05BD750B-413B-4F40-B0B7-0D14CBD859AE}" name="Costo" dataDxfId="5194" totalsRowDxfId="5193" dataCellStyle="Moneda">
      <calculatedColumnFormula>+VLOOKUP(Tabla1103453454455456479108135112127728288[[#This Row],[Ingrediente]],Tabla34[#All],3,0)</calculatedColumnFormula>
    </tableColumn>
    <tableColumn id="6" xr3:uid="{6919AE14-4F31-4219-88C3-2770078A92BC}" name="Total costo" totalsRowFunction="sum" dataDxfId="5192" totalsRowDxfId="5191" dataCellStyle="Moneda">
      <calculatedColumnFormula>+Tabla1103453454455456479108135112127728288[[#This Row],[Costo]]*Tabla1103453454455456479108135112127728288[[#This Row],[Columna2]]</calculatedColumnFormula>
    </tableColumn>
  </tableColumns>
  <tableStyleInfo name="TableStyleLight8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1B2DAA82-2D74-4326-A06D-A8E00CC9A699}" name="Tabla11034534544554564791081351121277282111" displayName="Tabla11034534544554564791081351121277282111" ref="B250:H258" totalsRowCount="1" headerRowDxfId="5190" dataDxfId="5188" totalsRowDxfId="5186" headerRowBorderDxfId="5189" tableBorderDxfId="5187" totalsRowBorderDxfId="5185">
  <autoFilter ref="B250:H257" xr:uid="{1B2DAA82-2D74-4326-A06D-A8E00CC9A699}"/>
  <sortState xmlns:xlrd2="http://schemas.microsoft.com/office/spreadsheetml/2017/richdata2" ref="B251:H256">
    <sortCondition descending="1" ref="H9"/>
  </sortState>
  <tableColumns count="7">
    <tableColumn id="2" xr3:uid="{37FCED1B-5004-4247-9B69-65220F02513F}" name="Ingrediente" dataDxfId="5184" totalsRowDxfId="5183"/>
    <tableColumn id="3" xr3:uid="{D5999B91-FA5B-46B4-AADE-D9DB7BD8970B}" name="Und" dataDxfId="5182" totalsRowDxfId="5181"/>
    <tableColumn id="4" xr3:uid="{C006C6A9-EE27-4CF5-978A-0D5060149C02}" name="Cant." dataDxfId="5180" totalsRowDxfId="5179"/>
    <tableColumn id="1" xr3:uid="{5E34F226-8845-4A23-968A-DEB9832DB4BF}" name="Columna1" dataDxfId="5178" totalsRowDxfId="5177"/>
    <tableColumn id="7" xr3:uid="{0116CE27-A485-4376-A40C-090F89BE687C}" name="Columna2" dataDxfId="5176" totalsRowDxfId="5175"/>
    <tableColumn id="5" xr3:uid="{E35DDCB1-7705-4C1B-9867-1649B4002A9F}" name="Costo" dataDxfId="5174" totalsRowDxfId="5173" dataCellStyle="Moneda">
      <calculatedColumnFormula>+VLOOKUP(Tabla11034534544554564791081351121277282111[[#This Row],[Ingrediente]],Tabla34[#All],3,0)</calculatedColumnFormula>
    </tableColumn>
    <tableColumn id="6" xr3:uid="{4D525CDF-C74F-4304-99A9-C8E6A5F18F18}" name="Total costo" totalsRowFunction="sum" dataDxfId="5172" totalsRowDxfId="5171" dataCellStyle="Moneda">
      <calculatedColumnFormula>+Tabla11034534544554564791081351121277282111[[#This Row],[Costo]]*Tabla11034534544554564791081351121277282111[[#This Row],[Columna2]]</calculatedColumnFormula>
    </tableColumn>
  </tableColumns>
  <tableStyleInfo name="TableStyleLight8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1F0F3213-6FD2-46CA-828B-CF8EC2DE41F8}" name="Tabla11034534544554564791081351121277282111126" displayName="Tabla11034534544554564791081351121277282111126" ref="B263:H266" totalsRowCount="1" headerRowDxfId="5170" dataDxfId="5168" totalsRowDxfId="5166" headerRowBorderDxfId="5169" tableBorderDxfId="5167" totalsRowBorderDxfId="5165">
  <autoFilter ref="B263:H265" xr:uid="{1F0F3213-6FD2-46CA-828B-CF8EC2DE41F8}"/>
  <sortState xmlns:xlrd2="http://schemas.microsoft.com/office/spreadsheetml/2017/richdata2" ref="B264:H265">
    <sortCondition descending="1" ref="H9"/>
  </sortState>
  <tableColumns count="7">
    <tableColumn id="2" xr3:uid="{3113639D-DE6C-49FF-8591-ECE19A884080}" name="Ingrediente" dataDxfId="5164" totalsRowDxfId="5163"/>
    <tableColumn id="3" xr3:uid="{4A98FC00-033F-4D1D-BACB-0581F00929C6}" name="Und" dataDxfId="5162" totalsRowDxfId="5161"/>
    <tableColumn id="4" xr3:uid="{FB110D34-1E3F-462E-8B72-E32459F5C49A}" name="Cant." dataDxfId="5160" totalsRowDxfId="5159"/>
    <tableColumn id="1" xr3:uid="{755D1139-5183-4E03-AC00-0E7864B41FFF}" name="Columna1" dataDxfId="5158" totalsRowDxfId="5157"/>
    <tableColumn id="7" xr3:uid="{86045C85-9753-4C26-B0C9-2F6D1B57FB1F}" name="Columna2" dataDxfId="5156" totalsRowDxfId="5155"/>
    <tableColumn id="5" xr3:uid="{14104ADB-48F2-404D-89B1-F2991815FB87}" name="Costo" dataDxfId="5154" totalsRowDxfId="5153" dataCellStyle="Moneda">
      <calculatedColumnFormula>+VLOOKUP(Tabla11034534544554564791081351121277282111126[[#This Row],[Ingrediente]],Tabla34[#All],3,0)</calculatedColumnFormula>
    </tableColumn>
    <tableColumn id="6" xr3:uid="{AFECABEE-E89F-4D21-ADF8-60340E37AF0D}" name="Total costo" totalsRowFunction="sum" dataDxfId="5152" totalsRowDxfId="5151" dataCellStyle="Moneda">
      <calculatedColumnFormula>+Tabla11034534544554564791081351121277282111126[[#This Row],[Costo]]*Tabla11034534544554564791081351121277282111126[[#This Row],[Columna2]]</calculatedColumnFormula>
    </tableColumn>
  </tableColumns>
  <tableStyleInfo name="TableStyleLight8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AA71ACB6-9021-489F-91C9-7B72269A4B49}" name="Tabla11034534544554564791081351121277282111126144" displayName="Tabla11034534544554564791081351121277282111126144" ref="B275:H281" totalsRowCount="1" headerRowDxfId="5150" dataDxfId="5148" totalsRowDxfId="5146" headerRowBorderDxfId="5149" tableBorderDxfId="5147" totalsRowBorderDxfId="5145">
  <autoFilter ref="B275:H280" xr:uid="{AA71ACB6-9021-489F-91C9-7B72269A4B49}"/>
  <sortState xmlns:xlrd2="http://schemas.microsoft.com/office/spreadsheetml/2017/richdata2" ref="B276:H277">
    <sortCondition descending="1" ref="H9"/>
  </sortState>
  <tableColumns count="7">
    <tableColumn id="2" xr3:uid="{43853DBE-359C-475A-A0A3-8AD55BA5052D}" name="Ingrediente" dataDxfId="5144" totalsRowDxfId="5143"/>
    <tableColumn id="3" xr3:uid="{44934258-7323-42F4-912F-3FEBACD6FD5D}" name="Und" dataDxfId="5142" totalsRowDxfId="5141"/>
    <tableColumn id="4" xr3:uid="{383BCDA3-6B90-4ABE-BC35-9E1D0D83F406}" name="Cant." dataDxfId="5140" totalsRowDxfId="5139"/>
    <tableColumn id="1" xr3:uid="{377EB5E1-3653-4818-88B4-32A8595BD177}" name="Columna1" dataDxfId="5138" totalsRowDxfId="5137"/>
    <tableColumn id="7" xr3:uid="{32278110-F46B-4112-A701-602FB9AD00E7}" name="Columna2" dataDxfId="5136" totalsRowDxfId="5135"/>
    <tableColumn id="5" xr3:uid="{802BA2C2-B742-46AC-B4F4-952878240961}" name="Costo" dataDxfId="5134" totalsRowDxfId="5133" dataCellStyle="Moneda">
      <calculatedColumnFormula>+VLOOKUP(Tabla11034534544554564791081351121277282111126144[[#This Row],[Ingrediente]],Tabla34[#All],3,0)</calculatedColumnFormula>
    </tableColumn>
    <tableColumn id="6" xr3:uid="{1A4037E4-C927-4F54-93BD-0CFC6BDAEE43}" name="Total costo" totalsRowFunction="sum" dataDxfId="5132" totalsRowDxfId="5131" dataCellStyle="Moneda">
      <calculatedColumnFormula>+Tabla11034534544554564791081351121277282111126144[[#This Row],[Costo]]*Tabla11034534544554564791081351121277282111126144[[#This Row],[Columna2]]</calculatedColumnFormula>
    </tableColumn>
  </tableColumns>
  <tableStyleInfo name="TableStyleLight8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DAA4F44A-2DB5-4FA6-957B-C27A006390D9}" name="Tabla1103453454455456479108134141177" displayName="Tabla1103453454455456479108134141177" ref="B9:H15" totalsRowCount="1" headerRowDxfId="5130" dataDxfId="5128" totalsRowDxfId="5126" headerRowBorderDxfId="5129" tableBorderDxfId="5127" totalsRowBorderDxfId="5125">
  <autoFilter ref="B9:H14" xr:uid="{ABD20643-9B69-4368-9A3B-AF77BC5AFE8B}"/>
  <sortState xmlns:xlrd2="http://schemas.microsoft.com/office/spreadsheetml/2017/richdata2" ref="B10:H14">
    <sortCondition ref="B11"/>
  </sortState>
  <tableColumns count="7">
    <tableColumn id="2" xr3:uid="{FEAAF72C-8160-4327-8D38-138B2F35B792}" name="Ingrediente" dataDxfId="5124" totalsRowDxfId="5123"/>
    <tableColumn id="3" xr3:uid="{6E04B957-D38F-4697-AC8C-CA8B31C6282F}" name="Und" dataDxfId="5122" totalsRowDxfId="5121"/>
    <tableColumn id="4" xr3:uid="{C54D9BF0-46C5-4A32-9287-020759BB762A}" name="Unidades Netas" dataDxfId="5120" totalsRowDxfId="5119"/>
    <tableColumn id="7" xr3:uid="{8D6001FF-2981-45C8-9C00-6A97CCF18BBB}" name="% Merma" dataDxfId="5118" totalsRowDxfId="5117"/>
    <tableColumn id="1" xr3:uid="{02204185-7770-4129-AED7-F437E7FE468B}" name="Unidades" dataDxfId="5116" totalsRowDxfId="5115"/>
    <tableColumn id="5" xr3:uid="{3F2FF238-959F-45EC-99DC-5776883B2B3F}" name="Costo" dataDxfId="5114" totalsRowDxfId="5113" dataCellStyle="Moneda">
      <calculatedColumnFormula>+VLOOKUP(Tabla1103453454455456479108134141177[[#This Row],[Ingrediente]],Tabla34[#All],3,0)</calculatedColumnFormula>
    </tableColumn>
    <tableColumn id="6" xr3:uid="{ABACD086-16EE-4308-936E-D143E55CC238}" name="Total costo" totalsRowFunction="sum" dataDxfId="5112" totalsRowDxfId="5111" dataCellStyle="Moneda">
      <calculatedColumnFormula>+Tabla1103453454455456479108134141177[[#This Row],[Costo]]*Tabla1103453454455456479108134141177[[#This Row],[Unidades]]</calculatedColumnFormula>
    </tableColumn>
  </tableColumns>
  <tableStyleInfo name="TableStyleLight8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7" xr:uid="{B24097CB-9FD1-4A55-B268-92325E898945}" name="Tabla1103453454455456479108134141177198" displayName="Tabla1103453454455456479108134141177198" ref="B21:H29" totalsRowCount="1" headerRowDxfId="5110" dataDxfId="5108" totalsRowDxfId="5106" headerRowBorderDxfId="5109" tableBorderDxfId="5107" totalsRowBorderDxfId="5105">
  <autoFilter ref="B21:H28" xr:uid="{BD5EB324-6768-4B2F-9C3C-5D89D56A2148}"/>
  <sortState xmlns:xlrd2="http://schemas.microsoft.com/office/spreadsheetml/2017/richdata2" ref="B22:H28">
    <sortCondition ref="B26:B28"/>
  </sortState>
  <tableColumns count="7">
    <tableColumn id="2" xr3:uid="{56D4C4C3-AF63-428B-88DC-71B8FE05B8D9}" name="Ingrediente" dataDxfId="5104" totalsRowDxfId="5103"/>
    <tableColumn id="3" xr3:uid="{EBA79A6D-DB18-44B5-9C89-6A41F1BCD234}" name="Und" dataDxfId="5102" totalsRowDxfId="5101"/>
    <tableColumn id="4" xr3:uid="{C77116B3-87B8-49FC-BB0C-4BA822F17CBA}" name="Unidades Netas" dataDxfId="5100" totalsRowDxfId="5099"/>
    <tableColumn id="7" xr3:uid="{6D744EAB-1B2F-4D64-B1E2-AE500AE33C85}" name="% Merma" dataDxfId="5098" totalsRowDxfId="5097"/>
    <tableColumn id="1" xr3:uid="{A893868A-206D-43F7-A329-0E0422144283}" name="Unidades" dataDxfId="5096" totalsRowDxfId="5095"/>
    <tableColumn id="5" xr3:uid="{D58110A2-DA7C-4961-AB60-A000F7B7405E}" name="Costo" dataDxfId="5094" totalsRowDxfId="5093" dataCellStyle="Moneda">
      <calculatedColumnFormula>+VLOOKUP(Tabla1103453454455456479108134141177198[[#This Row],[Ingrediente]],Tabla34[#All],3,0)</calculatedColumnFormula>
    </tableColumn>
    <tableColumn id="6" xr3:uid="{6B04C145-AF66-453A-9B59-AB848894E444}" name="Total costo" totalsRowFunction="sum" dataDxfId="5092" totalsRowDxfId="5091" dataCellStyle="Moneda">
      <calculatedColumnFormula>+Tabla1103453454455456479108134141177198[[#This Row],[Costo]]*Tabla1103453454455456479108134141177198[[#This Row],[Unidades]]</calculatedColumnFormula>
    </tableColumn>
  </tableColumns>
  <tableStyleInfo name="TableStyleLight8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6E4E5A9A-B525-4A10-B8D1-D6AA64762E00}" name="Tabla104107113" displayName="Tabla104107113" ref="M8:M9" totalsRowShown="0" headerRowDxfId="5090">
  <autoFilter ref="M8:M9" xr:uid="{6E4E5A9A-B525-4A10-B8D1-D6AA64762E00}"/>
  <tableColumns count="1">
    <tableColumn id="1" xr3:uid="{85F405E9-C7D3-4468-9C8A-0446CB9D2D46}" name="Descripcion de la carta"/>
  </tableColumns>
  <tableStyleInfo name="TableStyleLight8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BD6CD932-54AD-472F-9BEF-C129E9B253FD}" name="Tabla104106109124" displayName="Tabla104106109124" ref="M11:M12" totalsRowShown="0" headerRowDxfId="5089">
  <autoFilter ref="M11:M12" xr:uid="{BD6CD932-54AD-472F-9BEF-C129E9B253FD}"/>
  <tableColumns count="1">
    <tableColumn id="1" xr3:uid="{F606BD73-0D41-45C8-9BE3-BBC9F243C82B}" name="PROCESO DE ELABORACIÓN"/>
  </tableColumns>
  <tableStyleInfo name="TableStyleLight8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B11C582-ADBE-40B7-AA67-1AD8B9DA5962}" name="Tabla104107113141" displayName="Tabla104107113141" ref="M21:M22" totalsRowShown="0" headerRowDxfId="5088">
  <autoFilter ref="M21:M22" xr:uid="{2B11C582-ADBE-40B7-AA67-1AD8B9DA5962}"/>
  <tableColumns count="1">
    <tableColumn id="1" xr3:uid="{D8CF893A-C2D5-41F1-B28F-992C478A2FA6}" name="Descripcion de la carta"/>
  </tableColumns>
  <tableStyleInfo name="TableStyleLight8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39053555-DF7A-49E7-9958-D1554D8F1C2A}" name="Tabla104106109124142" displayName="Tabla104106109124142" ref="M24:M25" totalsRowShown="0" headerRowDxfId="5087">
  <autoFilter ref="M24:M25" xr:uid="{39053555-DF7A-49E7-9958-D1554D8F1C2A}"/>
  <tableColumns count="1">
    <tableColumn id="1" xr3:uid="{332F342E-99CF-4580-9395-33C2104E253D}" name="PROCESO DE ELABORACIÓN"/>
  </tableColumns>
  <tableStyleInfo name="TableStyleLight8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3678AA70-FB3C-41AD-A98B-D5A1624C003D}" name="Tabla110345345445545647910813414117715516397" displayName="Tabla110345345445545647910813414117715516397" ref="B32:H37" totalsRowCount="1" headerRowDxfId="5086" dataDxfId="5084" totalsRowDxfId="5082" headerRowBorderDxfId="5085" tableBorderDxfId="5083" totalsRowBorderDxfId="5081">
  <autoFilter ref="B32:H36" xr:uid="{3678AA70-FB3C-41AD-A98B-D5A1624C003D}"/>
  <sortState xmlns:xlrd2="http://schemas.microsoft.com/office/spreadsheetml/2017/richdata2" ref="B33:H36">
    <sortCondition descending="1" ref="H34:H36"/>
  </sortState>
  <tableColumns count="7">
    <tableColumn id="2" xr3:uid="{47223238-CB50-4A3B-8DF1-2C19A0668C30}" name="Ingrediente" dataDxfId="5080" totalsRowDxfId="5079"/>
    <tableColumn id="3" xr3:uid="{D9B79AFF-00B7-4F53-A133-5A84C999356A}" name="Und" dataDxfId="5078" totalsRowDxfId="5077"/>
    <tableColumn id="4" xr3:uid="{C02664C5-1C7A-406C-A5E7-93187D8F1A79}" name="Unidades Netas" dataDxfId="5076" totalsRowDxfId="5075"/>
    <tableColumn id="7" xr3:uid="{3FD77F67-B3DA-4E37-B70B-DD295369BE15}" name="% Merma" dataDxfId="5074" totalsRowDxfId="5073"/>
    <tableColumn id="1" xr3:uid="{6E83032A-CF81-41E9-98DB-87CF51C7046F}" name="Unidades" dataDxfId="5072" totalsRowDxfId="5071"/>
    <tableColumn id="5" xr3:uid="{F9DCC61A-F7B7-4518-A83B-7888E8462D45}" name="Costo" dataDxfId="5070" totalsRowDxfId="5069" dataCellStyle="Moneda">
      <calculatedColumnFormula>+VLOOKUP(Tabla110345345445545647910813414117715516397[[#This Row],[Ingrediente]],Tabla34[#All],3,0)</calculatedColumnFormula>
    </tableColumn>
    <tableColumn id="6" xr3:uid="{212E333B-5BE1-420F-9B84-4F3E70C43198}" name="Total costo" totalsRowFunction="sum" dataDxfId="5068" totalsRowDxfId="5067" dataCellStyle="Moneda">
      <calculatedColumnFormula>+Tabla110345345445545647910813414117715516397[[#This Row],[Costo]]*Tabla110345345445545647910813414117715516397[[#This Row],[Unidades]]</calculatedColumnFormula>
    </tableColumn>
  </tableColumns>
  <tableStyleInfo name="TableStyleLight8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5" xr:uid="{E56C0576-1D84-4FDE-9FDD-6DFFF6A7C08F}" name="Tabla1103453454455456479108135112172299306316" displayName="Tabla1103453454455456479108135112172299306316" ref="B7:F14" totalsRowCount="1" headerRowDxfId="5066" dataDxfId="5064" totalsRowDxfId="5062" headerRowBorderDxfId="5065" tableBorderDxfId="5063" totalsRowBorderDxfId="5061">
  <autoFilter ref="B7:F13" xr:uid="{78BE3A0D-ECA7-47BB-B29F-2C3C5A2344BE}"/>
  <sortState xmlns:xlrd2="http://schemas.microsoft.com/office/spreadsheetml/2017/richdata2" ref="B8:F13">
    <sortCondition descending="1" ref="F8"/>
  </sortState>
  <tableColumns count="5">
    <tableColumn id="2" xr3:uid="{C320B91C-1DAB-46A1-BD19-28549E22DFBD}" name="Ingrediente" dataDxfId="5060" totalsRowDxfId="5059"/>
    <tableColumn id="3" xr3:uid="{EE9078B2-1A4F-41E6-B1B0-422D431DFEB7}" name="Und" dataDxfId="5058" totalsRowDxfId="5057"/>
    <tableColumn id="4" xr3:uid="{8B286D34-ECDA-4DFB-921B-68E33553C426}" name="Cant." dataDxfId="5056" totalsRowDxfId="5055"/>
    <tableColumn id="5" xr3:uid="{5CEF72FC-2580-40C2-B3B1-943C9E826B81}" name="Costo" dataDxfId="5054" totalsRowDxfId="5053" dataCellStyle="Moneda">
      <calculatedColumnFormula>+VLOOKUP(Tabla1103453454455456479108135112172299306316[[#This Row],[Ingrediente]],#REF!,6,0)</calculatedColumnFormula>
    </tableColumn>
    <tableColumn id="6" xr3:uid="{936EB3CE-BB0A-4A66-8BC8-9EBB760C529E}" name="Total costo" totalsRowFunction="sum" dataDxfId="5052" totalsRowDxfId="5051" dataCellStyle="Moneda">
      <calculatedColumnFormula>+Tabla1103453454455456479108135112172299306316[[#This Row],[Costo]]*Tabla1103453454455456479108135112172299306316[[#This Row],[Cant.]]</calculatedColumnFormula>
    </tableColumn>
  </tableColumns>
  <tableStyleInfo name="TableStyleLight8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6" xr:uid="{62FFC586-DAF8-403F-99B9-00DDA919950E}" name="Tabla1103453454455456479108129136156173300307317" displayName="Tabla1103453454455456479108129136156173300307317" ref="B18:F25" totalsRowCount="1" headerRowDxfId="5050" dataDxfId="5048" totalsRowDxfId="5046" headerRowBorderDxfId="5049" tableBorderDxfId="5047" totalsRowBorderDxfId="5045">
  <autoFilter ref="B18:F24" xr:uid="{087B01A7-35AD-4F23-9E77-4B3FC96A2C1A}"/>
  <sortState xmlns:xlrd2="http://schemas.microsoft.com/office/spreadsheetml/2017/richdata2" ref="B19:F24">
    <sortCondition descending="1" ref="F8"/>
  </sortState>
  <tableColumns count="5">
    <tableColumn id="2" xr3:uid="{3F814011-1F1F-4329-9656-974120F4C717}" name="Ingrediente" dataDxfId="5044" totalsRowDxfId="5043"/>
    <tableColumn id="3" xr3:uid="{5E4EEBB8-65F5-4177-BD55-9F8B39A32E54}" name="Und" dataDxfId="5042" totalsRowDxfId="5041"/>
    <tableColumn id="4" xr3:uid="{806DA15D-CA60-4F25-9C4A-EC62C78A605A}" name="Cant." dataDxfId="5040" totalsRowDxfId="5039"/>
    <tableColumn id="5" xr3:uid="{21CC1EE2-362C-4A89-98FF-ECDBFEEC73F6}" name="Costo" dataDxfId="5038" totalsRowDxfId="5037" dataCellStyle="Moneda">
      <calculatedColumnFormula>+VLOOKUP(Tabla1103453454455456479108129136156173300307317[[#This Row],[Ingrediente]],#REF!,6,0)</calculatedColumnFormula>
    </tableColumn>
    <tableColumn id="6" xr3:uid="{1EB3A241-36C5-43C7-9F54-78F59898B8C2}" name="Total costo" totalsRowFunction="sum" dataDxfId="5036" totalsRowDxfId="5035" dataCellStyle="Moneda">
      <calculatedColumnFormula>+Tabla1103453454455456479108129136156173300307317[[#This Row],[Costo]]*Tabla1103453454455456479108129136156173300307317[[#This Row],[Cant.]]</calculatedColumnFormula>
    </tableColumn>
  </tableColumns>
  <tableStyleInfo name="TableStyleLight8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7" xr:uid="{31D9CC44-BC6E-4467-BE9B-CEAA5518260D}" name="Tabla1103453454455456479108130137157174301308318" displayName="Tabla1103453454455456479108130137157174301308318" ref="B29:F36" totalsRowCount="1" headerRowDxfId="5034" dataDxfId="5032" totalsRowDxfId="5030" headerRowBorderDxfId="5033" tableBorderDxfId="5031" totalsRowBorderDxfId="5029">
  <autoFilter ref="B29:F35" xr:uid="{13FBCEAD-C7B8-4FC5-957B-A5E5AEE709E4}"/>
  <sortState xmlns:xlrd2="http://schemas.microsoft.com/office/spreadsheetml/2017/richdata2" ref="B30:F35">
    <sortCondition descending="1" ref="F8"/>
  </sortState>
  <tableColumns count="5">
    <tableColumn id="2" xr3:uid="{AD828D0F-C936-4439-8AC5-E02FF817E4C1}" name="Ingrediente" dataDxfId="5028" totalsRowDxfId="5027"/>
    <tableColumn id="3" xr3:uid="{BE5C65A2-A04F-4286-B93D-7156BD888EE5}" name="Und" dataDxfId="5026" totalsRowDxfId="5025"/>
    <tableColumn id="4" xr3:uid="{0A481496-836B-4BCB-88EC-F28595C9362E}" name="Cant." dataDxfId="5024" totalsRowDxfId="5023"/>
    <tableColumn id="5" xr3:uid="{3C9B1E7D-6ABB-4C46-8420-3D418A297DBF}" name="Costo" dataDxfId="5022" totalsRowDxfId="5021" dataCellStyle="Moneda">
      <calculatedColumnFormula>+VLOOKUP(Tabla1103453454455456479108130137157174301308318[[#This Row],[Ingrediente]],#REF!,6,0)</calculatedColumnFormula>
    </tableColumn>
    <tableColumn id="6" xr3:uid="{E31498CF-D36A-416F-BEF8-4C69EFC97F50}" name="Total costo" totalsRowFunction="sum" dataDxfId="5020" totalsRowDxfId="5019" dataCellStyle="Moneda">
      <calculatedColumnFormula>+Tabla1103453454455456479108130137157174301308318[[#This Row],[Costo]]*Tabla1103453454455456479108130137157174301308318[[#This Row],[Cant.]]</calculatedColumnFormula>
    </tableColumn>
  </tableColumns>
  <tableStyleInfo name="TableStyleLight8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8" xr:uid="{CD90E59C-D48B-44DB-AC53-73BD56682E98}" name="Tabla1103453454455456479108131138166175302309319" displayName="Tabla1103453454455456479108131138166175302309319" ref="B41:F49" totalsRowCount="1" headerRowDxfId="5018" dataDxfId="5016" totalsRowDxfId="5014" headerRowBorderDxfId="5017" tableBorderDxfId="5015" totalsRowBorderDxfId="5013">
  <autoFilter ref="B41:F48" xr:uid="{A8736C73-67AA-48C5-B2F7-655C1CC0BBBD}"/>
  <sortState xmlns:xlrd2="http://schemas.microsoft.com/office/spreadsheetml/2017/richdata2" ref="B42:F48">
    <sortCondition descending="1" ref="F8"/>
  </sortState>
  <tableColumns count="5">
    <tableColumn id="2" xr3:uid="{1A18AF4E-D045-4BED-9EA7-A5F569CF1B23}" name="Ingrediente" dataDxfId="5012" totalsRowDxfId="5011"/>
    <tableColumn id="3" xr3:uid="{D361BA4E-C891-4FB1-B247-7EAA6373E946}" name="Und" dataDxfId="5010" totalsRowDxfId="5009"/>
    <tableColumn id="4" xr3:uid="{AEE886CB-A7C1-4CA1-8C01-284A4F65BDC3}" name="Cant." dataDxfId="5008" totalsRowDxfId="5007"/>
    <tableColumn id="5" xr3:uid="{AD309604-FB3F-497B-BE44-6CFF8C9E8120}" name="Costo" dataDxfId="5006" totalsRowDxfId="5005" dataCellStyle="Moneda">
      <calculatedColumnFormula>+VLOOKUP(Tabla1103453454455456479108131138166175302309319[[#This Row],[Ingrediente]],#REF!,6,0)</calculatedColumnFormula>
    </tableColumn>
    <tableColumn id="6" xr3:uid="{8267113C-AD65-42DF-AB22-A35B462D30EF}" name="Total costo" totalsRowFunction="sum" dataDxfId="5004" totalsRowDxfId="5003" dataCellStyle="Moneda">
      <calculatedColumnFormula>+Tabla1103453454455456479108131138166175302309319[[#This Row],[Costo]]*Tabla1103453454455456479108131138166175302309319[[#This Row],[Cant.]]</calculatedColumnFormula>
    </tableColumn>
  </tableColumns>
  <tableStyleInfo name="TableStyleLight8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9" xr:uid="{35575E9C-372A-4E58-9D80-EA9E1E8C6138}" name="Tabla1103453454455456479108132139167187303310320" displayName="Tabla1103453454455456479108132139167187303310320" ref="B52:F59" totalsRowCount="1" headerRowDxfId="5002" dataDxfId="5000" totalsRowDxfId="4998" headerRowBorderDxfId="5001" tableBorderDxfId="4999" totalsRowBorderDxfId="4997">
  <autoFilter ref="B52:F58" xr:uid="{2002B4E3-3288-4F9D-ADD0-A68FF641E479}"/>
  <sortState xmlns:xlrd2="http://schemas.microsoft.com/office/spreadsheetml/2017/richdata2" ref="B53:F58">
    <sortCondition descending="1" ref="F8"/>
  </sortState>
  <tableColumns count="5">
    <tableColumn id="2" xr3:uid="{076D3970-19FB-4F4A-9F5A-53B0F81BA69C}" name="Ingrediente" dataDxfId="4996" totalsRowDxfId="4995"/>
    <tableColumn id="3" xr3:uid="{59528372-20FD-4A4D-A1BE-0A5C5CAE6305}" name="Und" dataDxfId="4994" totalsRowDxfId="4993"/>
    <tableColumn id="4" xr3:uid="{011BD13A-777D-4DA9-B7E7-03461FAEA518}" name="Cant." dataDxfId="4992" totalsRowDxfId="4991"/>
    <tableColumn id="5" xr3:uid="{2AF1F336-74C5-4A18-B029-D193AD7BD059}" name="Costo" dataDxfId="4990" totalsRowDxfId="4989" dataCellStyle="Moneda">
      <calculatedColumnFormula>+VLOOKUP(Tabla1103453454455456479108132139167187303310320[[#This Row],[Ingrediente]],#REF!,6,0)</calculatedColumnFormula>
    </tableColumn>
    <tableColumn id="6" xr3:uid="{8F07E5BE-D60A-4C13-817C-8093957521AA}" name="Total costo" totalsRowFunction="sum" dataDxfId="4988" totalsRowDxfId="4987" dataCellStyle="Moneda">
      <calculatedColumnFormula>+Tabla1103453454455456479108132139167187303310320[[#This Row],[Costo]]*Tabla1103453454455456479108132139167187303310320[[#This Row],[Cant.]]</calculatedColumnFormula>
    </tableColumn>
  </tableColumns>
  <tableStyleInfo name="TableStyleLight8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0" xr:uid="{FDF80F77-2A60-4C74-BDEB-027E961AE17C}" name="Tabla1103453454455456479108133140168188304311321" displayName="Tabla1103453454455456479108133140168188304311321" ref="B63:F67" totalsRowCount="1" headerRowDxfId="4986" dataDxfId="4984" totalsRowDxfId="4982" headerRowBorderDxfId="4985" tableBorderDxfId="4983" totalsRowBorderDxfId="4981">
  <autoFilter ref="B63:F66" xr:uid="{E51661B7-AB33-4992-B1D2-B2FC3C6A14F5}"/>
  <sortState xmlns:xlrd2="http://schemas.microsoft.com/office/spreadsheetml/2017/richdata2" ref="B64:F66">
    <sortCondition descending="1" ref="F8"/>
  </sortState>
  <tableColumns count="5">
    <tableColumn id="2" xr3:uid="{6C9908CB-DE6D-43B7-AA0B-FBF0BB99434C}" name="Ingrediente" dataDxfId="4980" totalsRowDxfId="4979"/>
    <tableColumn id="3" xr3:uid="{13019162-6DA4-4877-8DC5-BD7E5190AC1F}" name="Und" dataDxfId="4978" totalsRowDxfId="4977"/>
    <tableColumn id="4" xr3:uid="{56D3BF82-814F-413C-AAD1-5B616157761B}" name="Cant." dataDxfId="4976" totalsRowDxfId="4975"/>
    <tableColumn id="5" xr3:uid="{C9396883-1025-4246-BA1E-9BCD748A76CB}" name="Costo" dataDxfId="4974" totalsRowDxfId="4973" dataCellStyle="Moneda">
      <calculatedColumnFormula>+VLOOKUP(Tabla1103453454455456479108133140168188304311321[[#This Row],[Ingrediente]],#REF!,6,0)</calculatedColumnFormula>
    </tableColumn>
    <tableColumn id="6" xr3:uid="{95B698B7-55E0-4B01-8D66-702058B9C720}" name="Total costo" totalsRowFunction="sum" dataDxfId="4972" totalsRowDxfId="4971" dataCellStyle="Moneda">
      <calculatedColumnFormula>+Tabla1103453454455456479108133140168188304311321[[#This Row],[Costo]]*Tabla1103453454455456479108133140168188304311321[[#This Row],[Cant.]]</calculatedColumnFormula>
    </tableColumn>
  </tableColumns>
  <tableStyleInfo name="TableStyleLight8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1" xr:uid="{C067DBD9-2C7B-4C59-8D16-5B8905E3742E}" name="Tabla1103453454455456479108134141171189305312322" displayName="Tabla1103453454455456479108134141171189305312322" ref="B82:F97" totalsRowCount="1" headerRowDxfId="4970" dataDxfId="4968" totalsRowDxfId="4966" headerRowBorderDxfId="4969" tableBorderDxfId="4967" totalsRowBorderDxfId="4965">
  <autoFilter ref="B82:F96" xr:uid="{ABD20643-9B69-4368-9A3B-AF77BC5AFE8B}"/>
  <sortState xmlns:xlrd2="http://schemas.microsoft.com/office/spreadsheetml/2017/richdata2" ref="B83:F96">
    <sortCondition descending="1" ref="F8"/>
  </sortState>
  <tableColumns count="5">
    <tableColumn id="2" xr3:uid="{ED93C2AA-2074-4A68-B5BF-22B5CAD9548F}" name="Ingrediente" dataDxfId="4964" totalsRowDxfId="4963"/>
    <tableColumn id="3" xr3:uid="{11485D39-D980-4BA8-B525-C9E6117B0F09}" name="Und" dataDxfId="4962" totalsRowDxfId="4961"/>
    <tableColumn id="4" xr3:uid="{D66C51DB-D1E8-4804-B2CD-8DB95ACD6CA1}" name="Cant." dataDxfId="4960" totalsRowDxfId="4959"/>
    <tableColumn id="5" xr3:uid="{78A519EA-957D-4A0B-A494-35F3F71D74B0}" name="Costo" dataDxfId="4958" totalsRowDxfId="4957" dataCellStyle="Moneda">
      <calculatedColumnFormula>+VLOOKUP(Tabla1103453454455456479108134141171189305312322[[#This Row],[Ingrediente]],#REF!,6,0)</calculatedColumnFormula>
    </tableColumn>
    <tableColumn id="6" xr3:uid="{FE57D5D6-4A8F-4618-939F-A19363959171}" name="Total costo" totalsRowFunction="sum" dataDxfId="4956" totalsRowDxfId="4955" dataCellStyle="Moneda">
      <calculatedColumnFormula>+Tabla1103453454455456479108134141171189305312322[[#This Row],[Costo]]*Tabla1103453454455456479108134141171189305312322[[#This Row],[Cant.]]</calculatedColumnFormula>
    </tableColumn>
  </tableColumns>
  <tableStyleInfo name="TableStyleLight8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ECE9A23E-8999-43D0-A0F3-265BDF1A3732}" name="Tabla104107113146" displayName="Tabla104107113146" ref="K6:K7" totalsRowShown="0" headerRowDxfId="4954">
  <autoFilter ref="K6:K7" xr:uid="{ECE9A23E-8999-43D0-A0F3-265BDF1A3732}"/>
  <tableColumns count="1">
    <tableColumn id="1" xr3:uid="{4FF2FF7F-34CA-4E09-8438-0F8740654FFA}" name="Descripcion de la carta"/>
  </tableColumns>
  <tableStyleInfo name="TableStyleLight8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6633DF8D-0430-4BFC-A6C9-F12F18242FC2}" name="Tabla104106109124167" displayName="Tabla104106109124167" ref="K9:K10" totalsRowShown="0" headerRowDxfId="4953">
  <autoFilter ref="K9:K10" xr:uid="{6633DF8D-0430-4BFC-A6C9-F12F18242FC2}"/>
  <tableColumns count="1">
    <tableColumn id="1" xr3:uid="{94AF6004-472D-410A-8ECE-4F7323E5C835}" name="PROCESO DE ELABORACIÓN"/>
  </tableColumns>
  <tableStyleInfo name="TableStyleLight8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882C25FA-840E-4DB6-A5CF-C371A37D6BC0}" name="Tabla104107113176" displayName="Tabla104107113176" ref="K17:K18" totalsRowShown="0" headerRowDxfId="4952">
  <autoFilter ref="K17:K18" xr:uid="{882C25FA-840E-4DB6-A5CF-C371A37D6BC0}"/>
  <tableColumns count="1">
    <tableColumn id="1" xr3:uid="{DD89BF8E-B50C-4FFD-B25A-76006A335D9D}" name="Descripcion de la carta"/>
  </tableColumns>
  <tableStyleInfo name="TableStyleLight8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5BDD4330-78A6-46EF-9387-10CD12CA843F}" name="Tabla104106109124181" displayName="Tabla104106109124181" ref="K20:K21" totalsRowShown="0" headerRowDxfId="4951">
  <autoFilter ref="K20:K21" xr:uid="{5BDD4330-78A6-46EF-9387-10CD12CA843F}"/>
  <tableColumns count="1">
    <tableColumn id="1" xr3:uid="{E2CE67A5-8978-4008-ABA3-D21AE5DFAB05}" name="PROCESO DE ELABORACIÓN"/>
  </tableColumns>
  <tableStyleInfo name="TableStyleLight8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8EBEE86D-ED3E-4B10-A688-E7864E7E4A8C}" name="Tabla104107113182" displayName="Tabla104107113182" ref="K28:K29" totalsRowShown="0" headerRowDxfId="4950">
  <autoFilter ref="K28:K29" xr:uid="{8EBEE86D-ED3E-4B10-A688-E7864E7E4A8C}"/>
  <tableColumns count="1">
    <tableColumn id="1" xr3:uid="{5879A3D8-5352-4281-94A4-3F7BFCF9FDE5}" name="Descripcion de la carta"/>
  </tableColumns>
  <tableStyleInfo name="TableStyleLight8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5F634722-4637-4229-B392-3C4EA7167FDD}" name="Tabla104106109124185" displayName="Tabla104106109124185" ref="K31:K32" totalsRowShown="0" headerRowDxfId="4949">
  <autoFilter ref="K31:K32" xr:uid="{5F634722-4637-4229-B392-3C4EA7167FDD}"/>
  <tableColumns count="1">
    <tableColumn id="1" xr3:uid="{FFDA022C-6041-4938-A535-81C912A9F41A}" name="PROCESO DE ELABORACIÓN"/>
  </tableColumns>
  <tableStyleInfo name="TableStyleLight8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05C0372-2567-48B3-8856-FC4F862CB472}" name="Tabla1103453454455456479108132139" displayName="Tabla1103453454455456479108132139" ref="B8:H16" totalsRowCount="1" headerRowDxfId="4948" dataDxfId="4946" totalsRowDxfId="4944" headerRowBorderDxfId="4947" tableBorderDxfId="4945" totalsRowBorderDxfId="4943">
  <autoFilter ref="B8:H15" xr:uid="{2002B4E3-3288-4F9D-ADD0-A68FF641E479}"/>
  <tableColumns count="7">
    <tableColumn id="2" xr3:uid="{E6D84E13-527D-4C10-B4E1-EED1321B8696}" name="Ingrediente" dataDxfId="4942" totalsRowDxfId="4941"/>
    <tableColumn id="3" xr3:uid="{F4DA7F96-F2B5-4CCD-B7AB-6656A615330F}" name="Und" dataDxfId="4940" totalsRowDxfId="4939"/>
    <tableColumn id="4" xr3:uid="{3938A879-F92C-4941-A928-AB2E299BFA99}" name="Cant." dataDxfId="4938" totalsRowDxfId="4937"/>
    <tableColumn id="1" xr3:uid="{30DED980-5BCB-4B02-8DB0-29A755BF4413}" name="Columna1" dataDxfId="4936" totalsRowDxfId="4935"/>
    <tableColumn id="7" xr3:uid="{9407C2A1-2698-4FD2-8028-ECB8BE759FA4}" name="Columna2" dataDxfId="4934" totalsRowDxfId="4933"/>
    <tableColumn id="5" xr3:uid="{DE39F5AB-434C-4F21-AF02-C44C4607CCD0}" name="Costo" dataDxfId="4932" totalsRowDxfId="4931" dataCellStyle="Moneda">
      <calculatedColumnFormula>+VLOOKUP(Tabla1103453454455456479108132139[[#This Row],[Ingrediente]],Tabla34[#All],3,0)</calculatedColumnFormula>
    </tableColumn>
    <tableColumn id="6" xr3:uid="{6C2765F5-1F8E-40CA-8273-9E6B1A1923BA}" name="Total costo" totalsRowFunction="sum" dataDxfId="4930" totalsRowDxfId="4929" dataCellStyle="Moneda">
      <calculatedColumnFormula>+Tabla1103453454455456479108132139[[#This Row],[Costo]]*Tabla1103453454455456479108132139[[#This Row],[Columna2]]</calculatedColumnFormula>
    </tableColumn>
  </tableColumns>
  <tableStyleInfo name="TableStyleLight8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48447300-0DDF-494E-9506-40582328A8A6}" name="Tabla1103453454455456479108130137157194" displayName="Tabla1103453454455456479108130137157194" ref="B22:H29" totalsRowCount="1" headerRowDxfId="4928" dataDxfId="4926" totalsRowDxfId="4924" headerRowBorderDxfId="4927" tableBorderDxfId="4925" totalsRowBorderDxfId="4923">
  <autoFilter ref="B22:H28" xr:uid="{1BDB651A-C9CA-4D9C-87E2-475A02E8A106}"/>
  <tableColumns count="7">
    <tableColumn id="2" xr3:uid="{F1550892-9B43-43D7-872C-B90F7C248CC2}" name="Ingrediente" dataDxfId="4922" totalsRowDxfId="4921"/>
    <tableColumn id="3" xr3:uid="{CC584525-D234-486B-A46F-2BF28D0BA532}" name="Und" dataDxfId="4920" totalsRowDxfId="4919"/>
    <tableColumn id="4" xr3:uid="{806F290B-39EB-4F6C-9625-E68D3E7205DD}" name="Cant." dataDxfId="4918" totalsRowDxfId="4917"/>
    <tableColumn id="1" xr3:uid="{BCB8C2EB-7BB7-4296-BC1D-87B2D69CAF40}" name="Columna1" dataDxfId="4916" totalsRowDxfId="4915"/>
    <tableColumn id="7" xr3:uid="{23393723-CA0C-4F4D-949C-7064A69E702A}" name="Columna2" dataDxfId="4914" totalsRowDxfId="4913"/>
    <tableColumn id="5" xr3:uid="{EDF48227-6E08-4A52-81F2-98E7979A4860}" name="Costo" dataDxfId="4912" totalsRowDxfId="4911" dataCellStyle="Moneda">
      <calculatedColumnFormula>+VLOOKUP(Tabla1103453454455456479108130137157194[[#This Row],[Ingrediente]],Tabla34[#All],3,0)</calculatedColumnFormula>
    </tableColumn>
    <tableColumn id="6" xr3:uid="{E68A3203-7E5F-4C2E-9111-4F77A2FEDB20}" name="Total costo" totalsRowFunction="sum" dataDxfId="4910" totalsRowDxfId="4909" dataCellStyle="Moneda">
      <calculatedColumnFormula>+Tabla1103453454455456479108130137157194[[#This Row],[Costo]]*Tabla1103453454455456479108130137157194[[#This Row],[Columna2]]</calculatedColumnFormula>
    </tableColumn>
  </tableColumns>
  <tableStyleInfo name="TableStyleLight8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1" xr:uid="{F1FF54D8-AE26-4B4B-BEFC-3AE1DF4168F8}" name="Tabla1103453454455456479108130137157194203212" displayName="Tabla1103453454455456479108130137157194203212" ref="B33:H40" totalsRowCount="1" headerRowDxfId="4908" dataDxfId="4906" totalsRowDxfId="4904" headerRowBorderDxfId="4907" tableBorderDxfId="4905" totalsRowBorderDxfId="4903">
  <autoFilter ref="B33:H39" xr:uid="{0CF43D10-F6E8-4F30-BC5D-ABC06F93B646}"/>
  <tableColumns count="7">
    <tableColumn id="2" xr3:uid="{12E84B2E-642D-4B75-BCBE-BD31715705A3}" name="Ingrediente" dataDxfId="4902" totalsRowDxfId="4901"/>
    <tableColumn id="3" xr3:uid="{14079C23-6187-44DA-A808-8685BEFF7FE4}" name="Und" dataDxfId="4900" totalsRowDxfId="4899"/>
    <tableColumn id="4" xr3:uid="{A7C748A9-7C4D-4A1A-A4CF-739780542260}" name="Cant." dataDxfId="4898" totalsRowDxfId="4897"/>
    <tableColumn id="1" xr3:uid="{7BCD3800-0E75-428D-BAFF-54A9718D4ECB}" name="Columna1" dataDxfId="4896" totalsRowDxfId="4895"/>
    <tableColumn id="7" xr3:uid="{1B1CA822-2FCA-4828-9AF0-3F5846E81F77}" name="Columna2" dataDxfId="4894" totalsRowDxfId="4893"/>
    <tableColumn id="5" xr3:uid="{A7337F59-6D7A-4F21-B585-C936208FDA47}" name="Costo" dataDxfId="4892" totalsRowDxfId="4891" dataCellStyle="Moneda">
      <calculatedColumnFormula>+VLOOKUP(Tabla1103453454455456479108130137157194203212[[#This Row],[Ingrediente]],Tabla34[#All],3,0)</calculatedColumnFormula>
    </tableColumn>
    <tableColumn id="6" xr3:uid="{A80C0D14-6042-49E6-BD1F-A2D74C485A97}" name="Total costo" totalsRowFunction="sum" dataDxfId="4890" totalsRowDxfId="4889" dataCellStyle="Moneda">
      <calculatedColumnFormula>+Tabla1103453454455456479108130137157194203212[[#This Row],[Costo]]*Tabla1103453454455456479108130137157194203212[[#This Row],[Columna2]]</calculatedColumnFormula>
    </tableColumn>
  </tableColumns>
  <tableStyleInfo name="TableStyleLight8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5" xr:uid="{FFD8B93E-6F7A-46F3-861E-7A533666A8A1}" name="Tabla1103453454455456479108129136245286" displayName="Tabla1103453454455456479108129136245286" ref="B44:H50" totalsRowCount="1" headerRowDxfId="4888" dataDxfId="4886" totalsRowDxfId="4884" headerRowBorderDxfId="4887" tableBorderDxfId="4885" totalsRowBorderDxfId="4883">
  <autoFilter ref="B44:H49" xr:uid="{CCA8B115-818F-4AFD-9F8A-BB308D3F8D85}"/>
  <sortState xmlns:xlrd2="http://schemas.microsoft.com/office/spreadsheetml/2017/richdata2" ref="B45:H49">
    <sortCondition descending="1" ref="H47"/>
  </sortState>
  <tableColumns count="7">
    <tableColumn id="2" xr3:uid="{55161BB1-FAED-4EF0-BFF6-81D1B01E9555}" name="Ingrediente" dataDxfId="4882" totalsRowDxfId="4881"/>
    <tableColumn id="3" xr3:uid="{4FEE4755-F391-4D77-9843-A185F832D289}" name="Und" dataDxfId="4880" totalsRowDxfId="4879"/>
    <tableColumn id="4" xr3:uid="{E5B0E726-2AF1-4BF1-9280-8BF600EED77D}" name="Cant." dataDxfId="4878" totalsRowDxfId="4877"/>
    <tableColumn id="1" xr3:uid="{F8DD6EE2-B648-483B-8305-DD1B48D33856}" name="Columna1" dataDxfId="4876" totalsRowDxfId="4875"/>
    <tableColumn id="7" xr3:uid="{F56B2427-68DA-43F4-9C37-356AB8E48DEE}" name="Columna2" dataDxfId="4874" totalsRowDxfId="4873"/>
    <tableColumn id="5" xr3:uid="{FAA8C552-870F-4070-8DE7-4FF97A7F1CFA}" name="Costo" dataDxfId="4872" totalsRowDxfId="4871" dataCellStyle="Moneda">
      <calculatedColumnFormula>+VLOOKUP(Tabla1103453454455456479108129136245286[[#This Row],[Ingrediente]],Tabla34[#All],3,0)</calculatedColumnFormula>
    </tableColumn>
    <tableColumn id="6" xr3:uid="{BAA1662A-1250-4455-88D7-FB33629E908B}" name="Total costo" totalsRowFunction="sum" dataDxfId="4870" totalsRowDxfId="4869" dataCellStyle="Moneda">
      <calculatedColumnFormula>+Tabla1103453454455456479108129136245286[[#This Row],[Costo]]*Tabla1103453454455456479108129136245286[[#This Row],[Columna2]]</calculatedColumnFormula>
    </tableColumn>
  </tableColumns>
  <tableStyleInfo name="TableStyleLight8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0CCB7F68-5ED1-4C8F-A31D-FA67CB42D1BD}" name="Tabla1103453454455456479108133140249150" displayName="Tabla1103453454455456479108133140249150" ref="B56:H61" totalsRowCount="1" headerRowDxfId="4868" dataDxfId="4866" totalsRowDxfId="4864" headerRowBorderDxfId="4867" tableBorderDxfId="4865" totalsRowBorderDxfId="4863">
  <autoFilter ref="B56:H60" xr:uid="{C8C53BBB-A534-47DD-A5AA-BBFA77A888B8}"/>
  <tableColumns count="7">
    <tableColumn id="2" xr3:uid="{84D1DCB1-850D-47F0-8BFE-C78A74930B7E}" name="Ingrediente" dataDxfId="4862" totalsRowDxfId="4861"/>
    <tableColumn id="3" xr3:uid="{566EA3D8-96F5-4FF3-99F3-8A9469AC3518}" name="Und" dataDxfId="4860" totalsRowDxfId="4859"/>
    <tableColumn id="4" xr3:uid="{F311F20B-5D84-457B-AE77-BF5AD727311E}" name="Cant." dataDxfId="4858" totalsRowDxfId="4857"/>
    <tableColumn id="1" xr3:uid="{4C70E05D-9D92-4BB2-A9E8-6B54EC364508}" name="Columna1" dataDxfId="4856" totalsRowDxfId="4855"/>
    <tableColumn id="7" xr3:uid="{0CA2AA2F-10FB-42FB-A59A-A4CF5D16F04A}" name="Columna2" dataDxfId="4854" totalsRowDxfId="4853"/>
    <tableColumn id="5" xr3:uid="{A4061E0C-ED11-463E-8E8F-9841E8785418}" name="Costo" dataDxfId="4852" totalsRowDxfId="4851" dataCellStyle="Moneda">
      <calculatedColumnFormula>+VLOOKUP(Tabla1103453454455456479108133140249150[[#This Row],[Ingrediente]],Tabla34[#All],3,0)</calculatedColumnFormula>
    </tableColumn>
    <tableColumn id="6" xr3:uid="{C67827E3-C671-499D-AA8D-12AC7DCA329C}" name="Total costo" totalsRowFunction="sum" dataDxfId="4850" totalsRowDxfId="4849" dataCellStyle="Moneda">
      <calculatedColumnFormula>+Tabla1103453454455456479108133140249150[[#This Row],[Costo]]*Tabla1103453454455456479108133140249150[[#This Row],[Columna2]]</calculatedColumnFormula>
    </tableColumn>
  </tableColumns>
  <tableStyleInfo name="TableStyleLight8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55EAA44-CC32-4A61-858D-DBEEB14BCE38}" name="Tabla1103453454455456479108134141272164" displayName="Tabla1103453454455456479108134141272164" ref="B67:H71" totalsRowCount="1" headerRowDxfId="4848" dataDxfId="4846" totalsRowDxfId="4844" headerRowBorderDxfId="4847" tableBorderDxfId="4845" totalsRowBorderDxfId="4843">
  <autoFilter ref="B67:H70" xr:uid="{8F672CC8-AAC9-4BB1-AEEF-DCC090B7A356}"/>
  <tableColumns count="7">
    <tableColumn id="2" xr3:uid="{66162C0D-7EC1-438C-992B-2561E62A17CB}" name="Ingrediente" dataDxfId="4842" totalsRowDxfId="4841"/>
    <tableColumn id="3" xr3:uid="{20C8C8F0-F404-4F6C-8FB9-CE03FDC10962}" name="Und" dataDxfId="4840" totalsRowDxfId="4839"/>
    <tableColumn id="4" xr3:uid="{FE64EE64-5CB6-459D-8311-47913921C3F1}" name="Cant." dataDxfId="4838" totalsRowDxfId="4837"/>
    <tableColumn id="1" xr3:uid="{8EDDDE1F-F0A4-44D2-91EE-6F182EFB1278}" name="Columna1" dataDxfId="4836" totalsRowDxfId="4835"/>
    <tableColumn id="7" xr3:uid="{E8144406-1A16-46CF-BAFD-C13968CE1F1C}" name="Columna2" dataDxfId="4834" totalsRowDxfId="4833"/>
    <tableColumn id="5" xr3:uid="{588801F6-44F0-4CFC-B0D3-67B5A0FDBA19}" name="Costo" dataDxfId="4832" totalsRowDxfId="4831" dataCellStyle="Moneda">
      <calculatedColumnFormula>+VLOOKUP(Tabla1103453454455456479108134141272164[[#This Row],[Ingrediente]],Tabla34[#All],3,0)</calculatedColumnFormula>
    </tableColumn>
    <tableColumn id="6" xr3:uid="{547EF5DD-ABD6-4117-8FD1-F649B0D0043D}" name="Total costo" totalsRowFunction="sum" dataDxfId="4830" totalsRowDxfId="4829" dataCellStyle="Moneda">
      <calculatedColumnFormula>+Tabla1103453454455456479108134141272164[[#This Row],[Costo]]*Tabla1103453454455456479108134141272164[[#This Row],[Columna2]]</calculatedColumnFormula>
    </tableColumn>
  </tableColumns>
  <tableStyleInfo name="TableStyleLight8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C6D3E726-A9A8-4C1F-A844-62012B37CE2C}" name="Tabla1103453454455456479108135112190275165" displayName="Tabla1103453454455456479108135112190275165" ref="B78:H85" totalsRowCount="1" headerRowDxfId="4828" dataDxfId="4826" totalsRowDxfId="4824" headerRowBorderDxfId="4827" tableBorderDxfId="4825" totalsRowBorderDxfId="4823">
  <autoFilter ref="B78:H84" xr:uid="{7CFC57DD-2F49-479F-972F-8707A77063EC}"/>
  <tableColumns count="7">
    <tableColumn id="2" xr3:uid="{CCCF3410-96E6-4E8C-BAF6-FB7782842E86}" name="Ingrediente" dataDxfId="4822" totalsRowDxfId="4821"/>
    <tableColumn id="3" xr3:uid="{04B52F8E-02AC-4428-B0B4-53212DA37E8F}" name="Und" dataDxfId="4820" totalsRowDxfId="4819"/>
    <tableColumn id="4" xr3:uid="{C0DA2D93-B6D9-4975-A77B-142F6655A4AC}" name="Cant." dataDxfId="4818" totalsRowDxfId="4817"/>
    <tableColumn id="1" xr3:uid="{324EBF16-CC39-46D6-A129-9FA6437744D6}" name="Columna1" dataDxfId="4816" totalsRowDxfId="4815"/>
    <tableColumn id="7" xr3:uid="{D7B18041-2457-4AE4-A4B1-94D0D3FC6D82}" name="Columna2" dataDxfId="4814" totalsRowDxfId="4813"/>
    <tableColumn id="5" xr3:uid="{110CC14B-2D6D-482A-BE91-B48F3EAACB25}" name="Costo" dataDxfId="4812" totalsRowDxfId="4811" dataCellStyle="Moneda">
      <calculatedColumnFormula>+VLOOKUP(Tabla1103453454455456479108135112190275165[[#This Row],[Ingrediente]],Tabla34[#All],3,0)</calculatedColumnFormula>
    </tableColumn>
    <tableColumn id="6" xr3:uid="{8931C1DA-8094-4FBA-B14A-18520BAE43FC}" name="Total costo" totalsRowFunction="sum" dataDxfId="4810" totalsRowDxfId="4809" dataCellStyle="Moneda">
      <calculatedColumnFormula>+Tabla1103453454455456479108135112190275165[[#This Row],[Costo]]*Tabla1103453454455456479108135112190275165[[#This Row],[Columna2]]</calculatedColumnFormula>
    </tableColumn>
  </tableColumns>
  <tableStyleInfo name="TableStyleLight8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634F00BA-41AF-4A71-ABFB-4B2F08C5DA9B}" name="Tabla1103453454455456479108129136156191276169" displayName="Tabla1103453454455456479108129136156191276169" ref="B90:H97" totalsRowCount="1" headerRowDxfId="4808" dataDxfId="4806" totalsRowDxfId="4804" headerRowBorderDxfId="4807" tableBorderDxfId="4805" totalsRowBorderDxfId="4803">
  <autoFilter ref="B90:H96" xr:uid="{8B5067E5-E52F-4AE1-B08D-0820BBC18512}"/>
  <tableColumns count="7">
    <tableColumn id="2" xr3:uid="{E158F49D-7FAD-4D5D-97C4-56C2835B7809}" name="Ingrediente" dataDxfId="4802" totalsRowDxfId="4801"/>
    <tableColumn id="3" xr3:uid="{FCA11CB8-B0E8-40BE-A870-B0DAF4D07AFD}" name="Und" dataDxfId="4800" totalsRowDxfId="4799"/>
    <tableColumn id="4" xr3:uid="{6BE0805E-A859-4380-BA13-2F7C5BF655FA}" name="Cant." dataDxfId="4798" totalsRowDxfId="4797"/>
    <tableColumn id="1" xr3:uid="{758D6CCC-27B1-44D2-8143-E7EE3009EB36}" name="Columna1" dataDxfId="4796" totalsRowDxfId="4795"/>
    <tableColumn id="7" xr3:uid="{107838FF-0240-44CD-8AAC-D790BDF670A2}" name="Columna2" dataDxfId="4794" totalsRowDxfId="4793"/>
    <tableColumn id="5" xr3:uid="{252368F0-E91F-4612-B6A7-7A78792521C7}" name="Costo" dataDxfId="4792" totalsRowDxfId="4791" dataCellStyle="Moneda">
      <calculatedColumnFormula>+VLOOKUP(Tabla1103453454455456479108129136156191276169[[#This Row],[Ingrediente]],Tabla34[#All],3,0)</calculatedColumnFormula>
    </tableColumn>
    <tableColumn id="6" xr3:uid="{845FC974-C88A-4BC3-A3AA-270B86ACB723}" name="Total costo" totalsRowFunction="sum" dataDxfId="4790" totalsRowDxfId="4789" dataCellStyle="Moneda">
      <calculatedColumnFormula>+Tabla1103453454455456479108129136156191276169[[#This Row],[Costo]]*Tabla1103453454455456479108129136156191276169[[#This Row],[Columna2]]</calculatedColumnFormula>
    </tableColumn>
  </tableColumns>
  <tableStyleInfo name="TableStyleLight8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BB38CA7F-458D-4EA4-9480-04C11CEBD39E}" name="Tabla1103453454455456479108130137157192277170" displayName="Tabla1103453454455456479108130137157192277170" ref="B105:H113" totalsRowCount="1" headerRowDxfId="4788" dataDxfId="4786" totalsRowDxfId="4784" headerRowBorderDxfId="4787" tableBorderDxfId="4785" totalsRowBorderDxfId="4783">
  <autoFilter ref="B105:H112" xr:uid="{6DB15D20-8E39-42A8-B82F-7F728CE98E03}"/>
  <tableColumns count="7">
    <tableColumn id="2" xr3:uid="{0F78DCE5-BA6E-4097-BC62-7BA7549C6F2A}" name="Ingrediente" dataDxfId="4782" totalsRowDxfId="4781"/>
    <tableColumn id="3" xr3:uid="{73AA31A5-18EA-4071-9FB7-D444836BCA39}" name="Und" dataDxfId="4780" totalsRowDxfId="4779"/>
    <tableColumn id="4" xr3:uid="{5F26E622-88E9-4558-AAC1-63270DD6E9FF}" name="Cant." dataDxfId="4778" totalsRowDxfId="4777"/>
    <tableColumn id="1" xr3:uid="{014C40D2-14A6-4A3A-B1AA-AA3E835F12BF}" name="Columna1" dataDxfId="4776" totalsRowDxfId="4775"/>
    <tableColumn id="7" xr3:uid="{C7368E33-88AC-445B-B36E-A2EE5D7A17A3}" name="Columna2" dataDxfId="4774" totalsRowDxfId="4773"/>
    <tableColumn id="5" xr3:uid="{07767467-713E-44EB-A8D9-049862B45B42}" name="Costo" dataDxfId="4772" totalsRowDxfId="4771" dataCellStyle="Moneda">
      <calculatedColumnFormula>+VLOOKUP(Tabla1103453454455456479108130137157192277170[[#This Row],[Ingrediente]],Tabla34[#All],3,0)</calculatedColumnFormula>
    </tableColumn>
    <tableColumn id="6" xr3:uid="{6FF610FC-8E84-4273-BD44-AA2AC864D584}" name="Total costo" totalsRowFunction="sum" dataDxfId="4770" totalsRowDxfId="4769" dataCellStyle="Moneda">
      <calculatedColumnFormula>+Tabla1103453454455456479108130137157192277170[[#This Row],[Costo]]*Tabla1103453454455456479108130137157192277170[[#This Row],[Cant.]]</calculatedColumnFormula>
    </tableColumn>
  </tableColumns>
  <tableStyleInfo name="TableStyleLight8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DC30FF7E-94D5-420D-8F5A-CFED9BB99E83}" name="Tabla1103453454455456479108130137157193278186" displayName="Tabla1103453454455456479108130137157193278186" ref="B117:H126" totalsRowCount="1" headerRowDxfId="4768" dataDxfId="4766" totalsRowDxfId="4764" headerRowBorderDxfId="4767" tableBorderDxfId="4765" totalsRowBorderDxfId="4763">
  <autoFilter ref="B117:H125" xr:uid="{4B16D87F-2A53-49F5-AE76-EEB952B3DE1B}"/>
  <tableColumns count="7">
    <tableColumn id="2" xr3:uid="{98FA6527-898B-4E24-BD4D-5D2863F5F5F9}" name="Ingrediente" dataDxfId="4762" totalsRowDxfId="4761"/>
    <tableColumn id="3" xr3:uid="{CB9C7415-BAC3-4ADB-89A8-673CF9083CD6}" name="Und" dataDxfId="4760" totalsRowDxfId="4759"/>
    <tableColumn id="4" xr3:uid="{C0D5BCED-427B-4DC7-95B2-92A508FE219C}" name="Cant." dataDxfId="4758" totalsRowDxfId="4757"/>
    <tableColumn id="1" xr3:uid="{17B6671E-C7D9-4443-AB37-DE44EC2864BB}" name="Columna1" dataDxfId="4756" totalsRowDxfId="4755"/>
    <tableColumn id="7" xr3:uid="{DDBB90B8-8837-4D28-B42E-38EF46234033}" name="Columna2" dataDxfId="4754" totalsRowDxfId="4753"/>
    <tableColumn id="5" xr3:uid="{2DF1EF8D-9648-4A22-A287-44131DBFA60E}" name="Costo" dataDxfId="4752" totalsRowDxfId="4751" dataCellStyle="Moneda">
      <calculatedColumnFormula>+VLOOKUP(Tabla1103453454455456479108130137157193278186[[#This Row],[Ingrediente]],Tabla34[#All],3,0)</calculatedColumnFormula>
    </tableColumn>
    <tableColumn id="6" xr3:uid="{63AFFC03-D8B7-4392-BADC-B678EF804C62}" name="Total costo" totalsRowFunction="sum" dataDxfId="4750" totalsRowDxfId="4749" dataCellStyle="Moneda">
      <calculatedColumnFormula>+Tabla1103453454455456479108130137157193278186[[#This Row],[Costo]]*Tabla1103453454455456479108130137157193278186[[#This Row],[Columna2]]</calculatedColumnFormula>
    </tableColumn>
  </tableColumns>
  <tableStyleInfo name="TableStyleLight8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1" xr:uid="{6DAFE562-0442-4424-AB8F-0B1852B8644E}" name="Tabla1103453454455456479108130137157193278186272" displayName="Tabla1103453454455456479108130137157193278186272" ref="B131:H137" totalsRowCount="1" headerRowDxfId="4748" dataDxfId="4746" totalsRowDxfId="4744" headerRowBorderDxfId="4747" tableBorderDxfId="4745" totalsRowBorderDxfId="4743">
  <autoFilter ref="B131:H136" xr:uid="{2834D9F9-4A70-4101-A141-2AE73402264E}"/>
  <tableColumns count="7">
    <tableColumn id="2" xr3:uid="{0139FBD6-BFE5-4CEA-91F3-94BDD3933621}" name="Ingrediente" dataDxfId="4742" totalsRowDxfId="4741"/>
    <tableColumn id="3" xr3:uid="{18F649D2-0E29-4F20-841F-C03F719A079A}" name="Und" dataDxfId="4740" totalsRowDxfId="4739"/>
    <tableColumn id="4" xr3:uid="{0AC7BF20-3519-49B0-BA89-B1F76367F649}" name="Cant." dataDxfId="4738" totalsRowDxfId="4737"/>
    <tableColumn id="1" xr3:uid="{A1ADE7F8-F760-4EE8-968E-1FBC4F1FBA49}" name="Columna1" dataDxfId="4736" totalsRowDxfId="4735"/>
    <tableColumn id="7" xr3:uid="{D890F25C-E3C3-4C62-A15C-EDAA20F29F68}" name="Columna2" dataDxfId="4734" totalsRowDxfId="4733"/>
    <tableColumn id="5" xr3:uid="{768C9887-5448-465F-99BA-480B0C2F1BB7}" name="Costo" dataDxfId="4732" totalsRowDxfId="4731" dataCellStyle="Moneda">
      <calculatedColumnFormula>+VLOOKUP(Tabla1103453454455456479108130137157193278186272[[#This Row],[Ingrediente]],Tabla34[#All],3,0)</calculatedColumnFormula>
    </tableColumn>
    <tableColumn id="6" xr3:uid="{B61B733E-0D10-463E-B1B8-7783CC83FDDF}" name="Total costo" totalsRowFunction="sum" dataDxfId="4730" totalsRowDxfId="4729" dataCellStyle="Moneda">
      <calculatedColumnFormula>+Tabla1103453454455456479108130137157193278186272[[#This Row],[Costo]]*Tabla1103453454455456479108130137157193278186272[[#This Row],[Columna2]]</calculatedColumnFormula>
    </tableColumn>
  </tableColumns>
  <tableStyleInfo name="TableStyleLight8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77268D3A-CDF2-47EB-BC5F-200BC184A317}" name="Tabla1103453454455456479108133" displayName="Tabla1103453454455456479108133" ref="B8:H30" totalsRowCount="1" headerRowDxfId="4728" dataDxfId="4726" totalsRowDxfId="4724" headerRowBorderDxfId="4727" tableBorderDxfId="4725" totalsRowBorderDxfId="4723">
  <autoFilter ref="B8:H29" xr:uid="{E51661B7-AB33-4992-B1D2-B2FC3C6A14F5}"/>
  <sortState xmlns:xlrd2="http://schemas.microsoft.com/office/spreadsheetml/2017/richdata2" ref="B9:H28">
    <sortCondition descending="1" ref="H11:H28"/>
  </sortState>
  <tableColumns count="7">
    <tableColumn id="2" xr3:uid="{BDF446C5-320C-4A6D-ABDF-AF070DFA8AF9}" name="Ingrediente" dataDxfId="4722" totalsRowDxfId="4721"/>
    <tableColumn id="3" xr3:uid="{F55B4B9F-E15C-402A-B883-6DCFE1D86F90}" name="Und" dataDxfId="4720" totalsRowDxfId="4719"/>
    <tableColumn id="4" xr3:uid="{03781507-FD2A-47B2-A32F-06F3E69A5E63}" name="Unidades Netas" dataDxfId="4718" totalsRowDxfId="4717"/>
    <tableColumn id="7" xr3:uid="{326D857E-A7EC-4784-A590-6A4036E89B8A}" name="% Merma" dataDxfId="4716" totalsRowDxfId="4715"/>
    <tableColumn id="1" xr3:uid="{7341421D-B476-4A4F-9BAB-85E25639AB00}" name="Unidades" dataDxfId="4714" totalsRowDxfId="4713"/>
    <tableColumn id="5" xr3:uid="{D15D75CF-4744-492C-A692-EDFB860DF60A}" name="Costo" dataDxfId="4712" totalsRowDxfId="4711" dataCellStyle="Moneda">
      <calculatedColumnFormula>+VLOOKUP(Tabla1103453454455456479108133[[#This Row],[Ingrediente]],Tabla34[#All],3,0)</calculatedColumnFormula>
    </tableColumn>
    <tableColumn id="6" xr3:uid="{4EB80DED-2613-4408-A91D-BF9C9B72B8FA}" name="Total costo" totalsRowFunction="sum" dataDxfId="4710" totalsRowDxfId="4709" dataCellStyle="Moneda">
      <calculatedColumnFormula>+Tabla1103453454455456479108133[[#This Row],[Costo]]*Tabla1103453454455456479108133[[#This Row],[Unidades]]</calculatedColumnFormula>
    </tableColumn>
  </tableColumns>
  <tableStyleInfo name="TableStyleLight8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17DA212A-1FE1-4408-BFF0-AE78656AE1E0}" name="Tabla1103453454455456479108134" displayName="Tabla1103453454455456479108134" ref="B34:H52" totalsRowCount="1" headerRowDxfId="4708" dataDxfId="4706" totalsRowDxfId="4704" headerRowBorderDxfId="4707" tableBorderDxfId="4705" totalsRowBorderDxfId="4703">
  <autoFilter ref="B34:H51" xr:uid="{ABD20643-9B69-4368-9A3B-AF77BC5AFE8B}"/>
  <sortState xmlns:xlrd2="http://schemas.microsoft.com/office/spreadsheetml/2017/richdata2" ref="B35:H49">
    <sortCondition descending="1" ref="H36:H49"/>
  </sortState>
  <tableColumns count="7">
    <tableColumn id="2" xr3:uid="{35A452D0-ABD4-4A3A-9796-DF1F2C6101E7}" name="Ingrediente" dataDxfId="4702" totalsRowDxfId="4701"/>
    <tableColumn id="3" xr3:uid="{51EDFBF9-D06B-485C-9F23-3854D7BE4959}" name="Und" dataDxfId="4700" totalsRowDxfId="4699"/>
    <tableColumn id="4" xr3:uid="{B0D86D78-4A5B-4F25-BBC0-357FD4CA8E6E}" name="Unidades Netas" dataDxfId="4698" totalsRowDxfId="4697"/>
    <tableColumn id="7" xr3:uid="{164AA7F8-2CEC-493B-90BC-92B97FD531B4}" name="% Merma" dataDxfId="4696" totalsRowDxfId="4695"/>
    <tableColumn id="1" xr3:uid="{7346E33A-0848-4A5C-B330-E2D4851C9A7A}" name="Unidades" dataDxfId="4694" totalsRowDxfId="4693"/>
    <tableColumn id="5" xr3:uid="{18F46B86-A0B4-4E84-8987-A1840774931D}" name="Costo" dataDxfId="4692" totalsRowDxfId="4691" dataCellStyle="Moneda">
      <calculatedColumnFormula>+VLOOKUP(Tabla1103453454455456479108134[[#This Row],[Ingrediente]],Tabla34[#All],3,0)</calculatedColumnFormula>
    </tableColumn>
    <tableColumn id="6" xr3:uid="{132E5EF5-D163-46F1-9BB0-2E07587C67C1}" name="Total costo" totalsRowFunction="sum" dataDxfId="4690" totalsRowDxfId="4689" dataCellStyle="Moneda">
      <calculatedColumnFormula>+Tabla1103453454455456479108134[[#This Row],[Costo]]*Tabla1103453454455456479108134[[#This Row],[Unidades]]</calculatedColumnFormula>
    </tableColumn>
  </tableColumns>
  <tableStyleInfo name="TableStyleLight8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12BCD45C-F952-4A05-A300-00D6ED07E0BE}" name="Tabla110345345445545647910813431" displayName="Tabla110345345445545647910813431" ref="B55:H71" totalsRowCount="1" headerRowDxfId="4688" dataDxfId="4686" totalsRowDxfId="4684" headerRowBorderDxfId="4687" tableBorderDxfId="4685" totalsRowBorderDxfId="4683">
  <autoFilter ref="B55:H70" xr:uid="{6834870A-CD75-48DD-92A8-377823BC8815}"/>
  <sortState xmlns:xlrd2="http://schemas.microsoft.com/office/spreadsheetml/2017/richdata2" ref="B56:H67">
    <sortCondition descending="1" ref="H60"/>
  </sortState>
  <tableColumns count="7">
    <tableColumn id="2" xr3:uid="{D3EC6243-7DC8-414D-8421-33B7AE1D3600}" name="Ingrediente" dataDxfId="4682" totalsRowDxfId="4681"/>
    <tableColumn id="3" xr3:uid="{C7361BAE-BCC3-4E48-86B6-82EC55390967}" name="Und" dataDxfId="4680" totalsRowDxfId="4679"/>
    <tableColumn id="4" xr3:uid="{21768E6D-0E1F-4259-BFE8-EF30B5733928}" name="Unidades Netas" dataDxfId="4678" totalsRowDxfId="4677"/>
    <tableColumn id="7" xr3:uid="{24A39A74-F0D6-460A-974A-D64807031B0B}" name="% Merma" dataDxfId="4676" totalsRowDxfId="4675"/>
    <tableColumn id="1" xr3:uid="{10676CDF-86F1-4281-B037-713F730DAE07}" name="Unidades" dataDxfId="4674" totalsRowDxfId="4673"/>
    <tableColumn id="5" xr3:uid="{0FE57581-2B32-4EF9-994A-FF837961DFE7}" name="Costo" dataDxfId="4672" totalsRowDxfId="4671" dataCellStyle="Moneda">
      <calculatedColumnFormula>+VLOOKUP(Tabla110345345445545647910813431[[#This Row],[Ingrediente]],Tabla34[#All],3,0)</calculatedColumnFormula>
    </tableColumn>
    <tableColumn id="6" xr3:uid="{28690F18-152B-4D69-B809-C3457A1C2E1C}" name="Total costo" totalsRowFunction="sum" dataDxfId="4670" totalsRowDxfId="4669" dataCellStyle="Moneda">
      <calculatedColumnFormula>+Tabla110345345445545647910813431[[#This Row],[Costo]]*Tabla110345345445545647910813431[[#This Row],[Unidades]]</calculatedColumnFormula>
    </tableColumn>
  </tableColumns>
  <tableStyleInfo name="TableStyleLight8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CF71CE67-357C-4CB0-8142-7381C58AE68B}" name="Tabla110345345445545647910813447" displayName="Tabla110345345445545647910813447" ref="B74:H93" totalsRowCount="1" headerRowDxfId="4668" dataDxfId="4666" totalsRowDxfId="4664" headerRowBorderDxfId="4667" tableBorderDxfId="4665" totalsRowBorderDxfId="4663">
  <autoFilter ref="B74:H92" xr:uid="{04C5DE6B-BAB5-4EC1-B2A9-313D9E1B04C3}"/>
  <sortState xmlns:xlrd2="http://schemas.microsoft.com/office/spreadsheetml/2017/richdata2" ref="B75:H83">
    <sortCondition descending="1" ref="G79:G83"/>
  </sortState>
  <tableColumns count="7">
    <tableColumn id="2" xr3:uid="{6DBDD14C-B1A5-4BAF-A883-2FC513E58C2D}" name="Ingrediente" dataDxfId="4662" totalsRowDxfId="4661"/>
    <tableColumn id="3" xr3:uid="{5F35DEA9-3F98-4251-BE76-4A261CCCEE85}" name="Und" dataDxfId="4660" totalsRowDxfId="4659"/>
    <tableColumn id="4" xr3:uid="{5B25507C-DBD7-479F-A8F9-BA204A7C8048}" name="Unidades Netas" dataDxfId="4658" totalsRowDxfId="4657"/>
    <tableColumn id="7" xr3:uid="{9F1325E3-88D2-4CBB-9B8D-D47A37F22513}" name="% Merma" dataDxfId="4656" totalsRowDxfId="4655"/>
    <tableColumn id="1" xr3:uid="{E89C57AB-1AAD-47E8-8922-A04F26A7DB3D}" name="Unidades" dataDxfId="4654" totalsRowDxfId="4653"/>
    <tableColumn id="5" xr3:uid="{0E436328-BF03-48BE-BCCD-4099BA240CCA}" name="Costo" dataDxfId="4652" totalsRowDxfId="4651" dataCellStyle="Moneda">
      <calculatedColumnFormula>+VLOOKUP(Tabla110345345445545647910813447[[#This Row],[Ingrediente]],Tabla34[#All],3,0)</calculatedColumnFormula>
    </tableColumn>
    <tableColumn id="6" xr3:uid="{04D4F0F8-6BC2-4D7A-9364-245E51DA5E16}" name="Total costo" totalsRowFunction="sum" dataDxfId="4650" totalsRowDxfId="4649" dataCellStyle="Moneda">
      <calculatedColumnFormula>+Tabla110345345445545647910813447[[#This Row],[Costo]]*Tabla110345345445545647910813447[[#This Row],[Unidades]]</calculatedColumnFormula>
    </tableColumn>
  </tableColumns>
  <tableStyleInfo name="TableStyleLight8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543795B7-C253-42CA-B104-3910377B0D82}" name="Tabla11034534544554564791081345277" displayName="Tabla11034534544554564791081345277" ref="B97:H118" totalsRowCount="1" headerRowDxfId="4648" dataDxfId="4646" totalsRowDxfId="4644" headerRowBorderDxfId="4647" tableBorderDxfId="4645" totalsRowBorderDxfId="4643">
  <autoFilter ref="B97:H117" xr:uid="{543795B7-C253-42CA-B104-3910377B0D82}"/>
  <tableColumns count="7">
    <tableColumn id="2" xr3:uid="{06AE0BCD-7A26-474D-B6E6-A23D642DEA28}" name="Ingrediente" dataDxfId="4642" totalsRowDxfId="4641"/>
    <tableColumn id="3" xr3:uid="{36772348-F729-4804-8E7D-7F4F52FBD703}" name="Und" dataDxfId="4640" totalsRowDxfId="4639"/>
    <tableColumn id="4" xr3:uid="{CE746BF3-866E-45DF-9D4E-DAF707C94B94}" name="Unidades Netas" dataDxfId="4638" totalsRowDxfId="4637"/>
    <tableColumn id="7" xr3:uid="{0C40666F-8FFF-4141-A88E-A96FA8FB3E03}" name="% Merma" dataDxfId="4636" totalsRowDxfId="4635"/>
    <tableColumn id="1" xr3:uid="{919FBA54-942D-4C63-AD5A-856C04F6D551}" name="Unidades" dataDxfId="4634" totalsRowDxfId="4633"/>
    <tableColumn id="5" xr3:uid="{A4A12F99-8CD6-4EC9-A5DE-DEFD37A5F119}" name="Costo" dataDxfId="4632" totalsRowDxfId="4631" dataCellStyle="Moneda">
      <calculatedColumnFormula>+VLOOKUP(Tabla11034534544554564791081345277[[#This Row],[Ingrediente]],Tabla34[#All],3,0)</calculatedColumnFormula>
    </tableColumn>
    <tableColumn id="6" xr3:uid="{7024F5F1-4894-4F8C-8C98-AD36AC281FBB}" name="Total costo" totalsRowFunction="sum" dataDxfId="4630" totalsRowDxfId="4629" dataCellStyle="Moneda">
      <calculatedColumnFormula>+Tabla11034534544554564791081345277[[#This Row],[Costo]]*Tabla11034534544554564791081345277[[#This Row],[Unidades]]</calculatedColumnFormula>
    </tableColumn>
  </tableColumns>
  <tableStyleInfo name="TableStyleLight8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3095AB99-5135-41D0-9A4C-89543BE432C2}" name="Tabla1103453454455456479108133140183" displayName="Tabla1103453454455456479108133140183" ref="B8:H38" totalsRowCount="1" headerRowDxfId="4628" dataDxfId="4626" totalsRowDxfId="4624" headerRowBorderDxfId="4627" tableBorderDxfId="4625" totalsRowBorderDxfId="4623">
  <autoFilter ref="B8:H37" xr:uid="{E51661B7-AB33-4992-B1D2-B2FC3C6A14F5}"/>
  <sortState xmlns:xlrd2="http://schemas.microsoft.com/office/spreadsheetml/2017/richdata2" ref="B9:H33">
    <sortCondition descending="1" ref="H9:H33"/>
  </sortState>
  <tableColumns count="7">
    <tableColumn id="2" xr3:uid="{9ED5DCE9-D601-4BD0-A6CA-80B8C24424CA}" name="Ingrediente" dataDxfId="4622" totalsRowDxfId="4621"/>
    <tableColumn id="3" xr3:uid="{5D49A339-DA6F-46D8-8AA5-1139424ED9EA}" name="Und" dataDxfId="4620" totalsRowDxfId="4619"/>
    <tableColumn id="4" xr3:uid="{F480D458-7719-4B05-8F05-54652C5D5976}" name="Unidades Netas" dataDxfId="4618" totalsRowDxfId="4617"/>
    <tableColumn id="7" xr3:uid="{AD97DF59-0197-4900-9340-41F27E646C90}" name="% Merma" dataDxfId="4616" totalsRowDxfId="4615"/>
    <tableColumn id="1" xr3:uid="{D2867E0D-B8C4-4C56-AFE1-2B9201EA2B2F}" name="Unidades" dataDxfId="4614" totalsRowDxfId="4613"/>
    <tableColumn id="5" xr3:uid="{22638B8D-364A-421E-8D0F-63E7D63E4E6F}" name="Costo" dataDxfId="4612" totalsRowDxfId="4611" dataCellStyle="Moneda">
      <calculatedColumnFormula>+VLOOKUP(Tabla1103453454455456479108133140183[[#This Row],[Ingrediente]],Tabla34[#All],3,0)</calculatedColumnFormula>
    </tableColumn>
    <tableColumn id="6" xr3:uid="{19B94989-976A-48D4-B4A2-818597DD805E}" name="Total costo" totalsRowFunction="sum" dataDxfId="4610" totalsRowDxfId="4609" dataCellStyle="Moneda">
      <calculatedColumnFormula>+Tabla1103453454455456479108133140183[[#This Row],[Costo]]*Tabla1103453454455456479108133140183[[#This Row],[Unidades]]</calculatedColumnFormula>
    </tableColumn>
  </tableColumns>
  <tableStyleInfo name="TableStyleLight8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7E965F15-B02C-4BD3-BED4-919920A4F8ED}" name="Tabla1103453454455456479108134141184" displayName="Tabla1103453454455456479108134141184" ref="B41:H61" totalsRowCount="1" headerRowDxfId="4608" dataDxfId="4606" totalsRowDxfId="4604" headerRowBorderDxfId="4607" tableBorderDxfId="4605" totalsRowBorderDxfId="4603">
  <autoFilter ref="B41:H60" xr:uid="{ABD20643-9B69-4368-9A3B-AF77BC5AFE8B}"/>
  <sortState xmlns:xlrd2="http://schemas.microsoft.com/office/spreadsheetml/2017/richdata2" ref="B42:H50">
    <sortCondition ref="B46"/>
  </sortState>
  <tableColumns count="7">
    <tableColumn id="2" xr3:uid="{C22ABED0-ADE2-4E2E-BE35-D604879BF782}" name="Ingrediente" dataDxfId="4602" totalsRowDxfId="4601"/>
    <tableColumn id="3" xr3:uid="{FAD42330-A89B-4B78-B465-B7CB80E36FF3}" name="Und" dataDxfId="4600" totalsRowDxfId="4599"/>
    <tableColumn id="4" xr3:uid="{D13DF7DC-3ABA-4EE4-B065-555FF023E4FA}" name="Unidades Netas" dataDxfId="4598" totalsRowDxfId="4597"/>
    <tableColumn id="7" xr3:uid="{A77936EE-854D-4ECF-8FC7-A62957F43C7B}" name="% Merma" dataDxfId="4596" totalsRowDxfId="4595"/>
    <tableColumn id="1" xr3:uid="{FE7C87B6-1609-4455-B732-B349D2D75E6F}" name="Unidades" dataDxfId="4594" totalsRowDxfId="4593"/>
    <tableColumn id="5" xr3:uid="{9062ED22-8F62-4949-B07D-5442002BF681}" name="Costo" dataDxfId="4592" totalsRowDxfId="4591" dataCellStyle="Moneda">
      <calculatedColumnFormula>+VLOOKUP(Tabla1103453454455456479108134141184[[#This Row],[Ingrediente]],Tabla34[#All],3,0)</calculatedColumnFormula>
    </tableColumn>
    <tableColumn id="6" xr3:uid="{AC1886A5-D5D5-45A8-A3C9-914D5A81F524}" name="Total costo" totalsRowFunction="sum" dataDxfId="4590" totalsRowDxfId="4589" dataCellStyle="Moneda">
      <calculatedColumnFormula>+Tabla1103453454455456479108134141184[[#This Row],[Costo]]*Tabla1103453454455456479108134141184[[#This Row],[Unidades]]</calculatedColumnFormula>
    </tableColumn>
  </tableColumns>
  <tableStyleInfo name="TableStyleLight8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8" xr:uid="{8020E3E7-2066-45DE-9EFB-C515FE049FA8}" name="Tabla1103453454455456479108109112209" displayName="Tabla1103453454455456479108109112209" ref="B7:H22" totalsRowCount="1" headerRowDxfId="4588" dataDxfId="4586" totalsRowDxfId="4584" headerRowBorderDxfId="4587" tableBorderDxfId="4585" totalsRowBorderDxfId="4583">
  <autoFilter ref="B7:H21" xr:uid="{6AE85648-BD62-469E-91D1-F02058DA2DF4}"/>
  <sortState xmlns:xlrd2="http://schemas.microsoft.com/office/spreadsheetml/2017/richdata2" ref="B8:H16">
    <sortCondition ref="B11"/>
  </sortState>
  <tableColumns count="7">
    <tableColumn id="2" xr3:uid="{23ACEF79-2C94-43B0-9DB2-B7E1E3E52E9F}" name="Ingrediente" dataDxfId="4582" totalsRowDxfId="4581"/>
    <tableColumn id="3" xr3:uid="{77EF4586-EAF4-4BBD-B50E-62D969DA5125}" name="Und" dataDxfId="4580" totalsRowDxfId="4579"/>
    <tableColumn id="4" xr3:uid="{DAAE7E38-E6DE-41C3-83C2-AC803622978D}" name="Unidades Netas" dataDxfId="4578" totalsRowDxfId="4577"/>
    <tableColumn id="7" xr3:uid="{1BBA23E6-F744-4A97-B49D-62A21B4F0A34}" name="% Merma" dataDxfId="4576" totalsRowDxfId="4575"/>
    <tableColumn id="1" xr3:uid="{698E6742-4976-46A8-BF91-DB46080D0C6A}" name="Unidades" dataDxfId="4574" totalsRowDxfId="4573"/>
    <tableColumn id="5" xr3:uid="{1148A0BC-002A-4323-9020-BC0905CC6D8B}" name="Costo" dataDxfId="4572" totalsRowDxfId="4571" dataCellStyle="Moneda">
      <calculatedColumnFormula>+VLOOKUP(Tabla1103453454455456479108109112209[[#This Row],[Ingrediente]],Tabla34[#All],3,0)</calculatedColumnFormula>
    </tableColumn>
    <tableColumn id="6" xr3:uid="{630F667C-AA72-46A3-A91E-2AF66C7C96E7}" name="Total costo" totalsRowFunction="sum" dataDxfId="4570" totalsRowDxfId="4569" dataCellStyle="Moneda">
      <calculatedColumnFormula>+Tabla1103453454455456479108109112209[[#This Row],[Costo]]*Tabla1103453454455456479108109112209[[#This Row],[Unidades]]</calculatedColumnFormula>
    </tableColumn>
  </tableColumns>
  <tableStyleInfo name="TableStyleLight8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9" xr:uid="{7B7CFE2B-C143-4572-97B1-97EE74282382}" name="Tabla1103453454455456479108109117119120123124126127210" displayName="Tabla1103453454455456479108109117119120123124126127210" ref="B25:H48" totalsRowCount="1" headerRowDxfId="4568" dataDxfId="4566" totalsRowDxfId="4564" headerRowBorderDxfId="4567" tableBorderDxfId="4565" totalsRowBorderDxfId="4563">
  <autoFilter ref="B25:H47" xr:uid="{021F072D-246D-44A1-9DA4-21D3BCD26B8C}"/>
  <sortState xmlns:xlrd2="http://schemas.microsoft.com/office/spreadsheetml/2017/richdata2" ref="B26:H44">
    <sortCondition ref="B35:B44"/>
  </sortState>
  <tableColumns count="7">
    <tableColumn id="2" xr3:uid="{D7036435-C73C-49A2-AD6B-EE8E0A1AAA2B}" name="Ingrediente" dataDxfId="4562" totalsRowDxfId="4561"/>
    <tableColumn id="3" xr3:uid="{5821C34C-A9BF-4D22-85F0-31B0548EA9F9}" name="Und" dataDxfId="4560" totalsRowDxfId="4559"/>
    <tableColumn id="4" xr3:uid="{E791FE08-6976-40B3-B6CA-4A9FF21013C0}" name="Unidades Netas" dataDxfId="4558" totalsRowDxfId="4557"/>
    <tableColumn id="7" xr3:uid="{582B209F-388C-4122-97AF-981ECF9DB857}" name="% Merma" dataDxfId="4556" totalsRowDxfId="4555"/>
    <tableColumn id="1" xr3:uid="{8A42ABB6-6E5D-4F8A-94F3-855C93483697}" name="Unidades" dataDxfId="4554" totalsRowDxfId="4553"/>
    <tableColumn id="5" xr3:uid="{676DCCCF-E319-46A1-A99C-6C2157DD9F9D}" name="Costo" dataDxfId="4552" totalsRowDxfId="4551" dataCellStyle="Moneda">
      <calculatedColumnFormula>+VLOOKUP(Tabla1103453454455456479108109117119120123124126127210[[#This Row],[Ingrediente]],Tabla34[#All],3,0)</calculatedColumnFormula>
    </tableColumn>
    <tableColumn id="6" xr3:uid="{AF212420-642E-4A30-A1F5-CBB640ABD6AA}" name="Total costo" totalsRowFunction="sum" dataDxfId="4550" totalsRowDxfId="4549" dataCellStyle="Moneda">
      <calculatedColumnFormula>+Tabla1103453454455456479108109117119120123124126127210[[#This Row],[Costo]]*Tabla1103453454455456479108109117119120123124126127210[[#This Row],[Unidades]]</calculatedColumnFormula>
    </tableColumn>
  </tableColumns>
  <tableStyleInfo name="TableStyleLight8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E97F677B-EAE1-4901-8D6F-B7CFA5C1A06C}" name="Tabla11034534544554564791081091171191201231241261272107276" displayName="Tabla11034534544554564791081091171191201231241261272107276" ref="B51:H66" totalsRowCount="1" headerRowDxfId="4548" dataDxfId="4546" totalsRowDxfId="4544" headerRowBorderDxfId="4547" tableBorderDxfId="4545" totalsRowBorderDxfId="4543">
  <autoFilter ref="B51:H65" xr:uid="{E97F677B-EAE1-4901-8D6F-B7CFA5C1A06C}"/>
  <sortState xmlns:xlrd2="http://schemas.microsoft.com/office/spreadsheetml/2017/richdata2" ref="B52:H63">
    <sortCondition ref="B29"/>
  </sortState>
  <tableColumns count="7">
    <tableColumn id="2" xr3:uid="{13A5E8D0-C155-4D78-BCAF-8613CFB7E58D}" name="Ingrediente" dataDxfId="4542" totalsRowDxfId="4541"/>
    <tableColumn id="3" xr3:uid="{54DBD522-EB7F-4C8E-9E5C-6FC9DC2D6FCF}" name="Und" dataDxfId="4540" totalsRowDxfId="4539"/>
    <tableColumn id="4" xr3:uid="{35AA3471-6447-43FC-8BED-187387CFC23C}" name="Unidades Netas" dataDxfId="4538" totalsRowDxfId="4537"/>
    <tableColumn id="7" xr3:uid="{935831A2-EA06-4E47-942E-6373E1F9B0C6}" name="% Merma" dataDxfId="4536" totalsRowDxfId="4535"/>
    <tableColumn id="1" xr3:uid="{1A3AFDA0-B0FD-451D-8E76-15D9DCB6678F}" name="Unidades" dataDxfId="4534" totalsRowDxfId="4533"/>
    <tableColumn id="5" xr3:uid="{0F6388DF-8F2A-425F-9C43-8762CB095C43}" name="Costo" dataDxfId="4532" totalsRowDxfId="4531" dataCellStyle="Moneda">
      <calculatedColumnFormula>+VLOOKUP(Tabla11034534544554564791081091171191201231241261272107276[[#This Row],[Ingrediente]],Tabla34[#All],3,0)</calculatedColumnFormula>
    </tableColumn>
    <tableColumn id="6" xr3:uid="{7C3E53C8-1126-4877-B602-9DC0F8F49C56}" name="Total costo" totalsRowFunction="sum" dataDxfId="4530" totalsRowDxfId="4529" dataCellStyle="Moneda">
      <calculatedColumnFormula>+Tabla11034534544554564791081091171191201231241261272107276[[#This Row],[Costo]]*Tabla11034534544554564791081091171191201231241261272107276[[#This Row],[Unidades]]</calculatedColumnFormula>
    </tableColumn>
  </tableColumns>
  <tableStyleInfo name="TableStyleLight8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3" xr:uid="{AE27D51A-C256-4D88-8AB5-57579A54703B}" name="Tabla11034534544554564791081091171191201231241261272107276214" displayName="Tabla11034534544554564791081091171191201231241261272107276214" ref="B70:H87" totalsRowCount="1" headerRowDxfId="4528" dataDxfId="4526" totalsRowDxfId="4524" headerRowBorderDxfId="4527" tableBorderDxfId="4525" totalsRowBorderDxfId="4523">
  <autoFilter ref="B70:H86" xr:uid="{AE27D51A-C256-4D88-8AB5-57579A54703B}"/>
  <sortState xmlns:xlrd2="http://schemas.microsoft.com/office/spreadsheetml/2017/richdata2" ref="B71:H82">
    <sortCondition ref="B29"/>
  </sortState>
  <tableColumns count="7">
    <tableColumn id="2" xr3:uid="{5D8048F2-2B3F-400C-A404-FAC1EFEFBE0A}" name="Ingrediente" dataDxfId="4522" totalsRowDxfId="4521"/>
    <tableColumn id="3" xr3:uid="{F5829BB0-2C93-47B5-ABB0-616720924B50}" name="Und" dataDxfId="4520" totalsRowDxfId="4519"/>
    <tableColumn id="4" xr3:uid="{FFF41808-F2E0-49DF-AA33-F3CB8BC63250}" name="Unidades Netas" dataDxfId="4518" totalsRowDxfId="4517"/>
    <tableColumn id="7" xr3:uid="{54AE4618-5434-453E-8788-7D6AA388EF43}" name="% Merma" dataDxfId="4516" totalsRowDxfId="4515"/>
    <tableColumn id="1" xr3:uid="{1622976C-B0FE-47B3-8336-35C5D0391F72}" name="Unidades" dataDxfId="4514" totalsRowDxfId="4513"/>
    <tableColumn id="5" xr3:uid="{58542530-DB71-45B0-B3D7-4A4816EC818F}" name="Costo" dataDxfId="4512" totalsRowDxfId="4511" dataCellStyle="Moneda">
      <calculatedColumnFormula>+VLOOKUP(Tabla11034534544554564791081091171191201231241261272107276214[[#This Row],[Ingrediente]],Tabla34[#All],3,0)</calculatedColumnFormula>
    </tableColumn>
    <tableColumn id="6" xr3:uid="{D2A042A8-65EA-4BDC-8860-41A29EFAB451}" name="Total costo" totalsRowFunction="sum" dataDxfId="4510" totalsRowDxfId="4509" dataCellStyle="Moneda">
      <calculatedColumnFormula>+Tabla11034534544554564791081091171191201231241261272107276214[[#This Row],[Costo]]*Tabla11034534544554564791081091171191201231241261272107276214[[#This Row],[Unidades]]</calculatedColumnFormula>
    </tableColumn>
  </tableColumns>
  <tableStyleInfo name="TableStyleLight8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0" xr:uid="{F3F8916B-4D12-47F3-AA93-1DF72F5BA1C1}" name="Tabla1103453454455456479108134141171253254256257275291" displayName="Tabla1103453454455456479108134141171253254256257275291" ref="B7:H12" totalsRowCount="1" headerRowDxfId="4508" dataDxfId="4506" totalsRowDxfId="4504" headerRowBorderDxfId="4507" tableBorderDxfId="4505" totalsRowBorderDxfId="4503">
  <autoFilter ref="B7:H11" xr:uid="{49A303CB-6EE0-4E79-8682-F9E4857A34E9}"/>
  <tableColumns count="7">
    <tableColumn id="2" xr3:uid="{3BBE3D11-8CAE-4BAA-81D1-4B5AC307E17C}" name="Ingrediente" dataDxfId="4502" totalsRowDxfId="4501"/>
    <tableColumn id="3" xr3:uid="{278D32C9-1E75-4079-9C8A-6358612DFD4D}" name="Und" dataDxfId="4500" totalsRowDxfId="4499"/>
    <tableColumn id="4" xr3:uid="{35F00678-3098-447A-A6D6-FE92CE514487}" name="Cant." dataDxfId="4498" totalsRowDxfId="4497"/>
    <tableColumn id="1" xr3:uid="{F5C99C49-3AEB-4645-8953-B8BCB624A814}" name="Columna1" dataDxfId="4496" totalsRowDxfId="4495"/>
    <tableColumn id="7" xr3:uid="{B428DF28-6EAB-4F24-9B60-0C8DDE2614EF}" name="Columna2" dataDxfId="4494" totalsRowDxfId="4493"/>
    <tableColumn id="5" xr3:uid="{8D043440-6189-41E3-BA60-AF93C58C3BE0}" name="Costo" dataDxfId="4492" totalsRowDxfId="4491" dataCellStyle="Moneda">
      <calculatedColumnFormula>+VLOOKUP(Tabla1103453454455456479108134141171253254256257275291[[#This Row],[Ingrediente]],Tabla34[#All],3,0)</calculatedColumnFormula>
    </tableColumn>
    <tableColumn id="6" xr3:uid="{FA74D0A9-2534-427E-86CA-6B2813D1AA71}" name="Total costo" totalsRowFunction="sum" dataDxfId="4490" totalsRowDxfId="4489" dataCellStyle="Moneda">
      <calculatedColumnFormula>+Tabla1103453454455456479108134141171253254256257275291[[#This Row],[Costo]]*Tabla1103453454455456479108134141171253254256257275291[[#This Row],[Columna2]]</calculatedColumnFormula>
    </tableColumn>
  </tableColumns>
  <tableStyleInfo name="TableStyleLight8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1" xr:uid="{D8C224C6-24BB-4E8A-88C5-0681A665E3C3}" name="Tabla1103453454455456479108134141171253254256257276292" displayName="Tabla1103453454455456479108134141171253254256257276292" ref="B19:H25" totalsRowCount="1" headerRowDxfId="4488" dataDxfId="4486" totalsRowDxfId="4484" headerRowBorderDxfId="4487" tableBorderDxfId="4485" totalsRowBorderDxfId="4483">
  <autoFilter ref="B19:H24" xr:uid="{90850720-98BB-4480-9265-59A7987047CF}"/>
  <sortState xmlns:xlrd2="http://schemas.microsoft.com/office/spreadsheetml/2017/richdata2" ref="B20:H24">
    <sortCondition descending="1" ref="H21:H24"/>
  </sortState>
  <tableColumns count="7">
    <tableColumn id="2" xr3:uid="{1D0517C7-24E7-4790-AE56-0E9CF343EF2D}" name="Ingrediente" dataDxfId="4482" totalsRowDxfId="4481"/>
    <tableColumn id="3" xr3:uid="{49A9BA5D-46BD-46A6-8CB6-AA0848891626}" name="Und" dataDxfId="4480" totalsRowDxfId="4479"/>
    <tableColumn id="4" xr3:uid="{F6BE6135-E847-4D03-A65E-E70A57C31505}" name="Cant." dataDxfId="4478" totalsRowDxfId="4477"/>
    <tableColumn id="1" xr3:uid="{6CB1E43C-88C0-469B-9BD8-F5EB4F2C893A}" name="Columna1" dataDxfId="4476" totalsRowDxfId="4475"/>
    <tableColumn id="7" xr3:uid="{B9F16C64-1756-4C2F-8211-A1699090BEBE}" name="Columna2" dataDxfId="4474" totalsRowDxfId="4473"/>
    <tableColumn id="5" xr3:uid="{97B04200-AC4F-4779-9B15-08B6E33D1240}" name="Costo" dataDxfId="4472" totalsRowDxfId="4471" dataCellStyle="Moneda">
      <calculatedColumnFormula>+VLOOKUP(Tabla1103453454455456479108134141171253254256257276292[[#This Row],[Ingrediente]],Tabla34[#All],3,0)</calculatedColumnFormula>
    </tableColumn>
    <tableColumn id="6" xr3:uid="{B625586A-181D-450C-BD81-8D9EAED9999F}" name="Total costo" totalsRowFunction="sum" dataDxfId="4470" totalsRowDxfId="4469" dataCellStyle="Moneda">
      <calculatedColumnFormula>+Tabla1103453454455456479108134141171253254256257276292[[#This Row],[Costo]]*Tabla1103453454455456479108134141171253254256257276292[[#This Row],[Columna2]]</calculatedColumnFormula>
    </tableColumn>
  </tableColumns>
  <tableStyleInfo name="TableStyleLight8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2" xr:uid="{932058A9-7B30-4AFD-811D-5832EEC28289}" name="Tabla1103453454455456479108134141171253254256257275291293" displayName="Tabla1103453454455456479108134141171253254256257275291293" ref="B30:H36" totalsRowCount="1" headerRowDxfId="4468" dataDxfId="4466" totalsRowDxfId="4464" headerRowBorderDxfId="4467" tableBorderDxfId="4465" totalsRowBorderDxfId="4463">
  <autoFilter ref="B30:H35" xr:uid="{ACA4D1E5-D85D-4C6B-A77D-4C5A2A84012A}"/>
  <tableColumns count="7">
    <tableColumn id="2" xr3:uid="{4A90D0EC-33A2-402E-947F-77406DB2AA8C}" name="Ingrediente" dataDxfId="4462" totalsRowDxfId="4461"/>
    <tableColumn id="3" xr3:uid="{9EFFFC2E-9A07-4A68-8EAB-02D3B761B29A}" name="Und" dataDxfId="4460" totalsRowDxfId="4459"/>
    <tableColumn id="4" xr3:uid="{D5420A2F-D4A4-4465-81DA-CF0C7D602E96}" name="Cant." dataDxfId="4458" totalsRowDxfId="4457"/>
    <tableColumn id="1" xr3:uid="{6900DD1F-25F7-407E-A6BC-8E9E4BF3ABB0}" name="Columna1" dataDxfId="4456" totalsRowDxfId="4455"/>
    <tableColumn id="7" xr3:uid="{A91164D9-8EEE-4B6C-98F0-1732C81FC3C2}" name="Columna2" dataDxfId="4454" totalsRowDxfId="4453"/>
    <tableColumn id="5" xr3:uid="{7CE5DC46-8ADB-438F-A62D-4CA8ACCFFE24}" name="Costo" dataDxfId="4452" totalsRowDxfId="4451" dataCellStyle="Moneda">
      <calculatedColumnFormula>+VLOOKUP(Tabla1103453454455456479108134141171253254256257275291293[[#This Row],[Ingrediente]],Tabla34[#All],3,0)</calculatedColumnFormula>
    </tableColumn>
    <tableColumn id="6" xr3:uid="{58CDEF89-B533-4632-BF6A-D92E91003AAA}" name="Total costo" totalsRowFunction="sum" dataDxfId="4450" totalsRowDxfId="4449" dataCellStyle="Moneda">
      <calculatedColumnFormula>+Tabla1103453454455456479108134141171253254256257275291293[[#This Row],[Costo]]*Tabla1103453454455456479108134141171253254256257275291293[[#This Row],[Columna2]]</calculatedColumnFormula>
    </tableColumn>
  </tableColumns>
  <tableStyleInfo name="TableStyleLight8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3" xr:uid="{9674BD37-28E1-47EE-A380-886B64C094CC}" name="Tabla1103453454455456479108134141171253254256257276292294" displayName="Tabla1103453454455456479108134141171253254256257276292294" ref="B41:H47" totalsRowCount="1" headerRowDxfId="4448" dataDxfId="4446" totalsRowDxfId="4444" headerRowBorderDxfId="4447" tableBorderDxfId="4445" totalsRowBorderDxfId="4443">
  <autoFilter ref="B41:H46" xr:uid="{A3960043-CC13-49A6-8E02-5CF544941EAC}"/>
  <tableColumns count="7">
    <tableColumn id="2" xr3:uid="{B1B809BC-DBAF-41F7-8EDA-3E869704E683}" name="Ingrediente" dataDxfId="4442" totalsRowDxfId="4441"/>
    <tableColumn id="3" xr3:uid="{3DBA42CD-F6EC-471C-8A1A-13B3EB0AC468}" name="Und" dataDxfId="4440" totalsRowDxfId="4439"/>
    <tableColumn id="4" xr3:uid="{05ECDFCE-7A64-457D-A5F4-475A9DEEC407}" name="Cant." dataDxfId="4438" totalsRowDxfId="4437"/>
    <tableColumn id="1" xr3:uid="{1712E21E-3163-4804-A26E-BF3877F7B82B}" name="Columna1" dataDxfId="4436" totalsRowDxfId="4435"/>
    <tableColumn id="7" xr3:uid="{777B622E-1991-47EB-9976-4AEBCBC88FEA}" name="Columna2" dataDxfId="4434" totalsRowDxfId="4433"/>
    <tableColumn id="5" xr3:uid="{A402D35D-7CBB-406B-BB75-AB24BF7D7301}" name="Costo" dataDxfId="4432" totalsRowDxfId="4431" dataCellStyle="Moneda">
      <calculatedColumnFormula>+VLOOKUP(Tabla1103453454455456479108134141171253254256257276292294[[#This Row],[Ingrediente]],Tabla34[#All],3,0)</calculatedColumnFormula>
    </tableColumn>
    <tableColumn id="6" xr3:uid="{15254021-B282-4D65-95FA-3C40FD52F2DD}" name="Total costo" totalsRowFunction="sum" dataDxfId="4430" totalsRowDxfId="4429" dataCellStyle="Moneda">
      <calculatedColumnFormula>+Tabla1103453454455456479108134141171253254256257276292294[[#This Row],[Costo]]*Tabla1103453454455456479108134141171253254256257276292294[[#This Row],[Columna2]]</calculatedColumnFormula>
    </tableColumn>
  </tableColumns>
  <tableStyleInfo name="TableStyleLight8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4" xr:uid="{71C51F2C-E3B7-4F40-9DBF-BFD3FF43DDCB}" name="Tabla1103453454455456479108134141171253254256257275291295" displayName="Tabla1103453454455456479108134141171253254256257275291295" ref="B55:H61" totalsRowCount="1" headerRowDxfId="4428" dataDxfId="4426" totalsRowDxfId="4424" headerRowBorderDxfId="4427" tableBorderDxfId="4425" totalsRowBorderDxfId="4423">
  <autoFilter ref="B55:H60" xr:uid="{6DFAB410-21CB-4E3E-BC9E-A7DAE922A69F}"/>
  <tableColumns count="7">
    <tableColumn id="2" xr3:uid="{522BF52D-B6BA-4A73-B358-7B4A3D7999F9}" name="Ingrediente" dataDxfId="4422" totalsRowDxfId="4421"/>
    <tableColumn id="3" xr3:uid="{63AEF4C9-9477-490C-A28D-2DDEB8C4DC0D}" name="Und" dataDxfId="4420" totalsRowDxfId="4419"/>
    <tableColumn id="4" xr3:uid="{B29F58E6-92F8-477E-9AE7-BDDA82A156BE}" name="Cant." dataDxfId="4418" totalsRowDxfId="4417"/>
    <tableColumn id="1" xr3:uid="{5FBEB7E6-B056-4E29-AD33-9B2300DB1E84}" name="Columna1" dataDxfId="4416" totalsRowDxfId="4415"/>
    <tableColumn id="7" xr3:uid="{0708F92F-E923-409B-89F4-3FD71D082A87}" name="Columna2" dataDxfId="4414" totalsRowDxfId="4413"/>
    <tableColumn id="5" xr3:uid="{4D3605FE-AF89-40E4-9224-EE883C14A184}" name="Costo" dataDxfId="4412" totalsRowDxfId="4411" dataCellStyle="Moneda">
      <calculatedColumnFormula>+VLOOKUP(Tabla1103453454455456479108134141171253254256257275291295[[#This Row],[Ingrediente]],Tabla34[#All],3,0)</calculatedColumnFormula>
    </tableColumn>
    <tableColumn id="6" xr3:uid="{71E470A4-D467-4E12-B8CC-24894D2BED05}" name="Total costo" totalsRowFunction="sum" dataDxfId="4410" totalsRowDxfId="4409" dataCellStyle="Moneda">
      <calculatedColumnFormula>+Tabla1103453454455456479108134141171253254256257275291295[[#This Row],[Costo]]*Tabla1103453454455456479108134141171253254256257275291295[[#This Row],[Columna2]]</calculatedColumnFormula>
    </tableColumn>
  </tableColumns>
  <tableStyleInfo name="TableStyleLight8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5" xr:uid="{643870E3-C186-4CF9-94A1-3866E1AEBD00}" name="Tabla11034534544554564791081351121722993063164246276207228336" displayName="Tabla11034534544554564791081351121722993063164246276207228336" ref="B7:F9" totalsRowCount="1" headerRowDxfId="4408" dataDxfId="4406" totalsRowDxfId="4404" headerRowBorderDxfId="4407" tableBorderDxfId="4405" totalsRowBorderDxfId="4403">
  <autoFilter ref="B7:F8" xr:uid="{78BE3A0D-ECA7-47BB-B29F-2C3C5A2344BE}"/>
  <sortState xmlns:xlrd2="http://schemas.microsoft.com/office/spreadsheetml/2017/richdata2" ref="B8:F8">
    <sortCondition descending="1" ref="F8"/>
  </sortState>
  <tableColumns count="5">
    <tableColumn id="2" xr3:uid="{0B7F87E4-D096-422F-93CE-1BDAD26991F7}" name="Ingrediente" dataDxfId="4402" totalsRowDxfId="4401"/>
    <tableColumn id="3" xr3:uid="{2FF669DB-322F-4A99-AB9E-75EAF691B82D}" name="Und" dataDxfId="4400" totalsRowDxfId="4399"/>
    <tableColumn id="4" xr3:uid="{153F3136-3974-4FE5-8D5E-FDCC81D9031F}" name="Cant." dataDxfId="4398" totalsRowDxfId="4397"/>
    <tableColumn id="5" xr3:uid="{166327F8-5EA7-435D-B253-F63689954158}" name="Costo" dataDxfId="4396" totalsRowDxfId="4395" dataCellStyle="Moneda">
      <calculatedColumnFormula>+VLOOKUP(Tabla11034534544554564791081351121722993063164246276207228336[[#This Row],[Ingrediente]],Tabla34[#All],3,0)</calculatedColumnFormula>
    </tableColumn>
    <tableColumn id="6" xr3:uid="{531D9C1C-690D-41DD-AC6F-CF025131DBBE}" name="Total costo" totalsRowFunction="sum" dataDxfId="4394" totalsRowDxfId="4393" dataCellStyle="Moneda">
      <calculatedColumnFormula>+Tabla11034534544554564791081351121722993063164246276207228336[[#This Row],[Costo]]*Tabla11034534544554564791081351121722993063164246276207228336[[#This Row],[Cant.]]</calculatedColumnFormula>
    </tableColumn>
  </tableColumns>
  <tableStyleInfo name="TableStyleLight8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5" xr:uid="{2B34C650-2BAE-47A1-AC17-04FCC989724A}" name="Tabla11034534544554564791081351121722993063164246276207228336356" displayName="Tabla11034534544554564791081351121722993063164246276207228336356" ref="B18:F20" totalsRowCount="1" headerRowDxfId="4392" dataDxfId="4390" totalsRowDxfId="4388" headerRowBorderDxfId="4391" tableBorderDxfId="4389" totalsRowBorderDxfId="4387">
  <autoFilter ref="B18:F19" xr:uid="{01AF5400-771A-4EDB-8531-54230AAA8636}"/>
  <sortState xmlns:xlrd2="http://schemas.microsoft.com/office/spreadsheetml/2017/richdata2" ref="B19:F19">
    <sortCondition descending="1" ref="F8"/>
  </sortState>
  <tableColumns count="5">
    <tableColumn id="2" xr3:uid="{3340E2BF-68B3-49B5-8007-667680DFA50B}" name="Ingrediente" dataDxfId="4386" totalsRowDxfId="4385"/>
    <tableColumn id="3" xr3:uid="{AD71EB50-C98A-414F-8D63-E30478FA25D5}" name="Und" dataDxfId="4384" totalsRowDxfId="4383"/>
    <tableColumn id="4" xr3:uid="{788EAC65-9A60-40F2-84E7-391F06208BB8}" name="Cant." dataDxfId="4382" totalsRowDxfId="4381"/>
    <tableColumn id="5" xr3:uid="{5B93D922-45CA-4C8A-BE6A-4E06D7451EEF}" name="Costo" dataDxfId="4380" totalsRowDxfId="4379" dataCellStyle="Moneda">
      <calculatedColumnFormula>+VLOOKUP(Tabla11034534544554564791081351121722993063164246276207228336356[[#This Row],[Ingrediente]],Tabla34[#All],3,0)</calculatedColumnFormula>
    </tableColumn>
    <tableColumn id="6" xr3:uid="{FBE65396-9FF9-4570-9990-FD2ACF43FCCE}" name="Total costo" totalsRowFunction="sum" dataDxfId="4378" totalsRowDxfId="4377" dataCellStyle="Moneda">
      <calculatedColumnFormula>+Tabla11034534544554564791081351121722993063164246276207228336356[[#This Row],[Costo]]*Tabla11034534544554564791081351121722993063164246276207228336356[[#This Row],[Cant.]]</calculatedColumnFormula>
    </tableColumn>
  </tableColumns>
  <tableStyleInfo name="TableStyleLight8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6" xr:uid="{AA88C443-4F44-44D3-AA0B-3E5D6816CD85}" name="Tabla11034534544554564791081351121722993063164246276207228336357" displayName="Tabla11034534544554564791081351121722993063164246276207228336357" ref="B31:F33" totalsRowCount="1" headerRowDxfId="4376" dataDxfId="4374" totalsRowDxfId="4372" headerRowBorderDxfId="4375" tableBorderDxfId="4373" totalsRowBorderDxfId="4371">
  <autoFilter ref="B31:F32" xr:uid="{C5FD92D5-8D89-4B2D-8E66-815B8D000362}"/>
  <sortState xmlns:xlrd2="http://schemas.microsoft.com/office/spreadsheetml/2017/richdata2" ref="B32:F32">
    <sortCondition descending="1" ref="F8"/>
  </sortState>
  <tableColumns count="5">
    <tableColumn id="2" xr3:uid="{66BF1FE3-1E40-4CE9-B0C6-801BD9562E33}" name="Ingrediente" dataDxfId="4370" totalsRowDxfId="4369"/>
    <tableColumn id="3" xr3:uid="{8814FB67-D0AC-421D-8805-EF123671DFB8}" name="Und" dataDxfId="4368" totalsRowDxfId="4367"/>
    <tableColumn id="4" xr3:uid="{30FA7FF9-7717-4007-B98B-AADA3F722B1E}" name="Cant." dataDxfId="4366" totalsRowDxfId="4365"/>
    <tableColumn id="5" xr3:uid="{233B109B-348E-4FC8-85A0-3C2187BEACE8}" name="Costo" dataDxfId="4364" totalsRowDxfId="4363" dataCellStyle="Moneda">
      <calculatedColumnFormula>+VLOOKUP(Tabla11034534544554564791081351121722993063164246276207228336357[[#This Row],[Ingrediente]],Tabla34[#All],3,0)</calculatedColumnFormula>
    </tableColumn>
    <tableColumn id="6" xr3:uid="{E77C2876-D6EF-4F07-9706-26A521BDCA5F}" name="Total costo" totalsRowFunction="sum" dataDxfId="4362" totalsRowDxfId="4361" dataCellStyle="Moneda">
      <calculatedColumnFormula>+Tabla11034534544554564791081351121722993063164246276207228336357[[#This Row],[Costo]]*Tabla11034534544554564791081351121722993063164246276207228336357[[#This Row],[Cant.]]</calculatedColumnFormula>
    </tableColumn>
  </tableColumns>
  <tableStyleInfo name="TableStyleLight8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7" xr:uid="{C9FE8BA4-50EE-4169-A981-BB32508D6F68}" name="Tabla11034534544554564791081351121722993063164246276207228336358" displayName="Tabla11034534544554564791081351121722993063164246276207228336358" ref="B43:F45" totalsRowCount="1" headerRowDxfId="4360" dataDxfId="4358" totalsRowDxfId="4356" headerRowBorderDxfId="4359" tableBorderDxfId="4357" totalsRowBorderDxfId="4355">
  <autoFilter ref="B43:F44" xr:uid="{FBEF0DAE-2F13-4312-895D-DC96D6B07EC6}"/>
  <sortState xmlns:xlrd2="http://schemas.microsoft.com/office/spreadsheetml/2017/richdata2" ref="B44:F44">
    <sortCondition descending="1" ref="F8"/>
  </sortState>
  <tableColumns count="5">
    <tableColumn id="2" xr3:uid="{EE52F505-2D5B-4D24-B238-32C051949D8D}" name="Ingrediente" dataDxfId="4354" totalsRowDxfId="4353"/>
    <tableColumn id="3" xr3:uid="{2DD9C51D-D8AF-4BC7-B997-FCC085ED575C}" name="Und" dataDxfId="4352" totalsRowDxfId="4351"/>
    <tableColumn id="4" xr3:uid="{A9EEEF99-4DFD-45C6-AD3D-49F52DEC4778}" name="Cant." dataDxfId="4350" totalsRowDxfId="4349"/>
    <tableColumn id="5" xr3:uid="{58D51B36-9BBD-462B-9030-FFCA9F0F3065}" name="Costo" dataDxfId="4348" totalsRowDxfId="4347" dataCellStyle="Moneda">
      <calculatedColumnFormula>+VLOOKUP(Tabla11034534544554564791081351121722993063164246276207228336358[[#This Row],[Ingrediente]],Tabla34[#All],3,0)</calculatedColumnFormula>
    </tableColumn>
    <tableColumn id="6" xr3:uid="{13EB81C7-AF80-4EDC-A5FC-EEA7E5BE60AA}" name="Total costo" totalsRowFunction="sum" dataDxfId="4346" totalsRowDxfId="4345" dataCellStyle="Moneda">
      <calculatedColumnFormula>+Tabla11034534544554564791081351121722993063164246276207228336358[[#This Row],[Costo]]*Tabla11034534544554564791081351121722993063164246276207228336358[[#This Row],[Cant.]]</calculatedColumnFormula>
    </tableColumn>
  </tableColumns>
  <tableStyleInfo name="TableStyleLight8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8" xr:uid="{18007C95-2815-4271-AB4C-8B40D67376D9}" name="Tabla11034534544554564791081351121722993063164246276207228336359" displayName="Tabla11034534544554564791081351121722993063164246276207228336359" ref="B55:F57" totalsRowCount="1" headerRowDxfId="4344" dataDxfId="4342" totalsRowDxfId="4340" headerRowBorderDxfId="4343" tableBorderDxfId="4341" totalsRowBorderDxfId="4339">
  <autoFilter ref="B55:F56" xr:uid="{D915BE78-5F42-47EB-942E-0C5C8FDF3389}"/>
  <sortState xmlns:xlrd2="http://schemas.microsoft.com/office/spreadsheetml/2017/richdata2" ref="B56:F56">
    <sortCondition descending="1" ref="F8"/>
  </sortState>
  <tableColumns count="5">
    <tableColumn id="2" xr3:uid="{E3E82D68-7157-4B7A-9DAC-28E80ACABEBD}" name="Ingrediente" dataDxfId="4338" totalsRowDxfId="4337"/>
    <tableColumn id="3" xr3:uid="{D88D7CE8-A67B-4BAF-AA55-E0A1F0636DF3}" name="Und" dataDxfId="4336" totalsRowDxfId="4335"/>
    <tableColumn id="4" xr3:uid="{E7C2749C-357D-411A-9A69-5C888FA22D81}" name="Cant." dataDxfId="4334" totalsRowDxfId="4333"/>
    <tableColumn id="5" xr3:uid="{B2F7F800-41CE-44F0-A9B2-7282C1EBB20A}" name="Costo" dataDxfId="4332" totalsRowDxfId="4331" dataCellStyle="Moneda">
      <calculatedColumnFormula>+VLOOKUP(Tabla11034534544554564791081351121722993063164246276207228336359[[#This Row],[Ingrediente]],Tabla34[#All],3,0)</calculatedColumnFormula>
    </tableColumn>
    <tableColumn id="6" xr3:uid="{ADE32F21-8DAD-4912-B97E-DAAB7BE5D101}" name="Total costo" totalsRowFunction="sum" dataDxfId="4330" totalsRowDxfId="4329" dataCellStyle="Moneda">
      <calculatedColumnFormula>+Tabla11034534544554564791081351121722993063164246276207228336359[[#This Row],[Costo]]*Tabla11034534544554564791081351121722993063164246276207228336359[[#This Row],[Cant.]]</calculatedColumnFormula>
    </tableColumn>
  </tableColumns>
  <tableStyleInfo name="TableStyleLight8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9" xr:uid="{DCD173FB-9C89-457C-A5CC-684CA866D30E}" name="Tabla11034534544554564791081351121722993063164246276207228336360" displayName="Tabla11034534544554564791081351121722993063164246276207228336360" ref="B69:F71" totalsRowCount="1" headerRowDxfId="4328" dataDxfId="4326" totalsRowDxfId="4324" headerRowBorderDxfId="4327" tableBorderDxfId="4325" totalsRowBorderDxfId="4323">
  <autoFilter ref="B69:F70" xr:uid="{76FECB67-5D19-4D20-9E04-A98FABD91B30}"/>
  <sortState xmlns:xlrd2="http://schemas.microsoft.com/office/spreadsheetml/2017/richdata2" ref="B70:F70">
    <sortCondition descending="1" ref="F8"/>
  </sortState>
  <tableColumns count="5">
    <tableColumn id="2" xr3:uid="{FB734C41-DF23-4079-BAC6-5D03B653B653}" name="Ingrediente" dataDxfId="4322" totalsRowDxfId="4321"/>
    <tableColumn id="3" xr3:uid="{C4FE5FF5-6261-426F-9D24-A1413DCA10BC}" name="Und" dataDxfId="4320" totalsRowDxfId="4319"/>
    <tableColumn id="4" xr3:uid="{DAAF0594-246E-4BB9-8D12-1D310B90D3E6}" name="Cant." dataDxfId="4318" totalsRowDxfId="4317"/>
    <tableColumn id="5" xr3:uid="{5C0A5264-E8E6-42B8-A6FF-2F25DACE3F4D}" name="Costo" dataDxfId="4316" totalsRowDxfId="4315" dataCellStyle="Moneda">
      <calculatedColumnFormula>+VLOOKUP(Tabla11034534544554564791081351121722993063164246276207228336360[[#This Row],[Ingrediente]],Tabla34[#All],3,0)</calculatedColumnFormula>
    </tableColumn>
    <tableColumn id="6" xr3:uid="{9971F34A-36BB-43F8-880B-01B8ACA42DEE}" name="Total costo" totalsRowFunction="sum" dataDxfId="4314" totalsRowDxfId="4313" dataCellStyle="Moneda">
      <calculatedColumnFormula>+Tabla11034534544554564791081351121722993063164246276207228336360[[#This Row],[Costo]]*Tabla11034534544554564791081351121722993063164246276207228336360[[#This Row],[Cant.]]</calculatedColumnFormula>
    </tableColumn>
  </tableColumns>
  <tableStyleInfo name="TableStyleLight8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0" xr:uid="{715DAC3E-9591-4D34-B669-0BCB22C076BA}" name="Tabla11034534544554564791081351121722993063164246276207228336361" displayName="Tabla11034534544554564791081351121722993063164246276207228336361" ref="B82:F84" totalsRowCount="1" headerRowDxfId="4312" dataDxfId="4310" totalsRowDxfId="4308" headerRowBorderDxfId="4311" tableBorderDxfId="4309" totalsRowBorderDxfId="4307">
  <autoFilter ref="B82:F83" xr:uid="{3A8DD647-947A-4497-8444-2B56368C6E48}"/>
  <sortState xmlns:xlrd2="http://schemas.microsoft.com/office/spreadsheetml/2017/richdata2" ref="B83:F83">
    <sortCondition descending="1" ref="F8"/>
  </sortState>
  <tableColumns count="5">
    <tableColumn id="2" xr3:uid="{2EA75067-D299-47D2-8D8E-1B26C57C42EE}" name="Ingrediente" dataDxfId="4306" totalsRowDxfId="4305"/>
    <tableColumn id="3" xr3:uid="{4F7ED18B-F74E-4060-9021-8C4D62A33E93}" name="Und" dataDxfId="4304" totalsRowDxfId="4303"/>
    <tableColumn id="4" xr3:uid="{B29AE648-784A-4286-AFAF-922DD202D517}" name="Cant." dataDxfId="4302" totalsRowDxfId="4301"/>
    <tableColumn id="5" xr3:uid="{DF50742D-00B7-46E2-94D8-21DFAD3EC0EB}" name="Costo" dataDxfId="4300" totalsRowDxfId="4299" dataCellStyle="Moneda">
      <calculatedColumnFormula>+VLOOKUP(Tabla11034534544554564791081351121722993063164246276207228336361[[#This Row],[Ingrediente]],Tabla34[#All],3,0)</calculatedColumnFormula>
    </tableColumn>
    <tableColumn id="6" xr3:uid="{980D7546-5D1E-4A11-9F54-0B6B4F080193}" name="Total costo" totalsRowFunction="sum" dataDxfId="4298" totalsRowDxfId="4297" dataCellStyle="Moneda">
      <calculatedColumnFormula>+Tabla11034534544554564791081351121722993063164246276207228336361[[#This Row],[Costo]]*Tabla11034534544554564791081351121722993063164246276207228336361[[#This Row],[Cant.]]</calculatedColumnFormula>
    </tableColumn>
  </tableColumns>
  <tableStyleInfo name="TableStyleLight8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1" xr:uid="{3AEC9042-4172-4DB4-9A66-4EFCF4E06FBD}" name="Tabla11034534544554564791081351121722993063164246276207228336362" displayName="Tabla11034534544554564791081351121722993063164246276207228336362" ref="B95:F97" totalsRowCount="1" headerRowDxfId="4296" dataDxfId="4294" totalsRowDxfId="4292" headerRowBorderDxfId="4295" tableBorderDxfId="4293" totalsRowBorderDxfId="4291">
  <autoFilter ref="B95:F96" xr:uid="{1C60D285-87CB-4605-AC49-4B63F28A41AB}"/>
  <sortState xmlns:xlrd2="http://schemas.microsoft.com/office/spreadsheetml/2017/richdata2" ref="B96:F96">
    <sortCondition descending="1" ref="F8"/>
  </sortState>
  <tableColumns count="5">
    <tableColumn id="2" xr3:uid="{C5682696-AA86-4E34-B6D5-E1E1CCDDE501}" name="Ingrediente" dataDxfId="4290" totalsRowDxfId="4289"/>
    <tableColumn id="3" xr3:uid="{ED37E4C3-041D-489E-8A90-A3BD98140C8D}" name="Und" dataDxfId="4288" totalsRowDxfId="4287"/>
    <tableColumn id="4" xr3:uid="{59700304-EE20-4F7E-8348-EB98AA52A8D3}" name="Cant." dataDxfId="4286" totalsRowDxfId="4285"/>
    <tableColumn id="5" xr3:uid="{2A1C58F1-4F7E-428A-80D1-3953D19B2474}" name="Costo" dataDxfId="4284" totalsRowDxfId="4283" dataCellStyle="Moneda">
      <calculatedColumnFormula>+VLOOKUP(Tabla11034534544554564791081351121722993063164246276207228336362[[#This Row],[Ingrediente]],Tabla34[#All],3,0)</calculatedColumnFormula>
    </tableColumn>
    <tableColumn id="6" xr3:uid="{621675B6-09E1-4C2D-A83B-05FDD37D4286}" name="Total costo" totalsRowFunction="sum" dataDxfId="4282" totalsRowDxfId="4281" dataCellStyle="Moneda">
      <calculatedColumnFormula>+Tabla11034534544554564791081351121722993063164246276207228336362[[#This Row],[Costo]]*Tabla11034534544554564791081351121722993063164246276207228336362[[#This Row],[Cant.]]</calculatedColumnFormula>
    </tableColumn>
  </tableColumns>
  <tableStyleInfo name="TableStyleLight8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2" xr:uid="{45F2540A-EAB4-40A0-9EB8-4F85EDFF1B47}" name="Tabla11034534544554564791081351121722993063164246276207228336363" displayName="Tabla11034534544554564791081351121722993063164246276207228336363" ref="B108:F110" totalsRowCount="1" headerRowDxfId="4280" dataDxfId="4278" totalsRowDxfId="4276" headerRowBorderDxfId="4279" tableBorderDxfId="4277" totalsRowBorderDxfId="4275">
  <autoFilter ref="B108:F109" xr:uid="{158E4375-212B-4FF7-8893-957AE4A16112}"/>
  <sortState xmlns:xlrd2="http://schemas.microsoft.com/office/spreadsheetml/2017/richdata2" ref="B109:F109">
    <sortCondition descending="1" ref="F8"/>
  </sortState>
  <tableColumns count="5">
    <tableColumn id="2" xr3:uid="{80C0074C-0166-413F-A9DF-6FD4CBDABC0E}" name="Ingrediente" dataDxfId="4274" totalsRowDxfId="4273"/>
    <tableColumn id="3" xr3:uid="{04AB7847-5D6A-4235-B0D3-3CE11A340E60}" name="Und" dataDxfId="4272" totalsRowDxfId="4271"/>
    <tableColumn id="4" xr3:uid="{EE70B5A0-F488-418B-B792-A2989A6CA67C}" name="Cant." dataDxfId="4270" totalsRowDxfId="4269"/>
    <tableColumn id="5" xr3:uid="{A589031E-10C3-4790-B2BA-065DAF4FC1C4}" name="Costo" dataDxfId="4268" totalsRowDxfId="4267" dataCellStyle="Moneda">
      <calculatedColumnFormula>+VLOOKUP(Tabla11034534544554564791081351121722993063164246276207228336363[[#This Row],[Ingrediente]],Tabla34[#All],3,0)</calculatedColumnFormula>
    </tableColumn>
    <tableColumn id="6" xr3:uid="{05512193-BDFA-48A1-B379-FA8658659416}" name="Total costo" totalsRowFunction="sum" dataDxfId="4266" totalsRowDxfId="4265" dataCellStyle="Moneda">
      <calculatedColumnFormula>+Tabla11034534544554564791081351121722993063164246276207228336363[[#This Row],[Costo]]*Tabla11034534544554564791081351121722993063164246276207228336363[[#This Row],[Cant.]]</calculatedColumnFormula>
    </tableColumn>
  </tableColumns>
  <tableStyleInfo name="TableStyleLight8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3" xr:uid="{69E69F11-7BA5-463B-851D-D968263CF3F0}" name="Tabla11034534544554564791081351121722993063164246276207228336364" displayName="Tabla11034534544554564791081351121722993063164246276207228336364" ref="B121:F123" totalsRowCount="1" headerRowDxfId="4264" dataDxfId="4262" totalsRowDxfId="4260" headerRowBorderDxfId="4263" tableBorderDxfId="4261" totalsRowBorderDxfId="4259">
  <autoFilter ref="B121:F122" xr:uid="{64B8FAA2-B071-4D8C-A605-1A5077AAAFB8}"/>
  <sortState xmlns:xlrd2="http://schemas.microsoft.com/office/spreadsheetml/2017/richdata2" ref="B122:F122">
    <sortCondition descending="1" ref="F8"/>
  </sortState>
  <tableColumns count="5">
    <tableColumn id="2" xr3:uid="{3CD39876-F6A5-4FB1-944A-9375BF1C8754}" name="Ingrediente" dataDxfId="4258" totalsRowDxfId="4257"/>
    <tableColumn id="3" xr3:uid="{A74CEF65-12DB-45C7-B4C7-02F307FD4E66}" name="Und" dataDxfId="4256" totalsRowDxfId="4255"/>
    <tableColumn id="4" xr3:uid="{8773E74E-D35C-47A0-A7CD-CCAF4196F8CA}" name="Cant." dataDxfId="4254" totalsRowDxfId="4253"/>
    <tableColumn id="5" xr3:uid="{88CA48BB-9118-44DC-984B-F775A719AE22}" name="Costo" dataDxfId="4252" totalsRowDxfId="4251" dataCellStyle="Moneda">
      <calculatedColumnFormula>+VLOOKUP(Tabla11034534544554564791081351121722993063164246276207228336364[[#This Row],[Ingrediente]],Tabla34[#All],3,0)</calculatedColumnFormula>
    </tableColumn>
    <tableColumn id="6" xr3:uid="{B49D1CFF-F6EF-451F-8C10-CC66E73CBAB8}" name="Total costo" totalsRowFunction="sum" dataDxfId="4250" totalsRowDxfId="4249" dataCellStyle="Moneda">
      <calculatedColumnFormula>+Tabla11034534544554564791081351121722993063164246276207228336364[[#This Row],[Costo]]*Tabla11034534544554564791081351121722993063164246276207228336364[[#This Row],[Cant.]]</calculatedColumnFormula>
    </tableColumn>
  </tableColumns>
  <tableStyleInfo name="TableStyleLight8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4" xr:uid="{6752D47F-C6B9-4273-BDD5-DC5247B7118D}" name="Tabla11034534544554564791081351121722993063164246276207228336365" displayName="Tabla11034534544554564791081351121722993063164246276207228336365" ref="B134:F136" totalsRowCount="1" headerRowDxfId="4248" dataDxfId="4246" totalsRowDxfId="4244" headerRowBorderDxfId="4247" tableBorderDxfId="4245" totalsRowBorderDxfId="4243">
  <autoFilter ref="B134:F135" xr:uid="{F53E5043-BD74-4DFD-82D3-64B7CF10FA60}"/>
  <sortState xmlns:xlrd2="http://schemas.microsoft.com/office/spreadsheetml/2017/richdata2" ref="B135:F135">
    <sortCondition descending="1" ref="F8"/>
  </sortState>
  <tableColumns count="5">
    <tableColumn id="2" xr3:uid="{BD28E854-4D42-4CDC-B77B-A326674140C5}" name="Ingrediente" dataDxfId="4242" totalsRowDxfId="4241"/>
    <tableColumn id="3" xr3:uid="{9143EA72-7672-4327-9CE5-B9B26E02AB08}" name="Und" dataDxfId="4240" totalsRowDxfId="4239"/>
    <tableColumn id="4" xr3:uid="{5CB598A8-A51E-4180-94E6-A7C3CF969FC6}" name="Cant." dataDxfId="4238" totalsRowDxfId="4237"/>
    <tableColumn id="5" xr3:uid="{69AB085D-DF62-4C2E-B8C6-A5B0F97D143A}" name="Costo" dataDxfId="4236" totalsRowDxfId="4235" dataCellStyle="Moneda">
      <calculatedColumnFormula>+VLOOKUP(Tabla11034534544554564791081351121722993063164246276207228336365[[#This Row],[Ingrediente]],Tabla34[#All],3,0)</calculatedColumnFormula>
    </tableColumn>
    <tableColumn id="6" xr3:uid="{4BB9ECC0-1207-4FF7-8D9C-2CB7975D4254}" name="Total costo" totalsRowFunction="sum" dataDxfId="4234" totalsRowDxfId="4233" dataCellStyle="Moneda">
      <calculatedColumnFormula>+Tabla11034534544554564791081351121722993063164246276207228336365[[#This Row],[Costo]]*Tabla11034534544554564791081351121722993063164246276207228336365[[#This Row],[Cant.]]</calculatedColumnFormula>
    </tableColumn>
  </tableColumns>
  <tableStyleInfo name="TableStyleLight8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5" xr:uid="{AD0A8085-FA4A-4F0A-BA78-AF597419A4CD}" name="Tabla11034534544554564791081351121722993063164246276207228336366" displayName="Tabla11034534544554564791081351121722993063164246276207228336366" ref="B145:F147" totalsRowCount="1" headerRowDxfId="4232" dataDxfId="4230" totalsRowDxfId="4228" headerRowBorderDxfId="4231" tableBorderDxfId="4229" totalsRowBorderDxfId="4227">
  <autoFilter ref="B145:F146" xr:uid="{4E226968-C7AF-4171-BEBA-C2354825B8DF}"/>
  <sortState xmlns:xlrd2="http://schemas.microsoft.com/office/spreadsheetml/2017/richdata2" ref="B146:F146">
    <sortCondition descending="1" ref="F8"/>
  </sortState>
  <tableColumns count="5">
    <tableColumn id="2" xr3:uid="{7CD99EFB-5A04-4D9D-9999-6CC38C8EA48A}" name="Ingrediente" dataDxfId="4226" totalsRowDxfId="4225"/>
    <tableColumn id="3" xr3:uid="{2DFAD080-EAE0-4A00-A0C7-FBA102F81D85}" name="Und" dataDxfId="4224" totalsRowDxfId="4223"/>
    <tableColumn id="4" xr3:uid="{DC3C53D5-9D3B-458C-A276-4EC49752F28C}" name="Cant." dataDxfId="4222" totalsRowDxfId="4221"/>
    <tableColumn id="5" xr3:uid="{5FDE8805-F116-4A5C-A5F2-E080B7012004}" name="Costo" dataDxfId="4220" totalsRowDxfId="4219" dataCellStyle="Moneda">
      <calculatedColumnFormula>+VLOOKUP(Tabla11034534544554564791081351121722993063164246276207228336366[[#This Row],[Ingrediente]],Tabla34[#All],3,0)</calculatedColumnFormula>
    </tableColumn>
    <tableColumn id="6" xr3:uid="{30C5DBAA-9775-46AE-8C59-C440C3EF9E08}" name="Total costo" totalsRowFunction="sum" dataDxfId="4218" totalsRowDxfId="4217" dataCellStyle="Moneda">
      <calculatedColumnFormula>+Tabla11034534544554564791081351121722993063164246276207228336366[[#This Row],[Costo]]*Tabla11034534544554564791081351121722993063164246276207228336366[[#This Row],[Cant.]]</calculatedColumnFormula>
    </tableColumn>
  </tableColumns>
  <tableStyleInfo name="TableStyleLight8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5" xr:uid="{0FA272C6-F21A-4BC3-B142-E240E3A00B1A}" name="Tabla1103453454455456479108135112172299306" displayName="Tabla1103453454455456479108135112172299306" ref="B7:H12" totalsRowCount="1" headerRowDxfId="4216" dataDxfId="4214" totalsRowDxfId="4212" headerRowBorderDxfId="4215" tableBorderDxfId="4213" totalsRowBorderDxfId="4211">
  <autoFilter ref="B7:H11" xr:uid="{78BE3A0D-ECA7-47BB-B29F-2C3C5A2344BE}"/>
  <sortState xmlns:xlrd2="http://schemas.microsoft.com/office/spreadsheetml/2017/richdata2" ref="B8:H11">
    <sortCondition descending="1" ref="H8"/>
  </sortState>
  <tableColumns count="7">
    <tableColumn id="2" xr3:uid="{6788E149-61BA-4221-8BDE-805317592703}" name="Ingrediente" dataDxfId="4210" totalsRowDxfId="4209"/>
    <tableColumn id="3" xr3:uid="{C83AF3F1-5464-40AB-8989-5B4477D4B953}" name="Und" dataDxfId="4208" totalsRowDxfId="4207"/>
    <tableColumn id="1" xr3:uid="{18BAD2FB-5CA3-450B-8073-F5CFDF126EBD}" name="Columna1" dataDxfId="4206" totalsRowDxfId="4205"/>
    <tableColumn id="7" xr3:uid="{4816CC96-7853-4C1C-885D-EAD0C865277E}" name="Columna2" dataDxfId="4204" totalsRowDxfId="4203"/>
    <tableColumn id="4" xr3:uid="{25167CBC-9EDF-4183-BF9A-50279EF8FBB2}" name="Cant." dataDxfId="4202" totalsRowDxfId="4201"/>
    <tableColumn id="5" xr3:uid="{5A69370E-2076-48F0-8C42-1FACC0C208CA}" name="Costo" dataDxfId="4200" totalsRowDxfId="4199" dataCellStyle="Moneda">
      <calculatedColumnFormula>+VLOOKUP(Tabla1103453454455456479108135112172299306[[#This Row],[Ingrediente]],Tabla34[#All],3,0)</calculatedColumnFormula>
    </tableColumn>
    <tableColumn id="6" xr3:uid="{11CDB582-D068-4BE7-BE47-552E05317DDD}" name="Total costo" totalsRowFunction="sum" dataDxfId="4198" totalsRowDxfId="4197" dataCellStyle="Moneda">
      <calculatedColumnFormula>+Tabla1103453454455456479108135112172299306[[#This Row],[Costo]]*Tabla1103453454455456479108135112172299306[[#This Row],[Cant.]]</calculatedColumnFormula>
    </tableColumn>
  </tableColumns>
  <tableStyleInfo name="TableStyleLight8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6" xr:uid="{6AB57BEC-2E7A-4E51-885B-F5273B87E10A}" name="Tabla1103453454455456479108129136156173300307" displayName="Tabla1103453454455456479108129136156173300307" ref="B18:H25" totalsRowCount="1" headerRowDxfId="4196" dataDxfId="4194" totalsRowDxfId="4192" headerRowBorderDxfId="4195" tableBorderDxfId="4193" totalsRowBorderDxfId="4191">
  <autoFilter ref="B18:H24" xr:uid="{087B01A7-35AD-4F23-9E77-4B3FC96A2C1A}"/>
  <sortState xmlns:xlrd2="http://schemas.microsoft.com/office/spreadsheetml/2017/richdata2" ref="B19:H24">
    <sortCondition descending="1" ref="H8"/>
  </sortState>
  <tableColumns count="7">
    <tableColumn id="2" xr3:uid="{BF09E3E3-84C1-4C08-B7CB-9B85A00BEACB}" name="Ingrediente" dataDxfId="4190" totalsRowDxfId="4189"/>
    <tableColumn id="3" xr3:uid="{D4A30597-FB01-4E9B-AF78-EF4ABD4133E2}" name="Und" dataDxfId="4188" totalsRowDxfId="4187"/>
    <tableColumn id="4" xr3:uid="{A15D8323-C02C-4F6B-9A07-410DBAB98D79}" name="Cant." dataDxfId="4186" totalsRowDxfId="4185"/>
    <tableColumn id="1" xr3:uid="{3F9CBE5C-B412-45D7-9BED-10022C649137}" name="Columna1" dataDxfId="4184" totalsRowDxfId="4183"/>
    <tableColumn id="7" xr3:uid="{232B5422-8C8C-475E-A5F4-74239E53B0B2}" name="Columna2" dataDxfId="4182" totalsRowDxfId="4181"/>
    <tableColumn id="5" xr3:uid="{A055372E-F8FE-4C0F-B923-7C85CC7776A8}" name="Costo" dataDxfId="4180" totalsRowDxfId="4179" dataCellStyle="Moneda">
      <calculatedColumnFormula>+VLOOKUP(Tabla1103453454455456479108129136156173300307[[#This Row],[Ingrediente]],Tabla34[#All],3,0)</calculatedColumnFormula>
    </tableColumn>
    <tableColumn id="6" xr3:uid="{297D176E-FCA4-42EC-AC5C-88F47F9B125A}" name="Total costo" totalsRowFunction="sum" dataDxfId="4178" totalsRowDxfId="4177" dataCellStyle="Moneda">
      <calculatedColumnFormula>+Tabla1103453454455456479108129136156173300307[[#This Row],[Costo]]*Tabla1103453454455456479108129136156173300307[[#This Row],[Columna2]]</calculatedColumnFormula>
    </tableColumn>
  </tableColumns>
  <tableStyleInfo name="TableStyleLight8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7" xr:uid="{91ACCC1F-80E3-45B7-B225-3AAAFFB55DCF}" name="Tabla1103453454455456479108130137157174301308" displayName="Tabla1103453454455456479108130137157174301308" ref="B29:H35" totalsRowCount="1" headerRowDxfId="4176" dataDxfId="4174" totalsRowDxfId="4172" headerRowBorderDxfId="4175" tableBorderDxfId="4173" totalsRowBorderDxfId="4171">
  <autoFilter ref="B29:H34" xr:uid="{13FBCEAD-C7B8-4FC5-957B-A5E5AEE709E4}"/>
  <sortState xmlns:xlrd2="http://schemas.microsoft.com/office/spreadsheetml/2017/richdata2" ref="B30:H34">
    <sortCondition descending="1" ref="H31:H34"/>
  </sortState>
  <tableColumns count="7">
    <tableColumn id="2" xr3:uid="{8B77F081-5D5D-4D1C-A6D2-449633D548A2}" name="Ingrediente" dataDxfId="4170" totalsRowDxfId="4169"/>
    <tableColumn id="3" xr3:uid="{45BFEB00-3271-4C77-BFFB-BAAD2ECFA71E}" name="Und" dataDxfId="4168" totalsRowDxfId="4167"/>
    <tableColumn id="4" xr3:uid="{9A0E29A2-ABF6-4000-A447-78A86385F781}" name="Cant." dataDxfId="4166" totalsRowDxfId="4165"/>
    <tableColumn id="1" xr3:uid="{F12F26E7-486A-4059-AC22-D2BA27E42B1B}" name="Columna1" dataDxfId="4164" totalsRowDxfId="4163"/>
    <tableColumn id="7" xr3:uid="{5D0C3CED-2914-496A-A422-0157E224B3F8}" name="Columna2" dataDxfId="4162" totalsRowDxfId="4161"/>
    <tableColumn id="5" xr3:uid="{A347FB56-E8D2-4998-BE40-CDA6A402F71A}" name="Costo" dataDxfId="4160" totalsRowDxfId="4159" dataCellStyle="Moneda">
      <calculatedColumnFormula>+VLOOKUP(Tabla1103453454455456479108130137157174301308[[#This Row],[Ingrediente]],Tabla34[#All],3,0)</calculatedColumnFormula>
    </tableColumn>
    <tableColumn id="6" xr3:uid="{D279DEB3-647F-4F1F-AEA5-9112B138C4C8}" name="Total costo" totalsRowFunction="sum" dataDxfId="4158" totalsRowDxfId="4157" dataCellStyle="Moneda">
      <calculatedColumnFormula>+Tabla1103453454455456479108130137157174301308[[#This Row],[Costo]]*Tabla1103453454455456479108130137157174301308[[#This Row],[Columna2]]</calculatedColumnFormula>
    </tableColumn>
  </tableColumns>
  <tableStyleInfo name="TableStyleLight8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3" xr:uid="{012522FD-BCF7-4EA0-8980-B5FFDD5DC029}" name="Tabla1103453454455456479108132139167187303244" displayName="Tabla1103453454455456479108132139167187303244" ref="B40:H48" totalsRowCount="1" headerRowDxfId="4156" dataDxfId="4154" totalsRowDxfId="4152" headerRowBorderDxfId="4155" tableBorderDxfId="4153" totalsRowBorderDxfId="4151">
  <autoFilter ref="B40:H47" xr:uid="{95003FF9-065F-42A0-8B40-4E0D66F586B2}"/>
  <sortState xmlns:xlrd2="http://schemas.microsoft.com/office/spreadsheetml/2017/richdata2" ref="B41:H47">
    <sortCondition descending="1" ref="H8"/>
  </sortState>
  <tableColumns count="7">
    <tableColumn id="2" xr3:uid="{8277EAEA-3922-43B6-973A-8AAD30F1C652}" name="Ingrediente" dataDxfId="4150" totalsRowDxfId="4149"/>
    <tableColumn id="3" xr3:uid="{91F2F181-1D7A-4BFD-9341-A46CC6373EC1}" name="Und" dataDxfId="4148" totalsRowDxfId="4147"/>
    <tableColumn id="4" xr3:uid="{6B2B5D9F-DC52-48EF-9409-8367AAD2867E}" name="Cant." dataDxfId="4146" totalsRowDxfId="4145"/>
    <tableColumn id="1" xr3:uid="{9B8AB0CD-8068-42DB-BA09-A77D122F2B44}" name="Columna1" dataDxfId="4144" totalsRowDxfId="4143"/>
    <tableColumn id="7" xr3:uid="{3367A544-52D6-4408-A364-C778280C87CB}" name="Columna2" dataDxfId="4142" totalsRowDxfId="4141"/>
    <tableColumn id="5" xr3:uid="{0026714F-1CDC-4209-8CAA-707AD29EEED5}" name="Costo" dataDxfId="4140" totalsRowDxfId="4139" dataCellStyle="Moneda">
      <calculatedColumnFormula>+VLOOKUP(Tabla1103453454455456479108132139167187303244[[#This Row],[Ingrediente]],Tabla34[#All],3,0)</calculatedColumnFormula>
    </tableColumn>
    <tableColumn id="6" xr3:uid="{9E25EC52-0BC0-4322-998E-9DD9ED95AA54}" name="Total costo" totalsRowFunction="sum" dataDxfId="4138" totalsRowDxfId="4137" dataCellStyle="Moneda">
      <calculatedColumnFormula>+Tabla1103453454455456479108132139167187303244[[#This Row],[Costo]]*Tabla1103453454455456479108132139167187303244[[#This Row],[Columna2]]</calculatedColumnFormula>
    </tableColumn>
  </tableColumns>
  <tableStyleInfo name="TableStyleLight8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4" xr:uid="{5CDBDDFE-7763-44B2-9833-19597CDD9AE2}" name="Tabla1103453454455456479108132139167187303245" displayName="Tabla1103453454455456479108132139167187303245" ref="B53:H60" totalsRowCount="1" headerRowDxfId="4136" dataDxfId="4134" totalsRowDxfId="4132" headerRowBorderDxfId="4135" tableBorderDxfId="4133" totalsRowBorderDxfId="4131">
  <autoFilter ref="B53:H59" xr:uid="{DDD39682-A8CB-4ED6-8DB7-C6350200F2DB}"/>
  <sortState xmlns:xlrd2="http://schemas.microsoft.com/office/spreadsheetml/2017/richdata2" ref="B54:H59">
    <sortCondition descending="1" ref="H8"/>
  </sortState>
  <tableColumns count="7">
    <tableColumn id="2" xr3:uid="{5855F287-C6EB-4BAE-AF00-908755BCC80B}" name="Ingrediente" dataDxfId="4130" totalsRowDxfId="4129"/>
    <tableColumn id="3" xr3:uid="{5131D574-52A4-4C28-B7E2-4B059260E5E8}" name="Und" dataDxfId="4128" totalsRowDxfId="4127"/>
    <tableColumn id="4" xr3:uid="{A49A0980-AE7D-44BD-993C-AA6A5ABDB9D3}" name="Cant." dataDxfId="4126" totalsRowDxfId="4125"/>
    <tableColumn id="1" xr3:uid="{2C0C4207-5BAB-4197-8FDD-FBD1D559CA34}" name="Columna1" dataDxfId="4124" totalsRowDxfId="4123"/>
    <tableColumn id="7" xr3:uid="{A17B6A07-4927-47E3-872E-91DAB65DA6E9}" name="Columna2" dataDxfId="4122" totalsRowDxfId="4121"/>
    <tableColumn id="5" xr3:uid="{9FEC7DFA-7AA3-46F8-ABD4-D3DA2429DB78}" name="Costo" dataDxfId="4120" totalsRowDxfId="4119" dataCellStyle="Moneda">
      <calculatedColumnFormula>+VLOOKUP(Tabla1103453454455456479108132139167187303245[[#This Row],[Ingrediente]],Tabla34[#All],3,0)</calculatedColumnFormula>
    </tableColumn>
    <tableColumn id="6" xr3:uid="{90F8A2C1-860C-4A42-BB04-F9CD3FD1F6F1}" name="Total costo" totalsRowFunction="sum" dataDxfId="4118" totalsRowDxfId="4117" dataCellStyle="Moneda">
      <calculatedColumnFormula>+Tabla1103453454455456479108132139167187303245[[#This Row],[Costo]]*Tabla1103453454455456479108132139167187303245[[#This Row],[Columna2]]</calculatedColumnFormula>
    </tableColumn>
  </tableColumns>
  <tableStyleInfo name="TableStyleLight8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1" xr:uid="{FB10C3DE-7DFF-4E00-B5E3-2813A62736C9}" name="Tabla1103453454455456479108130137157174301308323324332402" displayName="Tabla1103453454455456479108130137157174301308323324332402" ref="B64:H70" totalsRowCount="1" headerRowDxfId="4116" dataDxfId="4114" totalsRowDxfId="4112" headerRowBorderDxfId="4115" tableBorderDxfId="4113" totalsRowBorderDxfId="4111">
  <autoFilter ref="B64:H69" xr:uid="{FF66083C-A647-44F7-986C-35CA9E75A6FF}"/>
  <tableColumns count="7">
    <tableColumn id="2" xr3:uid="{1823A07F-4304-4E8B-A6E9-D5A39410AD9A}" name="Ingrediente" dataDxfId="4110" totalsRowDxfId="4109"/>
    <tableColumn id="3" xr3:uid="{AD4E7232-46B6-4CBD-B358-D2A51D895FF7}" name="Und" dataDxfId="4108" totalsRowDxfId="4107"/>
    <tableColumn id="4" xr3:uid="{492499C0-69A2-4049-9BF4-FC35C758A66F}" name="Cant." dataDxfId="4106" totalsRowDxfId="4105"/>
    <tableColumn id="1" xr3:uid="{B33DB003-2FEB-4E0F-8480-B4234B8D166D}" name="Columna1" dataDxfId="4104" totalsRowDxfId="4103"/>
    <tableColumn id="7" xr3:uid="{F0775A4A-DF92-4AFB-AB57-5DB484FE04FB}" name="Columna2" dataDxfId="4102" totalsRowDxfId="4101"/>
    <tableColumn id="5" xr3:uid="{1AEFF125-337B-4DDB-AE74-D233B45C30C0}" name="Costo" dataDxfId="4100" totalsRowDxfId="4099" dataCellStyle="Moneda">
      <calculatedColumnFormula>+VLOOKUP(Tabla1103453454455456479108130137157174301308323324332402[[#This Row],[Ingrediente]],Tabla34[#All],3,0)</calculatedColumnFormula>
    </tableColumn>
    <tableColumn id="6" xr3:uid="{6CBD015C-5394-4126-A41C-0362CBFB4BF4}" name="Total costo" totalsRowFunction="sum" dataDxfId="4098" totalsRowDxfId="4097" dataCellStyle="Moneda">
      <calculatedColumnFormula>+Tabla1103453454455456479108130137157174301308323324332402[[#This Row],[Costo]]*Tabla1103453454455456479108130137157174301308323324332402[[#This Row],[Columna2]]</calculatedColumnFormula>
    </tableColumn>
  </tableColumns>
  <tableStyleInfo name="TableStyleLight8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2" xr:uid="{61034262-7E8F-46CA-9C3D-A4DE47DA358C}" name="Tabla1103453454455456479108135149219303" displayName="Tabla1103453454455456479108135149219303" ref="B5:F7" totalsRowCount="1" headerRowDxfId="4096" dataDxfId="4094" totalsRowDxfId="4092" headerRowBorderDxfId="4095" tableBorderDxfId="4093" totalsRowBorderDxfId="4091">
  <autoFilter ref="B5:F6" xr:uid="{61034262-7E8F-46CA-9C3D-A4DE47DA358C}"/>
  <sortState xmlns:xlrd2="http://schemas.microsoft.com/office/spreadsheetml/2017/richdata2" ref="B6:F6">
    <sortCondition descending="1" ref="F8"/>
  </sortState>
  <tableColumns count="5">
    <tableColumn id="2" xr3:uid="{564BD9FE-ACAF-464F-8DFE-D432EFA6720F}" name="Ingrediente" dataDxfId="4090" totalsRowDxfId="4089"/>
    <tableColumn id="3" xr3:uid="{F30185E5-181C-42D2-9FC3-26ACC05565CC}" name="Und" dataDxfId="4088" totalsRowDxfId="4087"/>
    <tableColumn id="4" xr3:uid="{8686BCAE-0E6F-41E3-8BAB-29A44A15BD02}" name="Cant." dataDxfId="4086" totalsRowDxfId="4085"/>
    <tableColumn id="5" xr3:uid="{43016BEA-F897-428F-A050-335BD4E10621}" name="Costo" dataDxfId="4084" totalsRowDxfId="4083" dataCellStyle="Moneda">
      <calculatedColumnFormula>+VLOOKUP(Tabla1103453454455456479108135149219303[[#This Row],[Ingrediente]],Tabla34[#All],3,0)</calculatedColumnFormula>
    </tableColumn>
    <tableColumn id="6" xr3:uid="{BF0D53A5-712F-4C24-A992-D7D81EB901D8}" name="Total costo" totalsRowFunction="sum" dataDxfId="4082" totalsRowDxfId="4081" dataCellStyle="Moneda">
      <calculatedColumnFormula>+Tabla1103453454455456479108135149219303[[#This Row],[Costo]]*Tabla1103453454455456479108135149219303[[#This Row],[Cant.]]</calculatedColumnFormula>
    </tableColumn>
  </tableColumns>
  <tableStyleInfo name="TableStyleLight8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5" xr:uid="{1C718D2B-201C-48BB-AC04-496EDC304C46}" name="Tabla1103453454455456479108135149219303326" displayName="Tabla1103453454455456479108135149219303326" ref="B21:F23" totalsRowCount="1" headerRowDxfId="4080" dataDxfId="4078" totalsRowDxfId="4076" headerRowBorderDxfId="4079" tableBorderDxfId="4077" totalsRowBorderDxfId="4075">
  <autoFilter ref="B21:F22" xr:uid="{1C718D2B-201C-48BB-AC04-496EDC304C46}"/>
  <sortState xmlns:xlrd2="http://schemas.microsoft.com/office/spreadsheetml/2017/richdata2" ref="B22:F22">
    <sortCondition descending="1" ref="F8"/>
  </sortState>
  <tableColumns count="5">
    <tableColumn id="2" xr3:uid="{9A6E29E3-AE00-44DC-BBB4-434E33D5D86E}" name="Ingrediente" dataDxfId="4074" totalsRowDxfId="4073"/>
    <tableColumn id="3" xr3:uid="{9FADD9FE-CAAF-41D6-9120-21B0EE20D648}" name="Und" dataDxfId="4072" totalsRowDxfId="4071"/>
    <tableColumn id="4" xr3:uid="{C66FDF72-5BAE-4A27-80D9-042C8CCD7DD8}" name="Cant." dataDxfId="4070" totalsRowDxfId="4069"/>
    <tableColumn id="5" xr3:uid="{9E23568A-861C-4A0B-AF8D-2F6CB116D762}" name="Costo" dataDxfId="4068" totalsRowDxfId="4067" dataCellStyle="Moneda">
      <calculatedColumnFormula>+VLOOKUP(Tabla1103453454455456479108135149219303326[[#This Row],[Ingrediente]],Tabla34[#All],3,0)</calculatedColumnFormula>
    </tableColumn>
    <tableColumn id="6" xr3:uid="{A4C91604-CFE6-474A-B79C-2C88E0B1C679}" name="Total costo" totalsRowFunction="sum" dataDxfId="4066" totalsRowDxfId="4065" dataCellStyle="Moneda">
      <calculatedColumnFormula>+Tabla1103453454455456479108135149219303326[[#This Row],[Costo]]*Tabla1103453454455456479108135149219303326[[#This Row],[Cant.]]</calculatedColumnFormula>
    </tableColumn>
  </tableColumns>
  <tableStyleInfo name="TableStyleLight8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8" xr:uid="{CC420B06-C5D3-474A-A51C-AF0E0D700487}" name="Tabla1103453454455456479108135149219303409" displayName="Tabla1103453454455456479108135149219303409" ref="B37:F39" totalsRowCount="1" headerRowDxfId="4064" dataDxfId="4062" totalsRowDxfId="4060" headerRowBorderDxfId="4063" tableBorderDxfId="4061" totalsRowBorderDxfId="4059">
  <autoFilter ref="B37:F38" xr:uid="{CC420B06-C5D3-474A-A51C-AF0E0D700487}"/>
  <sortState xmlns:xlrd2="http://schemas.microsoft.com/office/spreadsheetml/2017/richdata2" ref="B38:F38">
    <sortCondition descending="1" ref="F8"/>
  </sortState>
  <tableColumns count="5">
    <tableColumn id="2" xr3:uid="{4D673B16-D712-45CB-99C7-8C7464F5FEE4}" name="Ingrediente" dataDxfId="4058" totalsRowDxfId="4057"/>
    <tableColumn id="3" xr3:uid="{D417EFEE-3D26-4DE2-BC56-C6E01343838C}" name="Und" dataDxfId="4056" totalsRowDxfId="4055"/>
    <tableColumn id="4" xr3:uid="{9AFC68C0-BD47-451A-B865-E06646ECF7B4}" name="Cant." dataDxfId="4054" totalsRowDxfId="4053"/>
    <tableColumn id="5" xr3:uid="{48CD312E-823B-450F-ACF6-4391A4B2E24B}" name="Costo" dataDxfId="4052" totalsRowDxfId="4051" dataCellStyle="Moneda">
      <calculatedColumnFormula>+VLOOKUP(Tabla1103453454455456479108135149219303409[[#This Row],[Ingrediente]],Tabla34[#All],3,0)</calculatedColumnFormula>
    </tableColumn>
    <tableColumn id="6" xr3:uid="{93274248-154E-4493-818D-8449D63FB20B}" name="Total costo" totalsRowFunction="sum" dataDxfId="4050" totalsRowDxfId="4049" dataCellStyle="Moneda">
      <calculatedColumnFormula>+Tabla1103453454455456479108135149219303409[[#This Row],[Costo]]*Tabla1103453454455456479108135149219303409[[#This Row],[Cant.]]</calculatedColumnFormula>
    </tableColumn>
  </tableColumns>
  <tableStyleInfo name="TableStyleLight8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7" xr:uid="{E9091244-EC5C-4B09-AADB-4D5A6400675A}" name="Tabla1103453454455456479108135149219303418" displayName="Tabla1103453454455456479108135149219303418" ref="B51:F53" totalsRowCount="1" headerRowDxfId="4048" dataDxfId="4046" totalsRowDxfId="4044" headerRowBorderDxfId="4047" tableBorderDxfId="4045" totalsRowBorderDxfId="4043">
  <autoFilter ref="B51:F52" xr:uid="{E9091244-EC5C-4B09-AADB-4D5A6400675A}"/>
  <sortState xmlns:xlrd2="http://schemas.microsoft.com/office/spreadsheetml/2017/richdata2" ref="B52:F52">
    <sortCondition descending="1" ref="F8"/>
  </sortState>
  <tableColumns count="5">
    <tableColumn id="2" xr3:uid="{8C5BC574-0A05-4BD8-B2E2-0064C9B61FA4}" name="Ingrediente" dataDxfId="4042" totalsRowDxfId="4041"/>
    <tableColumn id="3" xr3:uid="{46C97FA7-897A-47A3-9D6E-22E169CC9717}" name="Und" dataDxfId="4040" totalsRowDxfId="4039"/>
    <tableColumn id="4" xr3:uid="{56114C93-31E6-41C9-A654-9C7517878A78}" name="Cant." dataDxfId="4038" totalsRowDxfId="4037"/>
    <tableColumn id="5" xr3:uid="{B4BF99BD-6E7A-4924-AA05-80622832EA17}" name="Costo" dataDxfId="4036" totalsRowDxfId="4035" dataCellStyle="Moneda">
      <calculatedColumnFormula>+VLOOKUP(Tabla1103453454455456479108135149219303418[[#This Row],[Ingrediente]],Tabla34[#All],3,0)</calculatedColumnFormula>
    </tableColumn>
    <tableColumn id="6" xr3:uid="{386A16F2-A7DD-4128-8E05-5C14C54E7F40}" name="Total costo" totalsRowFunction="sum" dataDxfId="4034" totalsRowDxfId="4033" dataCellStyle="Moneda">
      <calculatedColumnFormula>+Tabla1103453454455456479108135149219303418[[#This Row],[Costo]]*Tabla1103453454455456479108135149219303418[[#This Row],[Cant.]]</calculatedColumnFormula>
    </tableColumn>
  </tableColumns>
  <tableStyleInfo name="TableStyleLight8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0" xr:uid="{DEAE8A0D-C331-4D54-A8D7-3187DEA924A8}" name="Tabla1103453454455456479108135149219379380381" displayName="Tabla1103453454455456479108135149219379380381" ref="A7:E9" totalsRowCount="1" headerRowDxfId="4032" dataDxfId="4030" totalsRowDxfId="4028" headerRowBorderDxfId="4031" tableBorderDxfId="4029" totalsRowBorderDxfId="4027">
  <autoFilter ref="A7:E8" xr:uid="{39FC5A79-9CA1-4951-B76D-75E00818F26E}"/>
  <sortState xmlns:xlrd2="http://schemas.microsoft.com/office/spreadsheetml/2017/richdata2" ref="A8:E8">
    <sortCondition descending="1" ref="E8"/>
  </sortState>
  <tableColumns count="5">
    <tableColumn id="2" xr3:uid="{56D1389A-8E8F-47D2-95A9-0EF4E57A5B0D}" name="Ingrediente" dataDxfId="4026" totalsRowDxfId="4025"/>
    <tableColumn id="3" xr3:uid="{1A1192E0-E6BE-4A89-8D5B-5C3E68D41072}" name="Und" dataDxfId="4024" totalsRowDxfId="4023"/>
    <tableColumn id="4" xr3:uid="{AB79EAFC-D25C-4BB3-A805-D70A0481D665}" name="Cant." dataDxfId="4022" totalsRowDxfId="4021"/>
    <tableColumn id="5" xr3:uid="{0905F4C7-6AC4-45BB-A053-4871C7C3EBE0}" name="Costo" dataDxfId="4020" totalsRowDxfId="4019" dataCellStyle="Moneda">
      <calculatedColumnFormula>+VLOOKUP(Tabla1103453454455456479108135149219379380381[[#This Row],[Ingrediente]],Tabla34[#All],3,0)</calculatedColumnFormula>
    </tableColumn>
    <tableColumn id="6" xr3:uid="{5EE9FC42-AC4D-46F4-95A3-CA14142460C8}" name="Total costo" totalsRowFunction="sum" dataDxfId="4018" totalsRowDxfId="4017" dataCellStyle="Moneda">
      <calculatedColumnFormula>+Tabla1103453454455456479108135149219379380381[[#This Row],[Costo]]*Tabla1103453454455456479108135149219379380381[[#This Row],[Cant.]]</calculatedColumnFormula>
    </tableColumn>
  </tableColumns>
  <tableStyleInfo name="TableStyleLight8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4" xr:uid="{C1819C40-907D-45CA-8C72-35EB98EACEB1}" name="Tabla1103453454455456479108135149219379380381395" displayName="Tabla1103453454455456479108135149219379380381395" ref="A19:E21" totalsRowCount="1" headerRowDxfId="4016" dataDxfId="4014" totalsRowDxfId="4012" headerRowBorderDxfId="4015" tableBorderDxfId="4013" totalsRowBorderDxfId="4011">
  <autoFilter ref="A19:E20" xr:uid="{8F57153E-3201-41C6-BB94-BADBC43F4C7D}"/>
  <sortState xmlns:xlrd2="http://schemas.microsoft.com/office/spreadsheetml/2017/richdata2" ref="A20:E20">
    <sortCondition descending="1" ref="E8"/>
  </sortState>
  <tableColumns count="5">
    <tableColumn id="2" xr3:uid="{A20D1EB2-BD51-48C2-B96F-7499B212A98B}" name="Ingrediente" dataDxfId="4010" totalsRowDxfId="4009"/>
    <tableColumn id="3" xr3:uid="{BBABD00E-E085-48FA-AA5D-50C03C2C8255}" name="Und" dataDxfId="4008" totalsRowDxfId="4007"/>
    <tableColumn id="4" xr3:uid="{7448FCEA-2419-46B2-98A7-8CE84FE7DEBD}" name="Cant." dataDxfId="4006" totalsRowDxfId="4005"/>
    <tableColumn id="5" xr3:uid="{73E0A6E5-51C2-46B0-85A5-F5E23A7C9677}" name="Costo" dataDxfId="4004" totalsRowDxfId="4003" dataCellStyle="Moneda">
      <calculatedColumnFormula>+VLOOKUP(Tabla1103453454455456479108135149219379380381395[[#This Row],[Ingrediente]],Tabla34[#All],3,0)</calculatedColumnFormula>
    </tableColumn>
    <tableColumn id="6" xr3:uid="{779CF21B-3187-48B8-8F5F-134B60B82F86}" name="Total costo" totalsRowFunction="sum" dataDxfId="4002" totalsRowDxfId="4001" dataCellStyle="Moneda">
      <calculatedColumnFormula>+Tabla1103453454455456479108135149219379380381395[[#This Row],[Costo]]*Tabla1103453454455456479108135149219379380381395[[#This Row],[Cant.]]</calculatedColumnFormula>
    </tableColumn>
  </tableColumns>
  <tableStyleInfo name="TableStyleLight8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5" xr:uid="{ADB76503-05F2-4366-B33D-2A293B3A605A}" name="Tabla1103453454455456479108135149219379380381396" displayName="Tabla1103453454455456479108135149219379380381396" ref="A31:E33" totalsRowCount="1" headerRowDxfId="4000" dataDxfId="3998" totalsRowDxfId="3996" headerRowBorderDxfId="3999" tableBorderDxfId="3997" totalsRowBorderDxfId="3995">
  <autoFilter ref="A31:E32" xr:uid="{8C8E1A0B-3109-42E7-864A-C9BB585A024B}"/>
  <sortState xmlns:xlrd2="http://schemas.microsoft.com/office/spreadsheetml/2017/richdata2" ref="A32:E32">
    <sortCondition descending="1" ref="E8"/>
  </sortState>
  <tableColumns count="5">
    <tableColumn id="2" xr3:uid="{AFD9DB99-7FA2-47A1-827A-02A474943A52}" name="Ingrediente" dataDxfId="3994" totalsRowDxfId="3993"/>
    <tableColumn id="3" xr3:uid="{5FDF6C1C-3D68-4925-9E1B-4324D12112DF}" name="Und" dataDxfId="3992" totalsRowDxfId="3991"/>
    <tableColumn id="4" xr3:uid="{06E02B5D-CD69-4F2B-BD4B-3896F1AE9DB1}" name="Cant." dataDxfId="3990" totalsRowDxfId="3989"/>
    <tableColumn id="5" xr3:uid="{53BFB416-27BE-4E58-816A-D19CCC7CB3BC}" name="Costo" dataDxfId="3988" totalsRowDxfId="3987" dataCellStyle="Moneda">
      <calculatedColumnFormula>+VLOOKUP(Tabla1103453454455456479108135149219379380381396[[#This Row],[Ingrediente]],Tabla34[#All],3,0)</calculatedColumnFormula>
    </tableColumn>
    <tableColumn id="6" xr3:uid="{C7EAAA87-1EBB-474A-82A5-FE13B068165E}" name="Total costo" totalsRowFunction="sum" dataDxfId="3986" totalsRowDxfId="3985" dataCellStyle="Moneda">
      <calculatedColumnFormula>+Tabla1103453454455456479108135149219379380381396[[#This Row],[Costo]]*Tabla1103453454455456479108135149219379380381396[[#This Row],[Cant.]]</calculatedColumnFormula>
    </tableColumn>
  </tableColumns>
  <tableStyleInfo name="TableStyleLight8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6" xr:uid="{B36778BA-13F1-4C86-A0D3-28E9749BD575}" name="Tabla1103453454455456479108135149219379380381397" displayName="Tabla1103453454455456479108135149219379380381397" ref="A43:E45" totalsRowCount="1" headerRowDxfId="3984" dataDxfId="3982" totalsRowDxfId="3980" headerRowBorderDxfId="3983" tableBorderDxfId="3981" totalsRowBorderDxfId="3979">
  <autoFilter ref="A43:E44" xr:uid="{9DA596E5-8ECA-4259-BC30-496D1022F720}"/>
  <sortState xmlns:xlrd2="http://schemas.microsoft.com/office/spreadsheetml/2017/richdata2" ref="A44:E44">
    <sortCondition descending="1" ref="E8"/>
  </sortState>
  <tableColumns count="5">
    <tableColumn id="2" xr3:uid="{31167D75-03BD-4748-80F3-AFFBBD88BA71}" name="Ingrediente" dataDxfId="3978" totalsRowDxfId="3977"/>
    <tableColumn id="3" xr3:uid="{E632AB20-F675-458C-B30C-947BA32E66A9}" name="Und" dataDxfId="3976" totalsRowDxfId="3975"/>
    <tableColumn id="4" xr3:uid="{D7B678C7-727F-4649-B0C4-0625A1009FFF}" name="Cant." dataDxfId="3974" totalsRowDxfId="3973"/>
    <tableColumn id="5" xr3:uid="{F159F8AC-62B6-41A6-87A0-6F40D88811B8}" name="Costo" dataDxfId="3972" totalsRowDxfId="3971" dataCellStyle="Moneda">
      <calculatedColumnFormula>+VLOOKUP(Tabla1103453454455456479108135149219379380381397[[#This Row],[Ingrediente]],Tabla34[#All],3,0)</calculatedColumnFormula>
    </tableColumn>
    <tableColumn id="6" xr3:uid="{C58ECDF2-0959-4D64-AE56-4236DC878645}" name="Total costo" totalsRowFunction="sum" dataDxfId="3970" totalsRowDxfId="3969" dataCellStyle="Moneda">
      <calculatedColumnFormula>+Tabla1103453454455456479108135149219379380381397[[#This Row],[Costo]]*Tabla1103453454455456479108135149219379380381397[[#This Row],[Cant.]]</calculatedColumnFormula>
    </tableColumn>
  </tableColumns>
  <tableStyleInfo name="TableStyleLight8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7" xr:uid="{C898D81C-D1C6-43A9-A7BF-8C23337DCCE7}" name="Tabla1103453454455456479108135149219379380381398" displayName="Tabla1103453454455456479108135149219379380381398" ref="A57:E59" totalsRowCount="1" headerRowDxfId="3968" dataDxfId="3966" totalsRowDxfId="3964" headerRowBorderDxfId="3967" tableBorderDxfId="3965" totalsRowBorderDxfId="3963">
  <autoFilter ref="A57:E58" xr:uid="{DA4C5E09-FDAC-4D26-82BC-1E7C657CBF32}"/>
  <sortState xmlns:xlrd2="http://schemas.microsoft.com/office/spreadsheetml/2017/richdata2" ref="A58:E58">
    <sortCondition descending="1" ref="E8"/>
  </sortState>
  <tableColumns count="5">
    <tableColumn id="2" xr3:uid="{324A2FE6-F993-43E7-BDAC-9B81B32869AC}" name="Ingrediente" dataDxfId="3962" totalsRowDxfId="3961"/>
    <tableColumn id="3" xr3:uid="{C95F98AF-D39B-4633-B2B9-157496A2276F}" name="Und" dataDxfId="3960" totalsRowDxfId="3959"/>
    <tableColumn id="4" xr3:uid="{1DB77F84-247E-4CF4-A214-9DA8DECD9002}" name="Cant." dataDxfId="3958" totalsRowDxfId="3957"/>
    <tableColumn id="5" xr3:uid="{CC9CF6C0-1FC8-40DD-B60D-E7B88BF8E5BD}" name="Costo" dataDxfId="3956" totalsRowDxfId="3955" dataCellStyle="Moneda">
      <calculatedColumnFormula>+VLOOKUP(Tabla1103453454455456479108135149219379380381398[[#This Row],[Ingrediente]],Tabla34[#All],3,0)</calculatedColumnFormula>
    </tableColumn>
    <tableColumn id="6" xr3:uid="{54584C3B-3521-4E8B-8261-E74495782D76}" name="Total costo" totalsRowFunction="sum" dataDxfId="3954" totalsRowDxfId="3953" dataCellStyle="Moneda">
      <calculatedColumnFormula>+Tabla1103453454455456479108135149219379380381398[[#This Row],[Costo]]*Tabla1103453454455456479108135149219379380381398[[#This Row],[Cant.]]</calculatedColumnFormula>
    </tableColumn>
  </tableColumns>
  <tableStyleInfo name="TableStyleLight8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8" xr:uid="{9FBA3F95-5619-4BBC-8E8C-A062A443FF2E}" name="Tabla1103453454455456479108135149219379380381399" displayName="Tabla1103453454455456479108135149219379380381399" ref="A70:E72" totalsRowCount="1" headerRowDxfId="3952" dataDxfId="3950" totalsRowDxfId="3948" headerRowBorderDxfId="3951" tableBorderDxfId="3949" totalsRowBorderDxfId="3947">
  <autoFilter ref="A70:E71" xr:uid="{E22ECB62-24BB-409B-85CF-9FBD1FBD6AB6}"/>
  <sortState xmlns:xlrd2="http://schemas.microsoft.com/office/spreadsheetml/2017/richdata2" ref="A71:E71">
    <sortCondition descending="1" ref="E8"/>
  </sortState>
  <tableColumns count="5">
    <tableColumn id="2" xr3:uid="{4C34D402-E85F-4967-BB8B-AA070E9D5546}" name="Ingrediente" dataDxfId="3946" totalsRowDxfId="3945"/>
    <tableColumn id="3" xr3:uid="{A026DB07-47B0-4FE7-9E3C-74141906876F}" name="Und" dataDxfId="3944" totalsRowDxfId="3943"/>
    <tableColumn id="4" xr3:uid="{35BA6571-E544-44F1-BB01-397E59125224}" name="Cant." dataDxfId="3942" totalsRowDxfId="3941"/>
    <tableColumn id="5" xr3:uid="{34CE64CC-1AAF-45EF-8D96-70DC4212F68C}" name="Costo" dataDxfId="3940" totalsRowDxfId="3939" dataCellStyle="Moneda">
      <calculatedColumnFormula>+VLOOKUP(Tabla1103453454455456479108135149219379380381399[[#This Row],[Ingrediente]],Tabla34[#All],3,0)</calculatedColumnFormula>
    </tableColumn>
    <tableColumn id="6" xr3:uid="{6D4DC382-8F46-4B72-BB65-D0C603401302}" name="Total costo" totalsRowFunction="sum" dataDxfId="3938" totalsRowDxfId="3937" dataCellStyle="Moneda">
      <calculatedColumnFormula>+Tabla1103453454455456479108135149219379380381399[[#This Row],[Costo]]*Tabla1103453454455456479108135149219379380381399[[#This Row],[Cant.]]</calculatedColumnFormula>
    </tableColumn>
  </tableColumns>
  <tableStyleInfo name="TableStyleLight8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9" xr:uid="{7AFAA68A-2323-4D5E-840A-5D9A6D724472}" name="Tabla1103453454455456479108135149219379380381400" displayName="Tabla1103453454455456479108135149219379380381400" ref="A81:E83" totalsRowCount="1" headerRowDxfId="3936" dataDxfId="3934" totalsRowDxfId="3932" headerRowBorderDxfId="3935" tableBorderDxfId="3933" totalsRowBorderDxfId="3931">
  <autoFilter ref="A81:E82" xr:uid="{C2FD5F96-D348-44EA-9ED9-090BCFC6E771}"/>
  <sortState xmlns:xlrd2="http://schemas.microsoft.com/office/spreadsheetml/2017/richdata2" ref="A82:E82">
    <sortCondition descending="1" ref="E8"/>
  </sortState>
  <tableColumns count="5">
    <tableColumn id="2" xr3:uid="{7B6F1000-83B3-4D61-A7F4-D919236019AA}" name="Ingrediente" dataDxfId="3930" totalsRowDxfId="3929"/>
    <tableColumn id="3" xr3:uid="{3D73652B-3E71-4EAE-92D2-4ACA9AE12F37}" name="Und" dataDxfId="3928" totalsRowDxfId="3927"/>
    <tableColumn id="4" xr3:uid="{AF7A111F-5D5C-44DB-B311-2045D3B18732}" name="Cant." dataDxfId="3926" totalsRowDxfId="3925"/>
    <tableColumn id="5" xr3:uid="{3D39DC5F-28A2-4E69-B93F-3A07BFC4A6EA}" name="Costo" dataDxfId="3924" totalsRowDxfId="3923" dataCellStyle="Moneda">
      <calculatedColumnFormula>+VLOOKUP(Tabla1103453454455456479108135149219379380381400[[#This Row],[Ingrediente]],Tabla34[#All],3,0)</calculatedColumnFormula>
    </tableColumn>
    <tableColumn id="6" xr3:uid="{2D989B3B-6149-4AFE-8EBA-0C7F72E9DA52}" name="Total costo" totalsRowFunction="sum" dataDxfId="3922" totalsRowDxfId="3921" dataCellStyle="Moneda">
      <calculatedColumnFormula>+Tabla1103453454455456479108135149219379380381400[[#This Row],[Costo]]*Tabla1103453454455456479108135149219379380381400[[#This Row],[Cant.]]</calculatedColumnFormula>
    </tableColumn>
  </tableColumns>
  <tableStyleInfo name="TableStyleLight8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0" xr:uid="{CCB6BDCD-C61C-4229-A508-4A01C0F37F09}" name="Tabla1103453454455456479108135149219379380381397401" displayName="Tabla1103453454455456479108135149219379380381397401" ref="A93:E95" totalsRowCount="1" headerRowDxfId="3920" dataDxfId="3918" totalsRowDxfId="3916" headerRowBorderDxfId="3919" tableBorderDxfId="3917" totalsRowBorderDxfId="3915">
  <autoFilter ref="A93:E94" xr:uid="{54BBD5BC-7F9E-4EAD-98D4-88C21FD56FB3}"/>
  <sortState xmlns:xlrd2="http://schemas.microsoft.com/office/spreadsheetml/2017/richdata2" ref="A94:E94">
    <sortCondition descending="1" ref="E8"/>
  </sortState>
  <tableColumns count="5">
    <tableColumn id="2" xr3:uid="{626983B5-322B-4151-A22C-D6092BFED67C}" name="Ingrediente" dataDxfId="3914" totalsRowDxfId="3913"/>
    <tableColumn id="3" xr3:uid="{F7EA0EAB-5054-4F01-ACF1-06B7EC3A46BA}" name="Und" dataDxfId="3912" totalsRowDxfId="3911"/>
    <tableColumn id="4" xr3:uid="{1BB1951E-A8F1-41CF-A098-25E9B5E304CD}" name="Cant." dataDxfId="3910" totalsRowDxfId="3909"/>
    <tableColumn id="5" xr3:uid="{D76539F9-B5F9-48D1-9CDE-2A5D4A0F1455}" name="Costo" dataDxfId="3908" totalsRowDxfId="3907" dataCellStyle="Moneda">
      <calculatedColumnFormula>+VLOOKUP(Tabla1103453454455456479108135149219379380381397401[[#This Row],[Ingrediente]],Tabla34[#All],3,0)</calculatedColumnFormula>
    </tableColumn>
    <tableColumn id="6" xr3:uid="{2413E8CA-15FC-42C7-83DB-44A1C1143C55}" name="Total costo" totalsRowFunction="sum" dataDxfId="3906" totalsRowDxfId="3905" dataCellStyle="Moneda">
      <calculatedColumnFormula>+Tabla1103453454455456479108135149219379380381397401[[#This Row],[Costo]]*Tabla1103453454455456479108135149219379380381397401[[#This Row],[Cant.]]</calculatedColumnFormula>
    </tableColumn>
  </tableColumns>
  <tableStyleInfo name="TableStyleLight8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8" xr:uid="{EA03C850-CB8A-4551-920A-47A361F7B15F}" name="Tabla1103453454455456479108135149219379" displayName="Tabla1103453454455456479108135149219379" ref="A7:E9" totalsRowCount="1" headerRowDxfId="3904" dataDxfId="3902" totalsRowDxfId="3900" headerRowBorderDxfId="3903" tableBorderDxfId="3901" totalsRowBorderDxfId="3899">
  <autoFilter ref="A7:E8" xr:uid="{39FC5A79-9CA1-4951-B76D-75E00818F26E}"/>
  <sortState xmlns:xlrd2="http://schemas.microsoft.com/office/spreadsheetml/2017/richdata2" ref="A8:E8">
    <sortCondition descending="1" ref="E8"/>
  </sortState>
  <tableColumns count="5">
    <tableColumn id="2" xr3:uid="{56C98CF9-6DAA-4D1D-857D-4444BD9DCB8A}" name="Ingrediente" dataDxfId="3898" totalsRowDxfId="3897"/>
    <tableColumn id="3" xr3:uid="{5A4582F5-609C-4104-81A7-D2A1A4B7B06F}" name="Und" dataDxfId="3896" totalsRowDxfId="3895"/>
    <tableColumn id="4" xr3:uid="{E9C755B9-21BE-4F57-827A-F946166FB86E}" name="Cant." dataDxfId="3894" totalsRowDxfId="3893"/>
    <tableColumn id="5" xr3:uid="{388E05ED-BF80-4966-8BD9-338ECA644922}" name="Costo" dataDxfId="3892" totalsRowDxfId="3891" dataCellStyle="Moneda">
      <calculatedColumnFormula>+VLOOKUP(Tabla1103453454455456479108135149219379[[#This Row],[Ingrediente]],Tabla34[#All],3,0)</calculatedColumnFormula>
    </tableColumn>
    <tableColumn id="6" xr3:uid="{E1EE3221-262B-4DCE-8409-4FA997246CD7}" name="Total costo" totalsRowFunction="sum" dataDxfId="3890" totalsRowDxfId="3889" dataCellStyle="Moneda">
      <calculatedColumnFormula>+Tabla1103453454455456479108135149219379[[#This Row],[Costo]]*Tabla1103453454455456479108135149219379[[#This Row],[Cant.]]</calculatedColumnFormula>
    </tableColumn>
  </tableColumns>
  <tableStyleInfo name="TableStyleLight8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1" xr:uid="{CE25E58D-8121-4CDE-B2B3-174489486E9B}" name="Tabla1103453454455456479108135149219379382" displayName="Tabla1103453454455456479108135149219379382" ref="A19:E21" totalsRowCount="1" headerRowDxfId="3888" dataDxfId="3886" totalsRowDxfId="3884" headerRowBorderDxfId="3887" tableBorderDxfId="3885" totalsRowBorderDxfId="3883">
  <autoFilter ref="A19:E20" xr:uid="{22AFA41C-1074-4B2B-9908-FA78F48E2A63}"/>
  <sortState xmlns:xlrd2="http://schemas.microsoft.com/office/spreadsheetml/2017/richdata2" ref="A20:E20">
    <sortCondition descending="1" ref="E8"/>
  </sortState>
  <tableColumns count="5">
    <tableColumn id="2" xr3:uid="{7DFCC558-9D24-4659-91CF-3FAD5F355433}" name="Ingrediente" dataDxfId="3882" totalsRowDxfId="3881"/>
    <tableColumn id="3" xr3:uid="{344ABD39-EF8A-45A5-AB9C-AC9647678511}" name="Und" dataDxfId="3880" totalsRowDxfId="3879"/>
    <tableColumn id="4" xr3:uid="{F242D47F-2E14-4F4F-84DA-FD5F22DC166D}" name="Cant." dataDxfId="3878" totalsRowDxfId="3877"/>
    <tableColumn id="5" xr3:uid="{C89325F9-D990-49B1-BBDE-8FA65261C885}" name="Costo" dataDxfId="3876" totalsRowDxfId="3875" dataCellStyle="Moneda">
      <calculatedColumnFormula>+VLOOKUP(Tabla1103453454455456479108135149219379382[[#This Row],[Ingrediente]],Tabla34[#All],3,0)</calculatedColumnFormula>
    </tableColumn>
    <tableColumn id="6" xr3:uid="{FDD7C12B-F6B8-4F76-B350-03A6B2E765D6}" name="Total costo" totalsRowFunction="sum" dataDxfId="3874" totalsRowDxfId="3873" dataCellStyle="Moneda">
      <calculatedColumnFormula>+Tabla1103453454455456479108135149219379382[[#This Row],[Costo]]*Tabla1103453454455456479108135149219379382[[#This Row],[Cant.]]</calculatedColumnFormula>
    </tableColumn>
  </tableColumns>
  <tableStyleInfo name="TableStyleLight8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2" xr:uid="{426C2840-2CE3-4E2E-8B0F-735B7DB4AA84}" name="Tabla1103453454455456479108135149219379383" displayName="Tabla1103453454455456479108135149219379383" ref="A30:E32" totalsRowCount="1" headerRowDxfId="3872" dataDxfId="3870" totalsRowDxfId="3868" headerRowBorderDxfId="3871" tableBorderDxfId="3869" totalsRowBorderDxfId="3867">
  <autoFilter ref="A30:E31" xr:uid="{441E2F3D-A599-45F1-A49B-8C7F80C80966}"/>
  <sortState xmlns:xlrd2="http://schemas.microsoft.com/office/spreadsheetml/2017/richdata2" ref="A31:E31">
    <sortCondition descending="1" ref="E8"/>
  </sortState>
  <tableColumns count="5">
    <tableColumn id="2" xr3:uid="{AF1394F6-012F-446C-87ED-EB9ED28EE5AE}" name="Ingrediente" dataDxfId="3866" totalsRowDxfId="3865"/>
    <tableColumn id="3" xr3:uid="{4A9BCFF9-61AB-4271-8B19-28B4008074E4}" name="Und" dataDxfId="3864" totalsRowDxfId="3863"/>
    <tableColumn id="4" xr3:uid="{CCB02153-51C1-4BAF-88D5-181374254504}" name="Cant." dataDxfId="3862" totalsRowDxfId="3861"/>
    <tableColumn id="5" xr3:uid="{A2E61E4C-398A-4393-981D-B98D1C58F9B0}" name="Costo" dataDxfId="3860" totalsRowDxfId="3859" dataCellStyle="Moneda">
      <calculatedColumnFormula>+VLOOKUP(Tabla1103453454455456479108135149219379383[[#This Row],[Ingrediente]],Tabla34[#All],3,0)</calculatedColumnFormula>
    </tableColumn>
    <tableColumn id="6" xr3:uid="{8EBBCACF-823C-47C6-A826-16BD7734A8FD}" name="Total costo" totalsRowFunction="sum" dataDxfId="3858" totalsRowDxfId="3857" dataCellStyle="Moneda">
      <calculatedColumnFormula>+Tabla1103453454455456479108135149219379383[[#This Row],[Costo]]*Tabla1103453454455456479108135149219379383[[#This Row],[Cant.]]</calculatedColumnFormula>
    </tableColumn>
  </tableColumns>
  <tableStyleInfo name="TableStyleLight8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4" xr:uid="{38440AB3-68F1-4D23-B185-099135940F17}" name="Tabla1103453454455456479108135149219379385" displayName="Tabla1103453454455456479108135149219379385" ref="A43:E45" totalsRowCount="1" headerRowDxfId="3856" dataDxfId="3854" totalsRowDxfId="3852" headerRowBorderDxfId="3855" tableBorderDxfId="3853" totalsRowBorderDxfId="3851">
  <autoFilter ref="A43:E44" xr:uid="{00015439-4441-45FE-9358-9E96270942F9}"/>
  <sortState xmlns:xlrd2="http://schemas.microsoft.com/office/spreadsheetml/2017/richdata2" ref="A44:E44">
    <sortCondition descending="1" ref="E8"/>
  </sortState>
  <tableColumns count="5">
    <tableColumn id="2" xr3:uid="{C47A9D6E-975B-49A8-8165-1245626C6960}" name="Ingrediente" dataDxfId="3850" totalsRowDxfId="3849"/>
    <tableColumn id="3" xr3:uid="{D5937CB5-99A6-4DC8-A5B3-1958D9D91009}" name="Und" dataDxfId="3848" totalsRowDxfId="3847"/>
    <tableColumn id="4" xr3:uid="{EAFC9A3B-C788-4688-A547-6ED83534408A}" name="Cant." dataDxfId="3846" totalsRowDxfId="3845"/>
    <tableColumn id="5" xr3:uid="{23529C68-4EE3-4B1D-8C9B-45A0F766B122}" name="Costo" dataDxfId="3844" totalsRowDxfId="3843" dataCellStyle="Moneda">
      <calculatedColumnFormula>+VLOOKUP(Tabla1103453454455456479108135149219379385[[#This Row],[Ingrediente]],Tabla34[#All],3,0)</calculatedColumnFormula>
    </tableColumn>
    <tableColumn id="6" xr3:uid="{89366B5A-2F65-4B7F-B884-2713B2B5758C}" name="Total costo" totalsRowFunction="sum" dataDxfId="3842" totalsRowDxfId="3841" dataCellStyle="Moneda">
      <calculatedColumnFormula>+Tabla1103453454455456479108135149219379385[[#This Row],[Costo]]*Tabla1103453454455456479108135149219379385[[#This Row],[Cant.]]</calculatedColumnFormula>
    </tableColumn>
  </tableColumns>
  <tableStyleInfo name="TableStyleLight8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140DEE6E-2E4E-438C-BF6A-7DC4A089E1C2}" name="Tabla110345345445545647910813514921937938671" displayName="Tabla110345345445545647910813514921937938671" ref="A54:E56" totalsRowCount="1" headerRowDxfId="3840" dataDxfId="3838" totalsRowDxfId="3836" headerRowBorderDxfId="3839" tableBorderDxfId="3837" totalsRowBorderDxfId="3835">
  <autoFilter ref="A54:E55" xr:uid="{140DEE6E-2E4E-438C-BF6A-7DC4A089E1C2}"/>
  <sortState xmlns:xlrd2="http://schemas.microsoft.com/office/spreadsheetml/2017/richdata2" ref="A55:E55">
    <sortCondition descending="1" ref="E8"/>
  </sortState>
  <tableColumns count="5">
    <tableColumn id="2" xr3:uid="{B6FE38F1-A0F6-4FA7-8E07-AF262B715C53}" name="Ingrediente" dataDxfId="3834" totalsRowDxfId="3833"/>
    <tableColumn id="3" xr3:uid="{909D6CFF-4318-49F6-AD77-38885552A49D}" name="Und" dataDxfId="3832" totalsRowDxfId="3831"/>
    <tableColumn id="4" xr3:uid="{DD778123-BDA1-4561-9462-60C83B777D07}" name="Cant." dataDxfId="3830" totalsRowDxfId="3829"/>
    <tableColumn id="5" xr3:uid="{DF87F300-26DF-4C7D-9D3F-CCD5A045F094}" name="Costo" dataDxfId="3828" totalsRowDxfId="3827" dataCellStyle="Moneda">
      <calculatedColumnFormula>+VLOOKUP(Tabla110345345445545647910813514921937938671[[#This Row],[Ingrediente]],Tabla34[#All],3,0)</calculatedColumnFormula>
    </tableColumn>
    <tableColumn id="6" xr3:uid="{C0E7BA2A-9235-496D-9E9B-249CE320563B}" name="Total costo" totalsRowFunction="sum" dataDxfId="3826" totalsRowDxfId="3825" dataCellStyle="Moneda">
      <calculatedColumnFormula>+Tabla110345345445545647910813514921937938671[[#This Row],[Costo]]*Tabla110345345445545647910813514921937938671[[#This Row],[Cant.]]</calculatedColumnFormula>
    </tableColumn>
  </tableColumns>
  <tableStyleInfo name="TableStyleLight8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41F45033-3D0E-49DD-B905-B938040912C1}" name="Tabla11034534544554564791081351492193793867152" displayName="Tabla11034534544554564791081351492193793867152" ref="A69:E71" totalsRowCount="1" headerRowDxfId="3824" dataDxfId="3822" totalsRowDxfId="3820" headerRowBorderDxfId="3823" tableBorderDxfId="3821" totalsRowBorderDxfId="3819">
  <autoFilter ref="A69:E70" xr:uid="{41F45033-3D0E-49DD-B905-B938040912C1}"/>
  <sortState xmlns:xlrd2="http://schemas.microsoft.com/office/spreadsheetml/2017/richdata2" ref="A70:E70">
    <sortCondition descending="1" ref="E8"/>
  </sortState>
  <tableColumns count="5">
    <tableColumn id="2" xr3:uid="{6AF5925B-4D39-4DDD-A210-07FC68B269DE}" name="Ingrediente" dataDxfId="3818" totalsRowDxfId="3817"/>
    <tableColumn id="3" xr3:uid="{17F7A532-1B19-43E9-8F36-9DF23B28F6BF}" name="Und" dataDxfId="3816" totalsRowDxfId="3815"/>
    <tableColumn id="4" xr3:uid="{11776433-A7A6-480F-ADBE-D1E894590317}" name="Cant." dataDxfId="3814" totalsRowDxfId="3813"/>
    <tableColumn id="5" xr3:uid="{D46D5FC4-AC31-4B05-971D-8F0BEAF212CB}" name="Costo" dataDxfId="3812" totalsRowDxfId="3811" dataCellStyle="Moneda">
      <calculatedColumnFormula>+VLOOKUP(Tabla11034534544554564791081351492193793867152[[#This Row],[Ingrediente]],Tabla34[#All],3,0)</calculatedColumnFormula>
    </tableColumn>
    <tableColumn id="6" xr3:uid="{4E207289-8369-4125-8FB9-7D50E00882B7}" name="Total costo" totalsRowFunction="sum" dataDxfId="3810" totalsRowDxfId="3809" dataCellStyle="Moneda">
      <calculatedColumnFormula>+Tabla11034534544554564791081351492193793867152[[#This Row],[Costo]]*Tabla11034534544554564791081351492193793867152[[#This Row],[Cant.]]</calculatedColumnFormula>
    </tableColumn>
  </tableColumns>
  <tableStyleInfo name="TableStyleLight8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BB5E3674-4CB3-4131-8BB7-75825FF960DD}" name="Tabla1103453454455456479108135149219379386715270" displayName="Tabla1103453454455456479108135149219379386715270" ref="A82:E84" totalsRowCount="1" headerRowDxfId="3808" dataDxfId="3806" totalsRowDxfId="3804" headerRowBorderDxfId="3807" tableBorderDxfId="3805" totalsRowBorderDxfId="3803">
  <autoFilter ref="A82:E83" xr:uid="{BB5E3674-4CB3-4131-8BB7-75825FF960DD}"/>
  <sortState xmlns:xlrd2="http://schemas.microsoft.com/office/spreadsheetml/2017/richdata2" ref="A83:E83">
    <sortCondition descending="1" ref="E8"/>
  </sortState>
  <tableColumns count="5">
    <tableColumn id="2" xr3:uid="{89D57A1A-581E-4E88-BA16-9B2A8D701976}" name="Ingrediente" dataDxfId="3802" totalsRowDxfId="3801"/>
    <tableColumn id="3" xr3:uid="{782EFB77-B64C-4438-A0ED-522A7D1BB23A}" name="Und" dataDxfId="3800" totalsRowDxfId="3799"/>
    <tableColumn id="4" xr3:uid="{8110A285-2B6F-42D0-9E18-CCC2006CE205}" name="Cant." dataDxfId="3798" totalsRowDxfId="3797"/>
    <tableColumn id="5" xr3:uid="{FFE38D6D-4A75-4228-80A5-B060D1511F9C}" name="Costo" dataDxfId="3796" totalsRowDxfId="3795" dataCellStyle="Moneda">
      <calculatedColumnFormula>+VLOOKUP(Tabla1103453454455456479108135149219379386715270[[#This Row],[Ingrediente]],Tabla34[#All],3,0)</calculatedColumnFormula>
    </tableColumn>
    <tableColumn id="6" xr3:uid="{BD36BBB1-F27E-48B6-BC21-9A15B19A4352}" name="Total costo" totalsRowFunction="sum" dataDxfId="3794" totalsRowDxfId="3793" dataCellStyle="Moneda">
      <calculatedColumnFormula>+Tabla1103453454455456479108135149219379386715270[[#This Row],[Costo]]*Tabla1103453454455456479108135149219379386715270[[#This Row],[Cant.]]</calculatedColumnFormula>
    </tableColumn>
  </tableColumns>
  <tableStyleInfo name="TableStyleLight8"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9" xr:uid="{58FC2386-72AE-4AAF-BD45-74C32054AB0E}" name="Tabla1103453454455456479108135112172299306316200" displayName="Tabla1103453454455456479108135112172299306316200" ref="B7:H15" totalsRowCount="1" headerRowDxfId="3792" dataDxfId="3790" totalsRowDxfId="3788" headerRowBorderDxfId="3791" tableBorderDxfId="3789" totalsRowBorderDxfId="3787">
  <autoFilter ref="B7:H14" xr:uid="{78BE3A0D-ECA7-47BB-B29F-2C3C5A2344BE}"/>
  <sortState xmlns:xlrd2="http://schemas.microsoft.com/office/spreadsheetml/2017/richdata2" ref="B8:H13">
    <sortCondition ref="B9"/>
  </sortState>
  <tableColumns count="7">
    <tableColumn id="2" xr3:uid="{BDF39D82-D1B1-446C-B855-0D488ACBAF30}" name="Ingrediente" dataDxfId="3786" totalsRowDxfId="3785"/>
    <tableColumn id="3" xr3:uid="{0232C456-75FF-4E40-A2A0-3F4132DDA981}" name="Und" dataDxfId="3784" totalsRowDxfId="3783"/>
    <tableColumn id="4" xr3:uid="{F67850A4-5E16-46BE-8BB9-ACC18B6FD5E3}" name="Unidades Netas" dataDxfId="3782" totalsRowDxfId="3781"/>
    <tableColumn id="7" xr3:uid="{49EE01BE-CAE5-4FAA-B9AA-F2E74FA14EE9}" name="% Merma" dataDxfId="3780" totalsRowDxfId="3779"/>
    <tableColumn id="1" xr3:uid="{996F6212-786D-4054-8D79-D940094CF0DA}" name="Unidades" dataDxfId="3778" totalsRowDxfId="3777"/>
    <tableColumn id="5" xr3:uid="{AC8AE5F7-71F8-4D1B-8A2C-0C7FAC0B7982}" name="Costo" dataDxfId="3776" totalsRowDxfId="3775" dataCellStyle="Moneda">
      <calculatedColumnFormula>+VLOOKUP(Tabla1103453454455456479108135112172299306316200[[#This Row],[Ingrediente]],Tabla34[#All],3,0)</calculatedColumnFormula>
    </tableColumn>
    <tableColumn id="6" xr3:uid="{F395394A-4100-443F-A84C-467A3C0C6A22}" name="Total costo" totalsRowFunction="sum" dataDxfId="3774" totalsRowDxfId="3773" dataCellStyle="Moneda">
      <calculatedColumnFormula>+Tabla1103453454455456479108135112172299306316200[[#This Row],[Costo]]*Tabla1103453454455456479108135112172299306316200[[#This Row],[Unidades]]</calculatedColumnFormula>
    </tableColumn>
  </tableColumns>
  <tableStyleInfo name="TableStyleLight8" showFirstColumn="0" showLastColumn="0" showRowStripes="1" showColumnStripes="0"/>
</table>
</file>

<file path=xl/tables/table1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0" xr:uid="{28C4FB5F-E0A8-4E16-A4CF-0DFFF473C28B}" name="Tabla1103453454455456479108129136156173300307317201" displayName="Tabla1103453454455456479108129136156173300307317201" ref="B19:H27" totalsRowCount="1" headerRowDxfId="3772" dataDxfId="3770" totalsRowDxfId="3768" headerRowBorderDxfId="3771" tableBorderDxfId="3769" totalsRowBorderDxfId="3767">
  <autoFilter ref="B19:H26" xr:uid="{087B01A7-35AD-4F23-9E77-4B3FC96A2C1A}"/>
  <sortState xmlns:xlrd2="http://schemas.microsoft.com/office/spreadsheetml/2017/richdata2" ref="B20:H25">
    <sortCondition ref="B21"/>
  </sortState>
  <tableColumns count="7">
    <tableColumn id="2" xr3:uid="{0D24981D-0BA2-4ABB-8B7F-A25F47792822}" name="Ingrediente" dataDxfId="3766" totalsRowDxfId="3765"/>
    <tableColumn id="3" xr3:uid="{64D98BC3-0867-4F8B-9270-DC815759A952}" name="Und" dataDxfId="3764" totalsRowDxfId="3763"/>
    <tableColumn id="4" xr3:uid="{7F240D78-04FB-4D60-9019-6B52F08AC220}" name="Unidades Netas" dataDxfId="3762" totalsRowDxfId="3761"/>
    <tableColumn id="7" xr3:uid="{76F66960-9FC7-4FBA-ADA6-3BA7EDE59F44}" name="% Merma" dataDxfId="3760" totalsRowDxfId="3759"/>
    <tableColumn id="1" xr3:uid="{96A4A017-2EF8-4610-8301-72C34BFDAC8C}" name="Unidades" dataDxfId="3758" totalsRowDxfId="3757"/>
    <tableColumn id="5" xr3:uid="{9AE5BEDF-7A33-4DE3-862F-CF7FEBA369A1}" name="Costo" dataDxfId="3756" totalsRowDxfId="3755" dataCellStyle="Moneda">
      <calculatedColumnFormula>+VLOOKUP(Tabla1103453454455456479108129136156173300307317201[[#This Row],[Ingrediente]],Tabla34[#All],3,0)</calculatedColumnFormula>
    </tableColumn>
    <tableColumn id="6" xr3:uid="{8D90C3ED-FFBC-4CE6-88C2-B2F3FC499ADD}" name="Total costo" totalsRowFunction="sum" dataDxfId="3754" totalsRowDxfId="3753" dataCellStyle="Moneda">
      <calculatedColumnFormula>+Tabla1103453454455456479108129136156173300307317201[[#This Row],[Costo]]*Tabla1103453454455456479108129136156173300307317201[[#This Row],[Unidades]]</calculatedColumnFormula>
    </tableColumn>
  </tableColumns>
  <tableStyleInfo name="TableStyleLight8" showFirstColumn="0" showLastColumn="0" showRowStripes="1" showColumnStripes="0"/>
</table>
</file>

<file path=xl/tables/table1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3" xr:uid="{00F2B200-CF08-4713-A49C-9BF3B982434E}" name="Tabla1103453454455456479108130137157174301308318204" displayName="Tabla1103453454455456479108130137157174301308318204" ref="B31:H37" totalsRowCount="1" headerRowDxfId="3752" dataDxfId="3750" totalsRowDxfId="3748" headerRowBorderDxfId="3751" tableBorderDxfId="3749" totalsRowBorderDxfId="3747">
  <autoFilter ref="B31:H36" xr:uid="{13FBCEAD-C7B8-4FC5-957B-A5E5AEE709E4}"/>
  <sortState xmlns:xlrd2="http://schemas.microsoft.com/office/spreadsheetml/2017/richdata2" ref="B32:H36">
    <sortCondition descending="1" ref="H8"/>
  </sortState>
  <tableColumns count="7">
    <tableColumn id="2" xr3:uid="{583CE530-2F6D-4F07-9331-AD8A156F750B}" name="Ingrediente" dataDxfId="3746" totalsRowDxfId="3745"/>
    <tableColumn id="3" xr3:uid="{054FC8E1-DF1A-47D9-A455-9AAE675013CB}" name="Und" dataDxfId="3744" totalsRowDxfId="3743"/>
    <tableColumn id="4" xr3:uid="{DDF53487-D8C6-462D-8406-6DD3B5DC8DBF}" name="Unidades Netas" dataDxfId="3742" totalsRowDxfId="3741"/>
    <tableColumn id="7" xr3:uid="{DE9853B9-757C-4F37-BFF4-0A1BCDFA4A55}" name="% Merma" dataDxfId="3740" totalsRowDxfId="3739"/>
    <tableColumn id="1" xr3:uid="{332F2559-45E3-47AC-9217-89DD152BA33C}" name="Unidades" dataDxfId="3738" totalsRowDxfId="3737"/>
    <tableColumn id="5" xr3:uid="{0CA8993B-C4B8-4571-B106-E16D5EC98F89}" name="Costo" dataDxfId="3736" totalsRowDxfId="3735" dataCellStyle="Moneda">
      <calculatedColumnFormula>+VLOOKUP(Tabla1103453454455456479108130137157174301308318204[[#This Row],[Ingrediente]],INSUMOS!A26:C424,3,0)</calculatedColumnFormula>
    </tableColumn>
    <tableColumn id="6" xr3:uid="{DB7337A0-9A08-41DC-9FB6-04AF6337B07E}" name="Total costo" totalsRowFunction="sum" dataDxfId="3734" totalsRowDxfId="3733" dataCellStyle="Moneda">
      <calculatedColumnFormula>+Tabla1103453454455456479108130137157174301308318204[[#This Row],[Costo]]*Tabla1103453454455456479108130137157174301308318204[[#This Row],[Unidades]]</calculatedColumnFormula>
    </tableColumn>
  </tableColumns>
  <tableStyleInfo name="TableStyleLight8" showFirstColumn="0" showLastColumn="0" showRowStripes="1" showColumnStripes="0"/>
</table>
</file>

<file path=xl/tables/table1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2" xr:uid="{4DC2E1BC-005D-4D5F-81ED-CBD8EF2E72CF}" name="Tabla11034534544554564791081351121722993063164246276207228336343" displayName="Tabla11034534544554564791081351121722993063164246276207228336343" ref="B7:F9" totalsRowCount="1" headerRowDxfId="3732" dataDxfId="3730" totalsRowDxfId="3728" headerRowBorderDxfId="3731" tableBorderDxfId="3729" totalsRowBorderDxfId="3727">
  <autoFilter ref="B7:F8" xr:uid="{78BE3A0D-ECA7-47BB-B29F-2C3C5A2344BE}"/>
  <sortState xmlns:xlrd2="http://schemas.microsoft.com/office/spreadsheetml/2017/richdata2" ref="B8:F8">
    <sortCondition descending="1" ref="F8"/>
  </sortState>
  <tableColumns count="5">
    <tableColumn id="2" xr3:uid="{82176225-DD47-4FC1-98FF-753A36A08AC3}" name="Ingrediente" dataDxfId="3726" totalsRowDxfId="3725"/>
    <tableColumn id="3" xr3:uid="{A786776A-B8D3-4297-87AC-EE10EBE9A0AE}" name="Und" dataDxfId="3724" totalsRowDxfId="3723"/>
    <tableColumn id="4" xr3:uid="{3FA97E3C-8B10-4310-8081-886E4F7325CD}" name="Cant." dataDxfId="3722" totalsRowDxfId="3721"/>
    <tableColumn id="5" xr3:uid="{59A41148-31EB-41EE-9DDA-94888E5C6754}" name="Costo" dataDxfId="3720" totalsRowDxfId="3719" dataCellStyle="Moneda">
      <calculatedColumnFormula>+VLOOKUP(Tabla11034534544554564791081351121722993063164246276207228336343[[#This Row],[Ingrediente]],Tabla34[#All],3,0)</calculatedColumnFormula>
    </tableColumn>
    <tableColumn id="6" xr3:uid="{78CBEC2A-1DD9-4AA2-BA36-D586A6E1388E}" name="Total costo" totalsRowFunction="sum" dataDxfId="3718" totalsRowDxfId="3717" dataCellStyle="Moneda">
      <calculatedColumnFormula>+Tabla11034534544554564791081351121722993063164246276207228336343[[#This Row],[Costo]]*Tabla11034534544554564791081351121722993063164246276207228336343[[#This Row],[Cant.]]</calculatedColumnFormula>
    </tableColumn>
  </tableColumns>
  <tableStyleInfo name="TableStyleLight8" showFirstColumn="0" showLastColumn="0" showRowStripes="1" showColumnStripes="0"/>
</table>
</file>

<file path=xl/tables/table1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6" xr:uid="{CEEBF4D8-650C-4733-BE57-F8A2A028FE25}" name="Tabla11034534544554564791081351121722993063164246276207228336343367" displayName="Tabla11034534544554564791081351121722993063164246276207228336343367" ref="B19:F21" totalsRowCount="1" headerRowDxfId="3716" dataDxfId="3714" totalsRowDxfId="3712" headerRowBorderDxfId="3715" tableBorderDxfId="3713" totalsRowBorderDxfId="3711">
  <autoFilter ref="B19:F20" xr:uid="{EEDA782E-53A0-4124-81A1-7029D69D90B1}"/>
  <sortState xmlns:xlrd2="http://schemas.microsoft.com/office/spreadsheetml/2017/richdata2" ref="B20:F20">
    <sortCondition descending="1" ref="F8"/>
  </sortState>
  <tableColumns count="5">
    <tableColumn id="2" xr3:uid="{A46F0FCE-7B93-4043-8337-66B6C6538FF1}" name="Ingrediente" dataDxfId="3710" totalsRowDxfId="3709"/>
    <tableColumn id="3" xr3:uid="{35B0AF84-F093-4995-9976-C1B788492B76}" name="Und" dataDxfId="3708" totalsRowDxfId="3707"/>
    <tableColumn id="4" xr3:uid="{78DBE514-3746-4E7D-8558-FE9F26F82825}" name="Cant." dataDxfId="3706" totalsRowDxfId="3705"/>
    <tableColumn id="5" xr3:uid="{6424EF49-EA8C-44BE-B80C-B55AE7C397F5}" name="Costo" dataDxfId="3704" totalsRowDxfId="3703" dataCellStyle="Moneda">
      <calculatedColumnFormula>+VLOOKUP(Tabla11034534544554564791081351121722993063164246276207228336343367[[#This Row],[Ingrediente]],Tabla34[#All],3,0)</calculatedColumnFormula>
    </tableColumn>
    <tableColumn id="6" xr3:uid="{0F1A5DD1-4ADB-46AC-9241-A0D535826303}" name="Total costo" totalsRowFunction="sum" dataDxfId="3702" totalsRowDxfId="3701" dataCellStyle="Moneda">
      <calculatedColumnFormula>+Tabla11034534544554564791081351121722993063164246276207228336343367[[#This Row],[Costo]]*Tabla11034534544554564791081351121722993063164246276207228336343367[[#This Row],[Cant.]]</calculatedColumnFormula>
    </tableColumn>
  </tableColumns>
  <tableStyleInfo name="TableStyleLight8" showFirstColumn="0" showLastColumn="0" showRowStripes="1" showColumnStripes="0"/>
</table>
</file>

<file path=xl/tables/table1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7" xr:uid="{E04F7B50-187A-494C-B78D-1002F792C53B}" name="Tabla11034534544554564791081351121722993063164246276207228336343367368" displayName="Tabla11034534544554564791081351121722993063164246276207228336343367368" ref="B31:F33" totalsRowCount="1" headerRowDxfId="3700" dataDxfId="3698" totalsRowDxfId="3696" headerRowBorderDxfId="3699" tableBorderDxfId="3697" totalsRowBorderDxfId="3695">
  <autoFilter ref="B31:F32" xr:uid="{20D616BF-D20A-43AF-84FD-EAC605B473D1}"/>
  <sortState xmlns:xlrd2="http://schemas.microsoft.com/office/spreadsheetml/2017/richdata2" ref="B32:F32">
    <sortCondition descending="1" ref="F8"/>
  </sortState>
  <tableColumns count="5">
    <tableColumn id="2" xr3:uid="{83C001AA-9449-41F0-A1F6-FABA64AF7A73}" name="Ingrediente" dataDxfId="3694" totalsRowDxfId="3693"/>
    <tableColumn id="3" xr3:uid="{A11DBFF8-4431-43F9-8494-68C11A08B016}" name="Und" dataDxfId="3692" totalsRowDxfId="3691"/>
    <tableColumn id="4" xr3:uid="{09B57422-15D8-411A-B3CD-2F8D984E35F1}" name="Cant." dataDxfId="3690" totalsRowDxfId="3689"/>
    <tableColumn id="5" xr3:uid="{4C3EDD96-30F9-435C-A9AB-182013A930E2}" name="Costo" dataDxfId="3688" totalsRowDxfId="3687" dataCellStyle="Moneda">
      <calculatedColumnFormula>+VLOOKUP(Tabla11034534544554564791081351121722993063164246276207228336343367368[[#This Row],[Ingrediente]],Tabla34[#All],3,0)</calculatedColumnFormula>
    </tableColumn>
    <tableColumn id="6" xr3:uid="{2A925E9D-1AC2-458E-AD6C-38AA99809F93}" name="Total costo" totalsRowFunction="sum" dataDxfId="3686" totalsRowDxfId="3685" dataCellStyle="Moneda">
      <calculatedColumnFormula>+Tabla11034534544554564791081351121722993063164246276207228336343367368[[#This Row],[Costo]]*Tabla11034534544554564791081351121722993063164246276207228336343367368[[#This Row],[Cant.]]</calculatedColumnFormula>
    </tableColumn>
  </tableColumns>
  <tableStyleInfo name="TableStyleLight8" showFirstColumn="0" showLastColumn="0" showRowStripes="1" showColumnStripes="0"/>
</table>
</file>

<file path=xl/tables/table1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8" xr:uid="{1CA34052-EDA4-4E88-B94E-2D9B31C68C3C}" name="Tabla11034534544554564791081351121722993063164246276207228336343367369" displayName="Tabla11034534544554564791081351121722993063164246276207228336343367369" ref="B43:F45" totalsRowCount="1" headerRowDxfId="3684" dataDxfId="3682" totalsRowDxfId="3680" headerRowBorderDxfId="3683" tableBorderDxfId="3681" totalsRowBorderDxfId="3679">
  <autoFilter ref="B43:F44" xr:uid="{8007E5B4-F829-4DDC-95AE-61BFF9CA8003}"/>
  <sortState xmlns:xlrd2="http://schemas.microsoft.com/office/spreadsheetml/2017/richdata2" ref="B44:F44">
    <sortCondition descending="1" ref="F8"/>
  </sortState>
  <tableColumns count="5">
    <tableColumn id="2" xr3:uid="{E8184A50-D8EF-4986-9B5B-404CBC4FAA8F}" name="Ingrediente" dataDxfId="3678" totalsRowDxfId="3677"/>
    <tableColumn id="3" xr3:uid="{C96D4FD7-D1FC-425D-A1E7-4C0CF073D0D5}" name="Und" dataDxfId="3676" totalsRowDxfId="3675"/>
    <tableColumn id="4" xr3:uid="{EC621B19-272B-4F3C-879B-1F67149FC155}" name="Cant." dataDxfId="3674" totalsRowDxfId="3673"/>
    <tableColumn id="5" xr3:uid="{36ADE2F3-5248-49F7-9F6B-E76FAC42EBDB}" name="Costo" dataDxfId="3672" totalsRowDxfId="3671" dataCellStyle="Moneda">
      <calculatedColumnFormula>+VLOOKUP(Tabla11034534544554564791081351121722993063164246276207228336343367369[[#This Row],[Ingrediente]],Tabla34[#All],3,0)</calculatedColumnFormula>
    </tableColumn>
    <tableColumn id="6" xr3:uid="{94FA9898-8756-4C0E-91EB-7D8FF09FD9A0}" name="Total costo" totalsRowFunction="sum" dataDxfId="3670" totalsRowDxfId="3669" dataCellStyle="Moneda">
      <calculatedColumnFormula>+Tabla11034534544554564791081351121722993063164246276207228336343367369[[#This Row],[Costo]]*Tabla11034534544554564791081351121722993063164246276207228336343367369[[#This Row],[Cant.]]</calculatedColumnFormula>
    </tableColumn>
  </tableColumns>
  <tableStyleInfo name="TableStyleLight8" showFirstColumn="0" showLastColumn="0" showRowStripes="1" showColumnStripes="0"/>
</table>
</file>

<file path=xl/tables/table1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9" xr:uid="{2C0A115D-E81D-47AD-8826-CA71FF41A8C1}" name="Tabla11034534544554564791081351121722993063164246276207228336343367370" displayName="Tabla11034534544554564791081351121722993063164246276207228336343367370" ref="B55:F57" totalsRowCount="1" headerRowDxfId="3668" dataDxfId="3666" totalsRowDxfId="3664" headerRowBorderDxfId="3667" tableBorderDxfId="3665" totalsRowBorderDxfId="3663">
  <autoFilter ref="B55:F56" xr:uid="{FBE50335-24B0-4541-BE93-44F640C26100}"/>
  <sortState xmlns:xlrd2="http://schemas.microsoft.com/office/spreadsheetml/2017/richdata2" ref="B56:F56">
    <sortCondition descending="1" ref="F8"/>
  </sortState>
  <tableColumns count="5">
    <tableColumn id="2" xr3:uid="{B67B9A17-8077-4BD0-B154-CB2F6507EF97}" name="Ingrediente" dataDxfId="3662" totalsRowDxfId="3661"/>
    <tableColumn id="3" xr3:uid="{237436BD-B50B-4CF2-B645-D425D951AF56}" name="Und" dataDxfId="3660" totalsRowDxfId="3659"/>
    <tableColumn id="4" xr3:uid="{935F9B97-E743-4762-A024-6AC3FB3145BA}" name="Cant." dataDxfId="3658" totalsRowDxfId="3657"/>
    <tableColumn id="5" xr3:uid="{2CDD596A-7E75-467D-9737-EE3A31F8EFAB}" name="Costo" dataDxfId="3656" totalsRowDxfId="3655" dataCellStyle="Moneda">
      <calculatedColumnFormula>+VLOOKUP(Tabla11034534544554564791081351121722993063164246276207228336343367370[[#This Row],[Ingrediente]],Tabla34[#All],3,0)</calculatedColumnFormula>
    </tableColumn>
    <tableColumn id="6" xr3:uid="{625D5D46-D2DE-401B-8DD7-C2FE2DF66CD6}" name="Total costo" totalsRowFunction="sum" dataDxfId="3654" totalsRowDxfId="3653" dataCellStyle="Moneda">
      <calculatedColumnFormula>+Tabla11034534544554564791081351121722993063164246276207228336343367370[[#This Row],[Costo]]*Tabla11034534544554564791081351121722993063164246276207228336343367370[[#This Row],[Cant.]]</calculatedColumnFormula>
    </tableColumn>
  </tableColumns>
  <tableStyleInfo name="TableStyleLight8" showFirstColumn="0" showLastColumn="0" showRowStripes="1" showColumnStripes="0"/>
</table>
</file>

<file path=xl/tables/table1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0" xr:uid="{94E8E32A-7BF5-44F1-A6DC-E65E38CD670D}" name="Tabla11034534544554564791081351121722993063164246276207228336343367371" displayName="Tabla11034534544554564791081351121722993063164246276207228336343367371" ref="B68:F70" totalsRowCount="1" headerRowDxfId="3652" dataDxfId="3650" totalsRowDxfId="3648" headerRowBorderDxfId="3651" tableBorderDxfId="3649" totalsRowBorderDxfId="3647">
  <autoFilter ref="B68:F69" xr:uid="{4E76D859-6834-4B28-84EE-6B8E298F4EF3}"/>
  <sortState xmlns:xlrd2="http://schemas.microsoft.com/office/spreadsheetml/2017/richdata2" ref="B69:F69">
    <sortCondition descending="1" ref="F8"/>
  </sortState>
  <tableColumns count="5">
    <tableColumn id="2" xr3:uid="{C0EC41FC-5D2A-4EF0-A816-44D727EC3134}" name="Ingrediente" dataDxfId="3646" totalsRowDxfId="3645"/>
    <tableColumn id="3" xr3:uid="{202B5B43-ECD7-4DDC-8FD2-62C1B52A790E}" name="Und" dataDxfId="3644" totalsRowDxfId="3643"/>
    <tableColumn id="4" xr3:uid="{71263E67-5F1B-4133-98C0-84F750CAD181}" name="Cant." dataDxfId="3642" totalsRowDxfId="3641"/>
    <tableColumn id="5" xr3:uid="{34185459-DDC2-46D0-9980-8335C3480437}" name="Costo" dataDxfId="3640" totalsRowDxfId="3639" dataCellStyle="Moneda">
      <calculatedColumnFormula>+VLOOKUP(Tabla11034534544554564791081351121722993063164246276207228336343367371[[#This Row],[Ingrediente]],Tabla34[#All],3,0)</calculatedColumnFormula>
    </tableColumn>
    <tableColumn id="6" xr3:uid="{DA90379E-EC43-4093-BA37-5E404F9A7968}" name="Total costo" totalsRowFunction="sum" dataDxfId="3638" totalsRowDxfId="3637" dataCellStyle="Moneda">
      <calculatedColumnFormula>+Tabla11034534544554564791081351121722993063164246276207228336343367371[[#This Row],[Costo]]*Tabla11034534544554564791081351121722993063164246276207228336343367371[[#This Row],[Cant.]]</calculatedColumnFormula>
    </tableColumn>
  </tableColumns>
  <tableStyleInfo name="TableStyleLight8" showFirstColumn="0" showLastColumn="0" showRowStripes="1" showColumnStripes="0"/>
</table>
</file>

<file path=xl/tables/table1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1" xr:uid="{8620CA17-6033-4590-BC1D-DDDE8520F4FD}" name="Tabla11034534544554564791081351121722993063164246276207228336343367372" displayName="Tabla11034534544554564791081351121722993063164246276207228336343367372" ref="B79:F81" totalsRowCount="1" headerRowDxfId="3636" dataDxfId="3634" totalsRowDxfId="3632" headerRowBorderDxfId="3635" tableBorderDxfId="3633" totalsRowBorderDxfId="3631">
  <autoFilter ref="B79:F80" xr:uid="{D0E99756-AB8B-4231-9451-0070CAD1D498}"/>
  <sortState xmlns:xlrd2="http://schemas.microsoft.com/office/spreadsheetml/2017/richdata2" ref="B80:F80">
    <sortCondition descending="1" ref="F8"/>
  </sortState>
  <tableColumns count="5">
    <tableColumn id="2" xr3:uid="{3110C047-932B-44B9-B9F7-068AFA356E42}" name="Ingrediente" dataDxfId="3630" totalsRowDxfId="3629"/>
    <tableColumn id="3" xr3:uid="{9DF0269C-37B5-49A3-9CC5-C7109F4A5658}" name="Und" dataDxfId="3628" totalsRowDxfId="3627"/>
    <tableColumn id="4" xr3:uid="{9AD38FD6-C60A-4E01-B85A-076BE25B25D3}" name="Cant." dataDxfId="3626" totalsRowDxfId="3625"/>
    <tableColumn id="5" xr3:uid="{B6D2B8AE-9A34-4D79-BB89-465E0746D39D}" name="Costo" dataDxfId="3624" totalsRowDxfId="3623" dataCellStyle="Moneda">
      <calculatedColumnFormula>+VLOOKUP(Tabla11034534544554564791081351121722993063164246276207228336343367372[[#This Row],[Ingrediente]],Tabla34[#All],3,0)</calculatedColumnFormula>
    </tableColumn>
    <tableColumn id="6" xr3:uid="{5320C85C-4A44-476E-9938-EED62C61561C}" name="Total costo" totalsRowFunction="sum" dataDxfId="3622" totalsRowDxfId="3621" dataCellStyle="Moneda">
      <calculatedColumnFormula>+Tabla11034534544554564791081351121722993063164246276207228336343367372[[#This Row],[Costo]]*Tabla11034534544554564791081351121722993063164246276207228336343367372[[#This Row],[Cant.]]</calculatedColumnFormula>
    </tableColumn>
  </tableColumns>
  <tableStyleInfo name="TableStyleLight8" showFirstColumn="0" showLastColumn="0" showRowStripes="1" showColumnStripes="0"/>
</table>
</file>

<file path=xl/tables/table2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2" xr:uid="{0231931E-2234-4C1E-AA7C-B7A02C82B9F6}" name="Tabla11034534544554564791081351121722993063164246276207228336343367373" displayName="Tabla11034534544554564791081351121722993063164246276207228336343367373" ref="B91:F93" totalsRowCount="1" headerRowDxfId="3620" dataDxfId="3618" totalsRowDxfId="3616" headerRowBorderDxfId="3619" tableBorderDxfId="3617" totalsRowBorderDxfId="3615">
  <autoFilter ref="B91:F92" xr:uid="{AF44379D-C43F-4743-B3DE-7CA4CEC87948}"/>
  <sortState xmlns:xlrd2="http://schemas.microsoft.com/office/spreadsheetml/2017/richdata2" ref="B92:F92">
    <sortCondition descending="1" ref="F8"/>
  </sortState>
  <tableColumns count="5">
    <tableColumn id="2" xr3:uid="{FB3C6A9C-FE86-45B6-9847-B301CBE93A83}" name="Ingrediente" dataDxfId="3614" totalsRowDxfId="3613"/>
    <tableColumn id="3" xr3:uid="{1CA4EA4A-478A-4F0F-861F-9AE9078B7370}" name="Und" dataDxfId="3612" totalsRowDxfId="3611"/>
    <tableColumn id="4" xr3:uid="{8B4618B3-AC2C-4C1B-872B-B7FA983C7D0A}" name="Cant." dataDxfId="3610" totalsRowDxfId="3609"/>
    <tableColumn id="5" xr3:uid="{8930FF20-2685-422C-8C0B-4A5054D692F9}" name="Costo" dataDxfId="3608" totalsRowDxfId="3607" dataCellStyle="Moneda">
      <calculatedColumnFormula>+VLOOKUP(Tabla11034534544554564791081351121722993063164246276207228336343367373[[#This Row],[Ingrediente]],Tabla34[#All],3,0)</calculatedColumnFormula>
    </tableColumn>
    <tableColumn id="6" xr3:uid="{D5FA205F-C67F-48F9-BBBC-4A8C9CEF531B}" name="Total costo" totalsRowFunction="sum" dataDxfId="3606" totalsRowDxfId="3605" dataCellStyle="Moneda">
      <calculatedColumnFormula>+Tabla11034534544554564791081351121722993063164246276207228336343367373[[#This Row],[Costo]]*Tabla11034534544554564791081351121722993063164246276207228336343367373[[#This Row],[Cant.]]</calculatedColumnFormula>
    </tableColumn>
  </tableColumns>
  <tableStyleInfo name="TableStyleLight8" showFirstColumn="0" showLastColumn="0" showRowStripes="1" showColumnStripes="0"/>
</table>
</file>

<file path=xl/tables/table2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3" xr:uid="{BF8A2E22-BE38-44E2-8CC9-1174964DE3EF}" name="Tabla11034534544554564791081351121722993063164246276207228336343367374" displayName="Tabla11034534544554564791081351121722993063164246276207228336343367374" ref="B104:F106" totalsRowCount="1" headerRowDxfId="3604" dataDxfId="3602" totalsRowDxfId="3600" headerRowBorderDxfId="3603" tableBorderDxfId="3601" totalsRowBorderDxfId="3599">
  <autoFilter ref="B104:F105" xr:uid="{8F2001B1-62F8-4010-8939-4F0577067E02}"/>
  <sortState xmlns:xlrd2="http://schemas.microsoft.com/office/spreadsheetml/2017/richdata2" ref="B105:F105">
    <sortCondition descending="1" ref="F8"/>
  </sortState>
  <tableColumns count="5">
    <tableColumn id="2" xr3:uid="{3A76E163-8451-436B-A3A1-9389E358E943}" name="Ingrediente" dataDxfId="3598" totalsRowDxfId="3597"/>
    <tableColumn id="3" xr3:uid="{2324BEA3-D517-45C3-9C72-4E3019EE253D}" name="Und" dataDxfId="3596" totalsRowDxfId="3595"/>
    <tableColumn id="4" xr3:uid="{4ED9BFE1-95AB-475D-A55F-39098EFF9F20}" name="Cant." dataDxfId="3594" totalsRowDxfId="3593"/>
    <tableColumn id="5" xr3:uid="{00EACD39-5318-43D6-993B-DC8B1B5BBAD2}" name="Costo" dataDxfId="3592" totalsRowDxfId="3591" dataCellStyle="Moneda">
      <calculatedColumnFormula>+VLOOKUP(Tabla11034534544554564791081351121722993063164246276207228336343367374[[#This Row],[Ingrediente]],Tabla34[#All],3,0)</calculatedColumnFormula>
    </tableColumn>
    <tableColumn id="6" xr3:uid="{218ACAA4-D690-44EA-89D8-4D7E98FB03BF}" name="Total costo" totalsRowFunction="sum" dataDxfId="3590" totalsRowDxfId="3589" dataCellStyle="Moneda">
      <calculatedColumnFormula>+Tabla11034534544554564791081351121722993063164246276207228336343367374[[#This Row],[Costo]]*Tabla11034534544554564791081351121722993063164246276207228336343367374[[#This Row],[Cant.]]</calculatedColumnFormula>
    </tableColumn>
  </tableColumns>
  <tableStyleInfo name="TableStyleLight8" showFirstColumn="0" showLastColumn="0" showRowStripes="1" showColumnStripes="0"/>
</table>
</file>

<file path=xl/tables/table2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4" xr:uid="{6914BF2F-5FFE-48A8-B304-5B806A06CD2A}" name="Tabla11034534544554564791081351121722993063164246276207228336343367374375" displayName="Tabla11034534544554564791081351121722993063164246276207228336343367374375" ref="B116:F118" totalsRowCount="1" headerRowDxfId="3588" dataDxfId="3586" totalsRowDxfId="3584" headerRowBorderDxfId="3587" tableBorderDxfId="3585" totalsRowBorderDxfId="3583">
  <autoFilter ref="B116:F117" xr:uid="{FC7278F7-9428-407A-8B85-08457D6D87F2}"/>
  <sortState xmlns:xlrd2="http://schemas.microsoft.com/office/spreadsheetml/2017/richdata2" ref="B117:F117">
    <sortCondition descending="1" ref="F8"/>
  </sortState>
  <tableColumns count="5">
    <tableColumn id="2" xr3:uid="{C9C09AC1-9FA9-4B81-BA6F-2775D0F4F462}" name="Ingrediente" dataDxfId="3582" totalsRowDxfId="3581"/>
    <tableColumn id="3" xr3:uid="{12D192BA-93D0-4EE2-9AB1-9D02633C9166}" name="Und" dataDxfId="3580" totalsRowDxfId="3579"/>
    <tableColumn id="4" xr3:uid="{2AA76536-7FA5-4EA9-AF6A-AB9E9ED6C838}" name="Cant." dataDxfId="3578" totalsRowDxfId="3577"/>
    <tableColumn id="5" xr3:uid="{1AFCA1BE-3A7E-4F07-9D22-FCED6F2F02E6}" name="Costo" dataDxfId="3576" totalsRowDxfId="3575" dataCellStyle="Moneda">
      <calculatedColumnFormula>+VLOOKUP(Tabla11034534544554564791081351121722993063164246276207228336343367374375[[#This Row],[Ingrediente]],Tabla34[#All],3,0)</calculatedColumnFormula>
    </tableColumn>
    <tableColumn id="6" xr3:uid="{31C44C69-82AD-473D-A2B0-CB083C0A2155}" name="Total costo" totalsRowFunction="sum" dataDxfId="3574" totalsRowDxfId="3573" dataCellStyle="Moneda">
      <calculatedColumnFormula>+Tabla11034534544554564791081351121722993063164246276207228336343367374375[[#This Row],[Costo]]*Tabla11034534544554564791081351121722993063164246276207228336343367374375[[#This Row],[Cant.]]</calculatedColumnFormula>
    </tableColumn>
  </tableColumns>
  <tableStyleInfo name="TableStyleLight8" showFirstColumn="0" showLastColumn="0" showRowStripes="1" showColumnStripes="0"/>
</table>
</file>

<file path=xl/tables/table2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5" xr:uid="{3C9AB4E8-A791-477F-A9A1-D67DA7F752E8}" name="Tabla11034534544554564791081351121722993063164246276207228336343367374375376" displayName="Tabla11034534544554564791081351121722993063164246276207228336343367374375376" ref="B129:F131" totalsRowCount="1" headerRowDxfId="3572" dataDxfId="3570" totalsRowDxfId="3568" headerRowBorderDxfId="3571" tableBorderDxfId="3569" totalsRowBorderDxfId="3567">
  <autoFilter ref="B129:F130" xr:uid="{BCD54245-6B7E-4E00-805D-715E36D1E00E}"/>
  <sortState xmlns:xlrd2="http://schemas.microsoft.com/office/spreadsheetml/2017/richdata2" ref="B130:F130">
    <sortCondition descending="1" ref="F8"/>
  </sortState>
  <tableColumns count="5">
    <tableColumn id="2" xr3:uid="{B6EC9C0E-A089-4466-A768-DA09A936BE57}" name="Ingrediente" dataDxfId="3566" totalsRowDxfId="3565"/>
    <tableColumn id="3" xr3:uid="{2228AB6F-27B9-416A-A372-7D4F7AB16460}" name="Und" dataDxfId="3564" totalsRowDxfId="3563"/>
    <tableColumn id="4" xr3:uid="{FF56213D-4F2A-4F70-BF6D-D9C04F7D9B25}" name="Cant." dataDxfId="3562" totalsRowDxfId="3561"/>
    <tableColumn id="5" xr3:uid="{C42F4747-48AA-443B-BEA0-B6AF2C4F5287}" name="Costo" dataDxfId="3560" totalsRowDxfId="3559" dataCellStyle="Moneda">
      <calculatedColumnFormula>+VLOOKUP(Tabla11034534544554564791081351121722993063164246276207228336343367374375376[[#This Row],[Ingrediente]],Tabla34[#All],3,0)</calculatedColumnFormula>
    </tableColumn>
    <tableColumn id="6" xr3:uid="{F7C38826-CFB1-4EE8-A120-59293ABDA900}" name="Total costo" totalsRowFunction="sum" dataDxfId="3558" totalsRowDxfId="3557" dataCellStyle="Moneda">
      <calculatedColumnFormula>+Tabla11034534544554564791081351121722993063164246276207228336343367374375376[[#This Row],[Costo]]*Tabla11034534544554564791081351121722993063164246276207228336343367374375376[[#This Row],[Cant.]]</calculatedColumnFormula>
    </tableColumn>
  </tableColumns>
  <tableStyleInfo name="TableStyleLight8" showFirstColumn="0" showLastColumn="0" showRowStripes="1" showColumnStripes="0"/>
</table>
</file>

<file path=xl/tables/table2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6" xr:uid="{2C276A6C-EFE6-4E28-B0F2-6829D956B98B}" name="Tabla11034534544554564791081351121722993063164246276207228336343367374375377" displayName="Tabla11034534544554564791081351121722993063164246276207228336343367374375377" ref="B141:F143" totalsRowCount="1" headerRowDxfId="3556" dataDxfId="3554" totalsRowDxfId="3552" headerRowBorderDxfId="3555" tableBorderDxfId="3553" totalsRowBorderDxfId="3551">
  <autoFilter ref="B141:F142" xr:uid="{CEB997F4-E04C-445B-A642-4DD3D972143F}"/>
  <sortState xmlns:xlrd2="http://schemas.microsoft.com/office/spreadsheetml/2017/richdata2" ref="B142:F142">
    <sortCondition descending="1" ref="F8"/>
  </sortState>
  <tableColumns count="5">
    <tableColumn id="2" xr3:uid="{9FD0203A-CE2C-4D8A-A63E-FF12C5F5AA54}" name="Ingrediente" dataDxfId="3550" totalsRowDxfId="3549"/>
    <tableColumn id="3" xr3:uid="{F76A96B2-7493-4E33-A742-4D8D36E96F30}" name="Und" dataDxfId="3548" totalsRowDxfId="3547"/>
    <tableColumn id="4" xr3:uid="{550F1DAE-6624-4EAA-9E01-02FC3D9D5057}" name="Cant." dataDxfId="3546" totalsRowDxfId="3545"/>
    <tableColumn id="5" xr3:uid="{194034A6-BF65-4C5D-9CF9-BABE2DF60CFE}" name="Costo" dataDxfId="3544" totalsRowDxfId="3543" dataCellStyle="Moneda">
      <calculatedColumnFormula>+VLOOKUP(Tabla11034534544554564791081351121722993063164246276207228336343367374375377[[#This Row],[Ingrediente]],Tabla34[#All],3,0)</calculatedColumnFormula>
    </tableColumn>
    <tableColumn id="6" xr3:uid="{4ABBA70D-0F7F-4A9D-9490-838EFCAC6A04}" name="Total costo" totalsRowFunction="sum" dataDxfId="3542" totalsRowDxfId="3541" dataCellStyle="Moneda">
      <calculatedColumnFormula>+Tabla11034534544554564791081351121722993063164246276207228336343367374375377[[#This Row],[Costo]]*Tabla11034534544554564791081351121722993063164246276207228336343367374375377[[#This Row],[Cant.]]</calculatedColumnFormula>
    </tableColumn>
  </tableColumns>
  <tableStyleInfo name="TableStyleLight8" showFirstColumn="0" showLastColumn="0" showRowStripes="1" showColumnStripes="0"/>
</table>
</file>

<file path=xl/tables/table2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8" xr:uid="{F1DA0DA6-ED25-4EFE-B35B-3533F76F7455}" name="Tabla1103453454455456479108130137157174301308323326334339208229" displayName="Tabla1103453454455456479108130137157174301308323326334339208229" ref="B7:H13" totalsRowCount="1" headerRowDxfId="3540" dataDxfId="3538" totalsRowDxfId="3536" headerRowBorderDxfId="3539" tableBorderDxfId="3537" totalsRowBorderDxfId="3535">
  <autoFilter ref="B7:H12" xr:uid="{E3F3088B-D43C-4A4D-BB2A-BADFC1518780}"/>
  <tableColumns count="7">
    <tableColumn id="2" xr3:uid="{E0674421-888B-49C3-A8F3-C38D029CEB0B}" name="Ingrediente" dataDxfId="3534" totalsRowDxfId="3533"/>
    <tableColumn id="3" xr3:uid="{8FD99C26-DAE2-4018-A076-18BCB2FA24E8}" name="Und" dataDxfId="3532" totalsRowDxfId="3531"/>
    <tableColumn id="4" xr3:uid="{8EE3DF2F-20AD-44E4-8A97-7D39BACAB4AE}" name="Cant." dataDxfId="3530" totalsRowDxfId="3529"/>
    <tableColumn id="1" xr3:uid="{9E1F671B-FB2B-4B2F-87DF-F3F4146F0DA7}" name="Columna1" dataDxfId="3528" totalsRowDxfId="3527"/>
    <tableColumn id="7" xr3:uid="{A2DD81BC-9EF0-482B-A223-8810DAD147A6}" name="Columna2" dataDxfId="3526" totalsRowDxfId="3525"/>
    <tableColumn id="5" xr3:uid="{03083751-C894-4AD2-A3C9-7F4E568BD754}" name="Costo" dataDxfId="3524" totalsRowDxfId="3523" dataCellStyle="Moneda">
      <calculatedColumnFormula>+VLOOKUP(Tabla1103453454455456479108130137157174301308323326334339208229[[#This Row],[Ingrediente]],Tabla34[#All],3,0)</calculatedColumnFormula>
    </tableColumn>
    <tableColumn id="6" xr3:uid="{9B90B1BF-D829-41FC-9CBB-CB3957488D1C}" name="Total costo" totalsRowFunction="sum" dataDxfId="3522" totalsRowDxfId="3521" dataCellStyle="Moneda">
      <calculatedColumnFormula>+Tabla1103453454455456479108130137157174301308323326334339208229[[#This Row],[Costo]]*Tabla1103453454455456479108130137157174301308323326334339208229[[#This Row],[Columna2]]</calculatedColumnFormula>
    </tableColumn>
  </tableColumns>
  <tableStyleInfo name="TableStyleLight8" showFirstColumn="0" showLastColumn="0" showRowStripes="1" showColumnStripes="0"/>
</table>
</file>

<file path=xl/tables/table2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0" xr:uid="{A4AE9E82-0FBF-4209-8084-B92B5CE1C483}" name="Tabla1103453454455456479108130137157174301308323327335340214231" displayName="Tabla1103453454455456479108130137157174301308323327335340214231" ref="B19:H25" totalsRowCount="1" headerRowDxfId="3520" dataDxfId="3518" totalsRowDxfId="3516" headerRowBorderDxfId="3519" tableBorderDxfId="3517" totalsRowBorderDxfId="3515">
  <autoFilter ref="B19:H24" xr:uid="{141A267F-97BA-439D-8195-946B296C5C57}"/>
  <tableColumns count="7">
    <tableColumn id="2" xr3:uid="{D68C8249-EC56-41AF-988B-3EB8EE5B7895}" name="Ingrediente" dataDxfId="3514" totalsRowDxfId="3513"/>
    <tableColumn id="3" xr3:uid="{2D5F6B38-6D4B-4646-831F-82C17B9CFFAA}" name="Und" dataDxfId="3512" totalsRowDxfId="3511"/>
    <tableColumn id="4" xr3:uid="{6A9FB91E-89B1-4744-BE99-46CCC9B519C0}" name="Cant." dataDxfId="3510" totalsRowDxfId="3509"/>
    <tableColumn id="1" xr3:uid="{1772AB20-650D-49BE-BC5C-ED86BDBF4017}" name="Columna1" dataDxfId="3508" totalsRowDxfId="3507"/>
    <tableColumn id="7" xr3:uid="{759E2549-0338-45F3-800D-83AC575F4EC4}" name="Columna2" dataDxfId="3506" totalsRowDxfId="3505"/>
    <tableColumn id="5" xr3:uid="{F827C2AA-CB14-45D2-8C07-95BE1E0561FF}" name="Costo" dataDxfId="3504" totalsRowDxfId="3503" dataCellStyle="Moneda">
      <calculatedColumnFormula>+VLOOKUP(Tabla1103453454455456479108130137157174301308323327335340214231[[#This Row],[Ingrediente]],Tabla34[#All],3,0)</calculatedColumnFormula>
    </tableColumn>
    <tableColumn id="6" xr3:uid="{1A760BAA-176B-4388-91DE-249F49723728}" name="Total costo" totalsRowFunction="sum" dataDxfId="3502" totalsRowDxfId="3501" dataCellStyle="Moneda">
      <calculatedColumnFormula>+Tabla1103453454455456479108130137157174301308323327335340214231[[#This Row],[Costo]]*Tabla1103453454455456479108130137157174301308323327335340214231[[#This Row],[Columna2]]</calculatedColumnFormula>
    </tableColumn>
  </tableColumns>
  <tableStyleInfo name="TableStyleLight8" showFirstColumn="0" showLastColumn="0" showRowStripes="1" showColumnStripes="0"/>
</table>
</file>

<file path=xl/tables/table2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1" xr:uid="{11B876FA-1F29-4CE2-87B8-B68C0CD26418}" name="Tabla1103453454455456479108130137157174301308323327335340341218232" displayName="Tabla1103453454455456479108130137157174301308323327335340341218232" ref="B33:H39" totalsRowCount="1" headerRowDxfId="3500" dataDxfId="3498" totalsRowDxfId="3496" headerRowBorderDxfId="3499" tableBorderDxfId="3497" totalsRowBorderDxfId="3495">
  <autoFilter ref="B33:H38" xr:uid="{4F718079-87EF-484A-9632-29FD4EE813AE}"/>
  <sortState xmlns:xlrd2="http://schemas.microsoft.com/office/spreadsheetml/2017/richdata2" ref="B34:H38">
    <sortCondition ref="B6"/>
  </sortState>
  <tableColumns count="7">
    <tableColumn id="2" xr3:uid="{450399FD-5B52-4065-9505-6C9A497AB6B4}" name="Ingrediente" dataDxfId="3494" totalsRowDxfId="3493"/>
    <tableColumn id="3" xr3:uid="{EE444836-6519-43BF-928D-0DBA4FFF4A13}" name="Und" dataDxfId="3492" totalsRowDxfId="3491"/>
    <tableColumn id="4" xr3:uid="{148A6FB0-1C7B-47FB-A451-C29072DB4A00}" name="Cant." dataDxfId="3490" totalsRowDxfId="3489"/>
    <tableColumn id="1" xr3:uid="{54AC435F-B720-4E01-8AF3-7D0E5B46005F}" name="Columna1" dataDxfId="3488" totalsRowDxfId="3487"/>
    <tableColumn id="7" xr3:uid="{7D3B6300-FFA1-40D9-963B-E7ADF5882F08}" name="Columna2" dataDxfId="3486" totalsRowDxfId="3485"/>
    <tableColumn id="5" xr3:uid="{B29DFB39-035F-4AD4-BC0B-15599C90F58F}" name="Costo" dataDxfId="3484" totalsRowDxfId="3483" dataCellStyle="Moneda">
      <calculatedColumnFormula>+VLOOKUP(Tabla1103453454455456479108130137157174301308323327335340341218232[[#This Row],[Ingrediente]],Tabla34[#All],3,0)</calculatedColumnFormula>
    </tableColumn>
    <tableColumn id="6" xr3:uid="{B2B3DCD0-5F9C-44F5-9EBE-A7FD1D979343}" name="Total costo" totalsRowFunction="sum" dataDxfId="3482" totalsRowDxfId="3481" dataCellStyle="Moneda">
      <calculatedColumnFormula>+Tabla1103453454455456479108130137157174301308323327335340341218232[[#This Row],[Costo]]*Tabla1103453454455456479108130137157174301308323327335340341218232[[#This Row],[Columna2]]</calculatedColumnFormula>
    </tableColumn>
  </tableColumns>
  <tableStyleInfo name="TableStyleLight8" showFirstColumn="0" showLastColumn="0" showRowStripes="1" showColumnStripes="0"/>
</table>
</file>

<file path=xl/tables/table2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2" xr:uid="{18E4D6CD-905B-4BCE-B135-91B38F687516}" name="Tabla1103453454455456479108130137157174301308323327335340342225233" displayName="Tabla1103453454455456479108130137157174301308323327335340342225233" ref="B46:H51" totalsRowCount="1" headerRowDxfId="3480" dataDxfId="3478" totalsRowDxfId="3476" headerRowBorderDxfId="3479" tableBorderDxfId="3477" totalsRowBorderDxfId="3475">
  <autoFilter ref="B46:H50" xr:uid="{7E2CE3A5-D096-4669-AB35-2EB6DBF463ED}"/>
  <tableColumns count="7">
    <tableColumn id="2" xr3:uid="{3339ED24-71F8-4F8C-950F-62D6CB592283}" name="Ingrediente" dataDxfId="3474" totalsRowDxfId="3473"/>
    <tableColumn id="3" xr3:uid="{98297D9A-7766-4D48-8FA5-E4D8DD007001}" name="Und" dataDxfId="3472" totalsRowDxfId="3471"/>
    <tableColumn id="4" xr3:uid="{471EBA20-D893-4982-ABF0-27E4ED9A9CD6}" name="Cant." dataDxfId="3470" totalsRowDxfId="3469"/>
    <tableColumn id="1" xr3:uid="{094BB97D-26B6-4EDF-A004-67B78885E598}" name="Columna1" dataDxfId="3468" totalsRowDxfId="3467"/>
    <tableColumn id="7" xr3:uid="{D4429B6E-7587-426D-8461-B3A2EED13D49}" name="Columna2" dataDxfId="3466" totalsRowDxfId="3465"/>
    <tableColumn id="5" xr3:uid="{13FF29BE-4405-4F72-90ED-DDBE5AB1B4E8}" name="Costo" dataDxfId="3464" totalsRowDxfId="3463" dataCellStyle="Moneda">
      <calculatedColumnFormula>+VLOOKUP(Tabla1103453454455456479108130137157174301308323327335340342225233[[#This Row],[Ingrediente]],Tabla34[#All],3,0)</calculatedColumnFormula>
    </tableColumn>
    <tableColumn id="6" xr3:uid="{D8CFBA35-B55A-4D2B-A185-910EEA82F26B}" name="Total costo" totalsRowFunction="sum" dataDxfId="3462" totalsRowDxfId="3461" dataCellStyle="Moneda">
      <calculatedColumnFormula>+Tabla1103453454455456479108130137157174301308323327335340342225233[[#This Row],[Costo]]*Tabla1103453454455456479108130137157174301308323327335340342225233[[#This Row],[Columna2]]</calculatedColumnFormula>
    </tableColumn>
  </tableColumns>
  <tableStyleInfo name="TableStyleLight8" showFirstColumn="0" showLastColumn="0" showRowStripes="1" showColumnStripes="0"/>
</table>
</file>

<file path=xl/tables/table2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CF01745A-5D24-474C-A4CE-6EB27E52CA95}" name="Tabla110345345445545647910813013715717430130832332733534034222523325" displayName="Tabla110345345445545647910813013715717430130832332733534034222523325" ref="B60:H66" totalsRowCount="1" headerRowDxfId="3460" dataDxfId="3458" totalsRowDxfId="3456" headerRowBorderDxfId="3459" tableBorderDxfId="3457" totalsRowBorderDxfId="3455">
  <autoFilter ref="B60:H65" xr:uid="{CF01745A-5D24-474C-A4CE-6EB27E52CA95}"/>
  <tableColumns count="7">
    <tableColumn id="2" xr3:uid="{ABA3F9E4-1BCF-4594-AE43-62989A1CDD35}" name="Ingrediente" dataDxfId="3454" totalsRowDxfId="3453"/>
    <tableColumn id="3" xr3:uid="{2FECABAD-A983-48F4-BA1E-B7591829EC35}" name="Und" dataDxfId="3452" totalsRowDxfId="3451"/>
    <tableColumn id="4" xr3:uid="{A9392F86-97C6-4EB7-B4C8-A525DDE02CB1}" name="Cant." dataDxfId="3450" totalsRowDxfId="3449"/>
    <tableColumn id="1" xr3:uid="{2C59D529-4AE9-41A6-AE14-39F0F286D760}" name="Columna1" dataDxfId="3448" totalsRowDxfId="3447"/>
    <tableColumn id="7" xr3:uid="{07EFC44C-91A0-420E-A5AF-6B24584F4F1F}" name="Columna2" dataDxfId="3446" totalsRowDxfId="3445"/>
    <tableColumn id="5" xr3:uid="{4F6E7018-9FCD-4DBF-8B0B-9696A3BAFF2E}" name="Costo" dataDxfId="3444" totalsRowDxfId="3443" dataCellStyle="Moneda">
      <calculatedColumnFormula>+VLOOKUP(Tabla110345345445545647910813013715717430130832332733534034222523325[[#This Row],[Ingrediente]],Tabla34[#All],3,0)</calculatedColumnFormula>
    </tableColumn>
    <tableColumn id="6" xr3:uid="{491ADAE0-1B4F-41DD-B27D-525962871EC7}" name="Total costo" totalsRowFunction="sum" dataDxfId="3442" totalsRowDxfId="3441" dataCellStyle="Moneda">
      <calculatedColumnFormula>+Tabla110345345445545647910813013715717430130832332733534034222523325[[#This Row],[Costo]]*Tabla110345345445545647910813013715717430130832332733534034222523325[[#This Row],[Columna2]]</calculatedColumnFormula>
    </tableColumn>
  </tableColumns>
  <tableStyleInfo name="TableStyleLight8" showFirstColumn="0" showLastColumn="0" showRowStripes="1" showColumnStripes="0"/>
</table>
</file>

<file path=xl/tables/table2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7" xr:uid="{ECE30480-64FA-4352-B02E-75C9C5034F77}" name="Tabla11034534544554564791081351121722993063164246276207228" displayName="Tabla11034534544554564791081351121722993063164246276207228" ref="B7:F9" totalsRowCount="1" headerRowDxfId="3440" dataDxfId="3438" totalsRowDxfId="3436" headerRowBorderDxfId="3439" tableBorderDxfId="3437" totalsRowBorderDxfId="3435">
  <autoFilter ref="B7:F8" xr:uid="{78BE3A0D-ECA7-47BB-B29F-2C3C5A2344BE}"/>
  <sortState xmlns:xlrd2="http://schemas.microsoft.com/office/spreadsheetml/2017/richdata2" ref="B8:F8">
    <sortCondition descending="1" ref="F8"/>
  </sortState>
  <tableColumns count="5">
    <tableColumn id="2" xr3:uid="{0525E2D2-2487-47F4-B380-A6E133494F87}" name="Ingrediente" dataDxfId="3434" totalsRowDxfId="3433"/>
    <tableColumn id="3" xr3:uid="{ED931D4A-475D-4706-92F2-E82A65270025}" name="Und" dataDxfId="3432" totalsRowDxfId="3431"/>
    <tableColumn id="4" xr3:uid="{C24DD442-A56A-405A-B978-FB93A7198A87}" name="Cant." dataDxfId="3430" totalsRowDxfId="3429"/>
    <tableColumn id="5" xr3:uid="{86082A90-6C8C-491F-BB99-BE0FFA0EAF35}" name="Costo" dataDxfId="3428" totalsRowDxfId="3427" dataCellStyle="Moneda">
      <calculatedColumnFormula>+VLOOKUP(Tabla11034534544554564791081351121722993063164246276207228[[#This Row],[Ingrediente]],Tabla34[#All],3,0)</calculatedColumnFormula>
    </tableColumn>
    <tableColumn id="6" xr3:uid="{3EB79C2D-3E41-4365-972D-6F926C7B1F31}" name="Total costo" totalsRowFunction="sum" dataDxfId="3426" totalsRowDxfId="3425" dataCellStyle="Moneda">
      <calculatedColumnFormula>+Tabla11034534544554564791081351121722993063164246276207228[[#This Row],[Costo]]*Tabla11034534544554564791081351121722993063164246276207228[[#This Row],[Cant.]]</calculatedColumnFormula>
    </tableColumn>
  </tableColumns>
  <tableStyleInfo name="TableStyleLight8" showFirstColumn="0" showLastColumn="0" showRowStripes="1" showColumnStripes="0"/>
</table>
</file>

<file path=xl/tables/table2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9" xr:uid="{E01A7D45-C50F-47E5-A53B-D602447FE2CA}" name="Tabla11034534544554564791081351121722993063164246276207228350" displayName="Tabla11034534544554564791081351121722993063164246276207228350" ref="B19:F21" totalsRowCount="1" headerRowDxfId="3424" dataDxfId="3422" totalsRowDxfId="3420" headerRowBorderDxfId="3423" tableBorderDxfId="3421" totalsRowBorderDxfId="3419">
  <autoFilter ref="B19:F20" xr:uid="{877AD644-733B-44DA-A476-999D3F8BEC27}"/>
  <sortState xmlns:xlrd2="http://schemas.microsoft.com/office/spreadsheetml/2017/richdata2" ref="B20:F20">
    <sortCondition descending="1" ref="F8"/>
  </sortState>
  <tableColumns count="5">
    <tableColumn id="2" xr3:uid="{46EBC6FA-2B71-4244-87C3-D6A5C16A6546}" name="Ingrediente" dataDxfId="3418" totalsRowDxfId="3417"/>
    <tableColumn id="3" xr3:uid="{CEB4DCAB-E868-4B1F-80F8-A1ADA212760E}" name="Und" dataDxfId="3416" totalsRowDxfId="3415"/>
    <tableColumn id="4" xr3:uid="{AB9A8764-3404-4F04-9798-D9C89525E8E9}" name="Cant." dataDxfId="3414" totalsRowDxfId="3413"/>
    <tableColumn id="5" xr3:uid="{830BC8D2-4B38-4A95-A7CF-CBB719BF0BA6}" name="Costo" dataDxfId="3412" totalsRowDxfId="3411" dataCellStyle="Moneda">
      <calculatedColumnFormula>+VLOOKUP(Tabla11034534544554564791081351121722993063164246276207228350[[#This Row],[Ingrediente]],Tabla34[#All],3,0)</calculatedColumnFormula>
    </tableColumn>
    <tableColumn id="6" xr3:uid="{163D4E83-F4CC-4529-B838-FDDD6C1CD1F0}" name="Total costo" totalsRowFunction="sum" dataDxfId="3410" totalsRowDxfId="3409" dataCellStyle="Moneda">
      <calculatedColumnFormula>+Tabla11034534544554564791081351121722993063164246276207228350[[#This Row],[Costo]]*Tabla11034534544554564791081351121722993063164246276207228350[[#This Row],[Cant.]]</calculatedColumnFormula>
    </tableColumn>
  </tableColumns>
  <tableStyleInfo name="TableStyleLight8" showFirstColumn="0" showLastColumn="0" showRowStripes="1" showColumnStripes="0"/>
</table>
</file>

<file path=xl/tables/table2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0" xr:uid="{7BEF59E2-149C-456D-A0B0-F9B577349E35}" name="Tabla11034534544554564791081351121722993063164246276207228350351" displayName="Tabla11034534544554564791081351121722993063164246276207228350351" ref="B33:F35" totalsRowCount="1" headerRowDxfId="3408" dataDxfId="3406" totalsRowDxfId="3404" headerRowBorderDxfId="3407" tableBorderDxfId="3405" totalsRowBorderDxfId="3403">
  <autoFilter ref="B33:F34" xr:uid="{C714B401-5C7A-4916-8A1E-FD2D6F2A62E4}"/>
  <sortState xmlns:xlrd2="http://schemas.microsoft.com/office/spreadsheetml/2017/richdata2" ref="B34:F34">
    <sortCondition descending="1" ref="F8"/>
  </sortState>
  <tableColumns count="5">
    <tableColumn id="2" xr3:uid="{85D9690F-1F94-4615-95B1-A217B50F146F}" name="Ingrediente" dataDxfId="3402" totalsRowDxfId="3401"/>
    <tableColumn id="3" xr3:uid="{8AE49304-A2E5-4408-89B2-E3F25807C1CE}" name="Und" dataDxfId="3400" totalsRowDxfId="3399"/>
    <tableColumn id="4" xr3:uid="{40FBAF0B-AA55-47B9-A2FF-8E6B585BA2F8}" name="Cant." dataDxfId="3398" totalsRowDxfId="3397"/>
    <tableColumn id="5" xr3:uid="{3CC6611D-E7F0-440D-BEE5-82FCC6E480A9}" name="Costo" dataDxfId="3396" totalsRowDxfId="3395" dataCellStyle="Moneda">
      <calculatedColumnFormula>+VLOOKUP(Tabla11034534544554564791081351121722993063164246276207228350351[[#This Row],[Ingrediente]],Tabla34[#All],3,0)</calculatedColumnFormula>
    </tableColumn>
    <tableColumn id="6" xr3:uid="{86A66B9A-0D23-441E-B307-BD40F58EB828}" name="Total costo" totalsRowFunction="sum" dataDxfId="3394" totalsRowDxfId="3393" dataCellStyle="Moneda">
      <calculatedColumnFormula>+Tabla11034534544554564791081351121722993063164246276207228350351[[#This Row],[Costo]]*Tabla11034534544554564791081351121722993063164246276207228350351[[#This Row],[Cant.]]</calculatedColumnFormula>
    </tableColumn>
  </tableColumns>
  <tableStyleInfo name="TableStyleLight8" showFirstColumn="0" showLastColumn="0" showRowStripes="1" showColumnStripes="0"/>
</table>
</file>

<file path=xl/tables/table2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1" xr:uid="{8B1E5256-4D79-441A-8178-0A2C79D75C68}" name="Tabla11034534544554564791081351121722993063164246276207228350352" displayName="Tabla11034534544554564791081351121722993063164246276207228350352" ref="B45:F47" totalsRowCount="1" headerRowDxfId="3392" dataDxfId="3390" totalsRowDxfId="3388" headerRowBorderDxfId="3391" tableBorderDxfId="3389" totalsRowBorderDxfId="3387">
  <autoFilter ref="B45:F46" xr:uid="{7B29AA79-2802-4031-ADC9-B6D3B9CC5566}"/>
  <sortState xmlns:xlrd2="http://schemas.microsoft.com/office/spreadsheetml/2017/richdata2" ref="B46:F46">
    <sortCondition descending="1" ref="F8"/>
  </sortState>
  <tableColumns count="5">
    <tableColumn id="2" xr3:uid="{FE44E262-FB8E-433B-B4AC-EE2F4386C062}" name="Ingrediente" dataDxfId="3386" totalsRowDxfId="3385"/>
    <tableColumn id="3" xr3:uid="{23A876E8-CDEC-45EB-AE18-1ED6044F4F00}" name="Und" dataDxfId="3384" totalsRowDxfId="3383"/>
    <tableColumn id="4" xr3:uid="{2C7CE486-0367-4567-B5AA-3A56D17540D9}" name="Cant." dataDxfId="3382" totalsRowDxfId="3381"/>
    <tableColumn id="5" xr3:uid="{AAFCD48B-5EB4-4F1B-A5E4-7DB4695FE892}" name="Costo" dataDxfId="3380" totalsRowDxfId="3379" dataCellStyle="Moneda">
      <calculatedColumnFormula>+VLOOKUP(Tabla11034534544554564791081351121722993063164246276207228350352[[#This Row],[Ingrediente]],Tabla34[#All],3,0)</calculatedColumnFormula>
    </tableColumn>
    <tableColumn id="6" xr3:uid="{0A3E4C16-4F24-432B-91E5-FA63D7461523}" name="Total costo" totalsRowFunction="sum" dataDxfId="3378" totalsRowDxfId="3377" dataCellStyle="Moneda">
      <calculatedColumnFormula>+Tabla11034534544554564791081351121722993063164246276207228350352[[#This Row],[Costo]]*Tabla11034534544554564791081351121722993063164246276207228350352[[#This Row],[Cant.]]</calculatedColumnFormula>
    </tableColumn>
  </tableColumns>
  <tableStyleInfo name="TableStyleLight8" showFirstColumn="0" showLastColumn="0" showRowStripes="1" showColumnStripes="0"/>
</table>
</file>

<file path=xl/tables/table2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2" xr:uid="{0746AEBA-EA93-4BF8-A366-05B47EE5147C}" name="Tabla11034534544554564791081351121722993063164246276207228350353" displayName="Tabla11034534544554564791081351121722993063164246276207228350353" ref="B57:F59" totalsRowCount="1" headerRowDxfId="3376" dataDxfId="3374" totalsRowDxfId="3372" headerRowBorderDxfId="3375" tableBorderDxfId="3373" totalsRowBorderDxfId="3371">
  <autoFilter ref="B57:F58" xr:uid="{9127996E-04FF-4A2D-A3C9-475E7BD945B3}"/>
  <sortState xmlns:xlrd2="http://schemas.microsoft.com/office/spreadsheetml/2017/richdata2" ref="B58:F58">
    <sortCondition descending="1" ref="F8"/>
  </sortState>
  <tableColumns count="5">
    <tableColumn id="2" xr3:uid="{B1BFEAFD-A2BA-4C66-997F-EC0D0F7C7CB3}" name="Ingrediente" dataDxfId="3370" totalsRowDxfId="3369"/>
    <tableColumn id="3" xr3:uid="{0D1C4DAA-36E7-4526-A888-AEEBCA670C48}" name="Und" dataDxfId="3368" totalsRowDxfId="3367"/>
    <tableColumn id="4" xr3:uid="{B4641CCD-97BB-4BCC-BA78-4DB28AD09E00}" name="Cant." dataDxfId="3366" totalsRowDxfId="3365"/>
    <tableColumn id="5" xr3:uid="{F0950A63-7083-48EB-95F9-0F4159C09C10}" name="Costo" dataDxfId="3364" totalsRowDxfId="3363" dataCellStyle="Moneda">
      <calculatedColumnFormula>+VLOOKUP(Tabla11034534544554564791081351121722993063164246276207228350353[[#This Row],[Ingrediente]],Tabla34[#All],3,0)</calculatedColumnFormula>
    </tableColumn>
    <tableColumn id="6" xr3:uid="{BC4F35C3-73E6-429D-B7D9-EBE8CF543CF5}" name="Total costo" totalsRowFunction="sum" dataDxfId="3362" totalsRowDxfId="3361" dataCellStyle="Moneda">
      <calculatedColumnFormula>+Tabla11034534544554564791081351121722993063164246276207228350353[[#This Row],[Costo]]*Tabla11034534544554564791081351121722993063164246276207228350353[[#This Row],[Cant.]]</calculatedColumnFormula>
    </tableColumn>
  </tableColumns>
  <tableStyleInfo name="TableStyleLight8" showFirstColumn="0" showLastColumn="0" showRowStripes="1" showColumnStripes="0"/>
</table>
</file>

<file path=xl/tables/table2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3" xr:uid="{874DA13C-024F-4C03-9546-96FD8AB4A14F}" name="Tabla11034534544554564791081351121722993063164246276207228350354" displayName="Tabla11034534544554564791081351121722993063164246276207228350354" ref="B69:F71" totalsRowCount="1" headerRowDxfId="3360" dataDxfId="3358" totalsRowDxfId="3356" headerRowBorderDxfId="3359" tableBorderDxfId="3357" totalsRowBorderDxfId="3355">
  <autoFilter ref="B69:F70" xr:uid="{5CDF52EB-2359-4A6F-B03A-31B614F5290F}"/>
  <sortState xmlns:xlrd2="http://schemas.microsoft.com/office/spreadsheetml/2017/richdata2" ref="B70:F70">
    <sortCondition descending="1" ref="F8"/>
  </sortState>
  <tableColumns count="5">
    <tableColumn id="2" xr3:uid="{21264438-6A2E-4EF2-98E7-08A00527CDB8}" name="Ingrediente" dataDxfId="3354" totalsRowDxfId="3353"/>
    <tableColumn id="3" xr3:uid="{83206140-EEF3-417C-90A8-D9C143983CD9}" name="Und" dataDxfId="3352" totalsRowDxfId="3351"/>
    <tableColumn id="4" xr3:uid="{EA812058-757F-4B24-B289-F355F5D65922}" name="Cant." dataDxfId="3350" totalsRowDxfId="3349"/>
    <tableColumn id="5" xr3:uid="{6EABD1F5-8294-42B1-9647-E19F31A01AE2}" name="Costo" dataDxfId="3348" totalsRowDxfId="3347" dataCellStyle="Moneda">
      <calculatedColumnFormula>+VLOOKUP(Tabla11034534544554564791081351121722993063164246276207228350354[[#This Row],[Ingrediente]],Tabla34[#All],3,0)</calculatedColumnFormula>
    </tableColumn>
    <tableColumn id="6" xr3:uid="{0E0397E9-2B83-479A-9DF2-51717064E48D}" name="Total costo" totalsRowFunction="sum" dataDxfId="3346" totalsRowDxfId="3345" dataCellStyle="Moneda">
      <calculatedColumnFormula>+Tabla11034534544554564791081351121722993063164246276207228350354[[#This Row],[Costo]]*Tabla11034534544554564791081351121722993063164246276207228350354[[#This Row],[Cant.]]</calculatedColumnFormula>
    </tableColumn>
  </tableColumns>
  <tableStyleInfo name="TableStyleLight8" showFirstColumn="0" showLastColumn="0" showRowStripes="1" showColumnStripes="0"/>
</table>
</file>

<file path=xl/tables/table2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4" xr:uid="{78B2244E-156A-4125-9BFE-33EC0415BA03}" name="Tabla11034534544554564791081351121722993063164246276207228350352355" displayName="Tabla11034534544554564791081351121722993063164246276207228350352355" ref="B80:F82" totalsRowCount="1" headerRowDxfId="3344" dataDxfId="3342" totalsRowDxfId="3340" headerRowBorderDxfId="3343" tableBorderDxfId="3341" totalsRowBorderDxfId="3339">
  <autoFilter ref="B80:F81" xr:uid="{53A9DF0A-D375-4A26-8424-BC6A1040332B}"/>
  <sortState xmlns:xlrd2="http://schemas.microsoft.com/office/spreadsheetml/2017/richdata2" ref="B81:F81">
    <sortCondition descending="1" ref="F8"/>
  </sortState>
  <tableColumns count="5">
    <tableColumn id="2" xr3:uid="{D1B8DC0C-8AAD-459B-81E2-BC63872F9E17}" name="Ingrediente" dataDxfId="3338" totalsRowDxfId="3337"/>
    <tableColumn id="3" xr3:uid="{483ACB75-48DF-4A26-BA4C-EBC6A6350AE2}" name="Und" dataDxfId="3336" totalsRowDxfId="3335"/>
    <tableColumn id="4" xr3:uid="{8FB6D690-EE3E-40E4-BE09-3360814E57B6}" name="Cant." dataDxfId="3334" totalsRowDxfId="3333"/>
    <tableColumn id="5" xr3:uid="{652C874A-A122-49DC-A637-1CEBB6488BE5}" name="Costo" dataDxfId="3332" totalsRowDxfId="3331" dataCellStyle="Moneda">
      <calculatedColumnFormula>+VLOOKUP(Tabla11034534544554564791081351121722993063164246276207228350352355[[#This Row],[Ingrediente]],Tabla34[#All],3,0)</calculatedColumnFormula>
    </tableColumn>
    <tableColumn id="6" xr3:uid="{BD9E15FA-6281-411D-AEC8-662681BE9C81}" name="Total costo" totalsRowFunction="sum" dataDxfId="3330" totalsRowDxfId="3329" dataCellStyle="Moneda">
      <calculatedColumnFormula>+Tabla11034534544554564791081351121722993063164246276207228350352355[[#This Row],[Costo]]*Tabla11034534544554564791081351121722993063164246276207228350352355[[#This Row],[Cant.]]</calculatedColumnFormula>
    </tableColumn>
  </tableColumns>
  <tableStyleInfo name="TableStyleLight8" showFirstColumn="0" showLastColumn="0" showRowStripes="1" showColumnStripes="0"/>
</table>
</file>

<file path=xl/tables/table2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219DB288-4D6A-41D5-90CC-911B804C8BC4}" name="Tabla1103453454455456479108135112172" displayName="Tabla1103453454455456479108135112172" ref="B7:H17" totalsRowCount="1" headerRowDxfId="3328" dataDxfId="3326" totalsRowDxfId="3324" headerRowBorderDxfId="3327" tableBorderDxfId="3325" totalsRowBorderDxfId="3323">
  <autoFilter ref="B7:H16" xr:uid="{78BE3A0D-ECA7-47BB-B29F-2C3C5A2344BE}"/>
  <sortState xmlns:xlrd2="http://schemas.microsoft.com/office/spreadsheetml/2017/richdata2" ref="B8:H16">
    <sortCondition descending="1" ref="H8"/>
  </sortState>
  <tableColumns count="7">
    <tableColumn id="2" xr3:uid="{DCFFE1D5-DC78-4416-8904-69F18DE486CC}" name="Ingrediente" dataDxfId="3322" totalsRowDxfId="3321"/>
    <tableColumn id="3" xr3:uid="{60777E1A-FB2C-4A5F-8854-7EBDD97FD239}" name="Und" dataDxfId="3320" totalsRowDxfId="3319"/>
    <tableColumn id="4" xr3:uid="{2BFD9163-4EE4-499C-9482-3DD86DD0C987}" name="Cant." dataDxfId="3318" totalsRowDxfId="3317"/>
    <tableColumn id="1" xr3:uid="{4A30D333-0818-4662-A759-FC901F14073B}" name="Columna1" dataDxfId="3316" totalsRowDxfId="3315"/>
    <tableColumn id="7" xr3:uid="{D1C75873-0A1C-4713-AEDA-B2D99399EA38}" name="Columna2" dataDxfId="3314" totalsRowDxfId="3313"/>
    <tableColumn id="5" xr3:uid="{B9E6FA3F-B106-4197-BE15-332CF2C207B2}" name="Costo" dataDxfId="3312" totalsRowDxfId="3311" dataCellStyle="Moneda">
      <calculatedColumnFormula>+VLOOKUP(Tabla1103453454455456479108135112172[[#This Row],[Ingrediente]],Tabla34[#All],3,0)</calculatedColumnFormula>
    </tableColumn>
    <tableColumn id="6" xr3:uid="{91DAC718-F094-4A38-9EA8-A56398DA7ABE}" name="Total costo" totalsRowFunction="sum" dataDxfId="3310" totalsRowDxfId="3309" dataCellStyle="Moneda">
      <calculatedColumnFormula>+Tabla1103453454455456479108135112172[[#This Row],[Costo]]*Tabla1103453454455456479108135112172[[#This Row],[Columna2]]</calculatedColumnFormula>
    </tableColumn>
  </tableColumns>
  <tableStyleInfo name="TableStyleLight8" showFirstColumn="0" showLastColumn="0" showRowStripes="1" showColumnStripes="0"/>
</table>
</file>

<file path=xl/tables/table2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5086E427-30C0-4EE1-A94A-1D5C0CFD84AC}" name="Tabla1103453454455456479108129136156173" displayName="Tabla1103453454455456479108129136156173" ref="B21:H31" totalsRowCount="1" headerRowDxfId="3308" dataDxfId="3306" totalsRowDxfId="3304" headerRowBorderDxfId="3307" tableBorderDxfId="3305" totalsRowBorderDxfId="3303">
  <autoFilter ref="B21:H30" xr:uid="{087B01A7-35AD-4F23-9E77-4B3FC96A2C1A}"/>
  <sortState xmlns:xlrd2="http://schemas.microsoft.com/office/spreadsheetml/2017/richdata2" ref="B22:H30">
    <sortCondition descending="1" ref="H8"/>
  </sortState>
  <tableColumns count="7">
    <tableColumn id="2" xr3:uid="{8024E707-784E-496D-B7B3-D510C32DC19D}" name="Ingrediente" dataDxfId="3302" totalsRowDxfId="3301"/>
    <tableColumn id="3" xr3:uid="{080F171F-EB16-4C02-B5E4-628407D0564B}" name="Und" dataDxfId="3300" totalsRowDxfId="3299"/>
    <tableColumn id="4" xr3:uid="{ECD7CB43-656E-4BF1-B6B7-674BD96E5154}" name="Cant." dataDxfId="3298" totalsRowDxfId="3297"/>
    <tableColumn id="1" xr3:uid="{13C6558D-C0DF-4CF4-8F2F-5ADA91068ED0}" name="Columna1" dataDxfId="3296" totalsRowDxfId="3295"/>
    <tableColumn id="7" xr3:uid="{73AE267F-D136-4A94-8477-0675F498A8D3}" name="Columna2" dataDxfId="3294" totalsRowDxfId="3293"/>
    <tableColumn id="5" xr3:uid="{C73FE481-90BE-4F42-968E-CF044674FCAF}" name="Costo" dataDxfId="3292" totalsRowDxfId="3291" dataCellStyle="Moneda">
      <calculatedColumnFormula>+VLOOKUP(Tabla1103453454455456479108129136156173[[#This Row],[Ingrediente]],Tabla34[#All],3,0)</calculatedColumnFormula>
    </tableColumn>
    <tableColumn id="6" xr3:uid="{DD2ABA0C-67CB-4C1F-8F64-98F78E9627C4}" name="Total costo" totalsRowFunction="sum" dataDxfId="3290" totalsRowDxfId="3289" dataCellStyle="Moneda">
      <calculatedColumnFormula>+Tabla1103453454455456479108129136156173[[#This Row],[Costo]]*Tabla1103453454455456479108129136156173[[#This Row],[Columna2]]</calculatedColumnFormula>
    </tableColumn>
  </tableColumns>
  <tableStyleInfo name="TableStyleLight8" showFirstColumn="0" showLastColumn="0" showRowStripes="1" showColumnStripes="0"/>
</table>
</file>

<file path=xl/tables/table2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7A2536D8-D4B7-4EE7-8DAD-772D3419FACE}" name="Tabla1103453454455456479108130137157174" displayName="Tabla1103453454455456479108130137157174" ref="B35:H43" totalsRowCount="1" headerRowDxfId="3288" dataDxfId="3286" totalsRowDxfId="3284" headerRowBorderDxfId="3287" tableBorderDxfId="3285" totalsRowBorderDxfId="3283">
  <autoFilter ref="B35:H42" xr:uid="{13FBCEAD-C7B8-4FC5-957B-A5E5AEE709E4}"/>
  <sortState xmlns:xlrd2="http://schemas.microsoft.com/office/spreadsheetml/2017/richdata2" ref="B36:H42">
    <sortCondition descending="1" ref="H8"/>
  </sortState>
  <tableColumns count="7">
    <tableColumn id="2" xr3:uid="{A87A9277-A2D3-4222-A45B-B5E689CE9446}" name="Ingrediente" dataDxfId="3282" totalsRowDxfId="3281"/>
    <tableColumn id="3" xr3:uid="{F50BFC13-A167-455E-A6CD-C7AD20B55468}" name="Und" dataDxfId="3280" totalsRowDxfId="3279"/>
    <tableColumn id="4" xr3:uid="{019237AD-092C-49FD-A7E7-4002733937DB}" name="Cant." dataDxfId="3278" totalsRowDxfId="3277"/>
    <tableColumn id="1" xr3:uid="{36A67D5D-164C-4AEB-8794-F831EC1015E8}" name="Columna1" dataDxfId="3276" totalsRowDxfId="3275"/>
    <tableColumn id="7" xr3:uid="{A409B311-B233-4C86-838B-61DB03501048}" name="Columna2" dataDxfId="3274" totalsRowDxfId="3273"/>
    <tableColumn id="5" xr3:uid="{55F61475-7C25-40AC-AF53-95227C33ED55}" name="Costo" dataDxfId="3272" totalsRowDxfId="3271" dataCellStyle="Moneda">
      <calculatedColumnFormula>+VLOOKUP(Tabla1103453454455456479108130137157174[[#This Row],[Ingrediente]],Tabla34[#All],3,0)</calculatedColumnFormula>
    </tableColumn>
    <tableColumn id="6" xr3:uid="{9627B293-1BCB-4EC8-8DD5-CB716EFFEA10}" name="Total costo" totalsRowFunction="sum" dataDxfId="3270" totalsRowDxfId="3269" dataCellStyle="Moneda">
      <calculatedColumnFormula>+Tabla1103453454455456479108130137157174[[#This Row],[Costo]]*Tabla1103453454455456479108130137157174[[#This Row],[Columna2]]</calculatedColumnFormula>
    </tableColumn>
  </tableColumns>
  <tableStyleInfo name="TableStyleLight8" showFirstColumn="0" showLastColumn="0" showRowStripes="1" showColumnStripes="0"/>
</table>
</file>

<file path=xl/tables/table2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08D77339-43DC-4772-BF68-E2B0FAA93D18}" name="Tabla1103453454455456479108131138166175" displayName="Tabla1103453454455456479108131138166175" ref="B46:H54" totalsRowCount="1" headerRowDxfId="3268" dataDxfId="3266" totalsRowDxfId="3264" headerRowBorderDxfId="3267" tableBorderDxfId="3265" totalsRowBorderDxfId="3263">
  <autoFilter ref="B46:H53" xr:uid="{A8736C73-67AA-48C5-B2F7-655C1CC0BBBD}"/>
  <sortState xmlns:xlrd2="http://schemas.microsoft.com/office/spreadsheetml/2017/richdata2" ref="B47:H53">
    <sortCondition descending="1" ref="H8"/>
  </sortState>
  <tableColumns count="7">
    <tableColumn id="2" xr3:uid="{4B8A2161-6DB3-475D-87CF-674ACB6E4A70}" name="Ingrediente" dataDxfId="3262" totalsRowDxfId="3261"/>
    <tableColumn id="3" xr3:uid="{2D8BFFA9-7580-44AA-82BD-7F5B5D4EAFFF}" name="Und" dataDxfId="3260" totalsRowDxfId="3259"/>
    <tableColumn id="4" xr3:uid="{1A1D4CA1-E1FC-4E42-8B4A-F7C04D110A02}" name="Cant." dataDxfId="3258" totalsRowDxfId="3257"/>
    <tableColumn id="1" xr3:uid="{366C685B-2D94-479D-BE88-178115070D97}" name="Columna1" dataDxfId="3256" totalsRowDxfId="3255"/>
    <tableColumn id="7" xr3:uid="{CAB8A422-6F1E-4C33-9DF5-A6035596A7A4}" name="Columna2" dataDxfId="3254" totalsRowDxfId="3253"/>
    <tableColumn id="5" xr3:uid="{DB3EB9CC-F262-4014-B97E-62FA9A393D64}" name="Costo" dataDxfId="3252" totalsRowDxfId="3251" dataCellStyle="Moneda">
      <calculatedColumnFormula>+VLOOKUP(Tabla1103453454455456479108131138166175[[#This Row],[Ingrediente]],Tabla34[#All],3,0)</calculatedColumnFormula>
    </tableColumn>
    <tableColumn id="6" xr3:uid="{29CBD321-F57C-4A65-8340-7747041A2B6B}" name="Total costo" totalsRowFunction="sum" dataDxfId="3250" totalsRowDxfId="3249" dataCellStyle="Moneda">
      <calculatedColumnFormula>+Tabla1103453454455456479108131138166175[[#This Row],[Costo]]*Tabla1103453454455456479108131138166175[[#This Row],[Columna2]]</calculatedColumnFormula>
    </tableColumn>
  </tableColumns>
  <tableStyleInfo name="TableStyleLight8" showFirstColumn="0" showLastColumn="0" showRowStripes="1" showColumnStripes="0"/>
</table>
</file>

<file path=xl/tables/table2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3A8278DD-A2C3-4A5A-9B25-F487EC720AB9}" name="Tabla1103453454455456479108132139167187" displayName="Tabla1103453454455456479108132139167187" ref="B57:H66" totalsRowCount="1" headerRowDxfId="3248" dataDxfId="3246" totalsRowDxfId="3244" headerRowBorderDxfId="3247" tableBorderDxfId="3245" totalsRowBorderDxfId="3243">
  <autoFilter ref="B57:H65" xr:uid="{2002B4E3-3288-4F9D-ADD0-A68FF641E479}"/>
  <sortState xmlns:xlrd2="http://schemas.microsoft.com/office/spreadsheetml/2017/richdata2" ref="B58:H65">
    <sortCondition descending="1" ref="G60"/>
  </sortState>
  <tableColumns count="7">
    <tableColumn id="2" xr3:uid="{AE1C1ECE-B834-4B3F-93F4-5821D1FCC6CC}" name="Ingrediente" dataDxfId="3242" totalsRowDxfId="3241"/>
    <tableColumn id="3" xr3:uid="{FC2D9DC2-B885-470B-A957-F6F1A56279BA}" name="Und" dataDxfId="3240" totalsRowDxfId="3239"/>
    <tableColumn id="4" xr3:uid="{007A151B-DB95-4BA0-9C5F-E64CF4E8AC2C}" name="Cant." dataDxfId="3238" totalsRowDxfId="3237"/>
    <tableColumn id="1" xr3:uid="{042F152B-1EE6-4A1E-AA74-9CF659084077}" name="Columna1" dataDxfId="3236" totalsRowDxfId="3235"/>
    <tableColumn id="7" xr3:uid="{EA5E6C63-60D2-410B-8F7E-F375B0698CAF}" name="Columna2" dataDxfId="3234" totalsRowDxfId="3233"/>
    <tableColumn id="5" xr3:uid="{4A16D3AC-B560-4409-BE06-7F94714DB15E}" name="Costo" dataDxfId="3232" totalsRowDxfId="3231" dataCellStyle="Moneda">
      <calculatedColumnFormula>+VLOOKUP(Tabla1103453454455456479108132139167187[[#This Row],[Ingrediente]],Tabla34[#All],3,0)</calculatedColumnFormula>
    </tableColumn>
    <tableColumn id="6" xr3:uid="{42CE0B82-9D3D-4EAE-A51A-C6934CD28108}" name="Total costo" totalsRowFunction="sum" dataDxfId="3230" totalsRowDxfId="3229" dataCellStyle="Moneda">
      <calculatedColumnFormula>+Tabla1103453454455456479108132139167187[[#This Row],[Costo]]*Tabla1103453454455456479108132139167187[[#This Row],[Columna2]]</calculatedColumnFormula>
    </tableColumn>
  </tableColumns>
  <tableStyleInfo name="TableStyleLight8" showFirstColumn="0" showLastColumn="0" showRowStripes="1" showColumnStripes="0"/>
</table>
</file>

<file path=xl/tables/table2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FE8B65F5-02C6-4FDC-B52E-34A5C2071FFD}" name="Tabla1103453454455456479108133140168188" displayName="Tabla1103453454455456479108133140168188" ref="B69:H78" totalsRowCount="1" headerRowDxfId="3228" dataDxfId="3226" totalsRowDxfId="3224" headerRowBorderDxfId="3227" tableBorderDxfId="3225" totalsRowBorderDxfId="3223">
  <autoFilter ref="B69:H77" xr:uid="{E51661B7-AB33-4992-B1D2-B2FC3C6A14F5}"/>
  <sortState xmlns:xlrd2="http://schemas.microsoft.com/office/spreadsheetml/2017/richdata2" ref="B70:H77">
    <sortCondition descending="1" ref="H71"/>
  </sortState>
  <tableColumns count="7">
    <tableColumn id="2" xr3:uid="{30B6B646-509D-440A-8566-56C7CA23B2BF}" name="Ingrediente" dataDxfId="3222" totalsRowDxfId="3221"/>
    <tableColumn id="3" xr3:uid="{B3B00753-132B-4ADC-A68D-190D299BC6EF}" name="Und" dataDxfId="3220" totalsRowDxfId="3219"/>
    <tableColumn id="4" xr3:uid="{5276E3D1-A00C-4A3F-9A18-A866CAA0F21A}" name="Cant." dataDxfId="3218" totalsRowDxfId="3217"/>
    <tableColumn id="1" xr3:uid="{69A59FF3-6689-495C-A11A-9DFA3EB38721}" name="Columna1" dataDxfId="3216" totalsRowDxfId="3215"/>
    <tableColumn id="7" xr3:uid="{F5AC0251-CB1D-4428-B740-6DEB275B9435}" name="Columna2" dataDxfId="3214" totalsRowDxfId="3213"/>
    <tableColumn id="5" xr3:uid="{32E0BAA6-3F0E-458E-BBA3-FD280537EB1B}" name="Costo" dataDxfId="3212" totalsRowDxfId="3211" dataCellStyle="Moneda">
      <calculatedColumnFormula>+VLOOKUP(Tabla1103453454455456479108133140168188[[#This Row],[Ingrediente]],Tabla34[#All],3,0)</calculatedColumnFormula>
    </tableColumn>
    <tableColumn id="6" xr3:uid="{E8E42783-4C44-4D21-B997-6A9B665F71EB}" name="Total costo" totalsRowFunction="sum" dataDxfId="3210" totalsRowDxfId="3209" dataCellStyle="Moneda">
      <calculatedColumnFormula>+Tabla1103453454455456479108133140168188[[#This Row],[Costo]]*Tabla1103453454455456479108133140168188[[#This Row],[Columna2]]</calculatedColumnFormula>
    </tableColumn>
  </tableColumns>
  <tableStyleInfo name="TableStyleLight8" showFirstColumn="0" showLastColumn="0" showRowStripes="1" showColumnStripes="0"/>
</table>
</file>

<file path=xl/tables/table2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199D8051-0B52-4BCD-B509-6290B288CE24}" name="Tabla110345345445545647910813314016918080" displayName="Tabla110345345445545647910813314016918080" ref="B10:H28" totalsRowCount="1" headerRowDxfId="3208" dataDxfId="3206" totalsRowDxfId="3204" headerRowBorderDxfId="3207" tableBorderDxfId="3205" totalsRowBorderDxfId="3203">
  <autoFilter ref="B10:H27" xr:uid="{199D8051-0B52-4BCD-B509-6290B288CE24}"/>
  <sortState xmlns:xlrd2="http://schemas.microsoft.com/office/spreadsheetml/2017/richdata2" ref="B11:H20">
    <sortCondition descending="1" ref="H110"/>
  </sortState>
  <tableColumns count="7">
    <tableColumn id="2" xr3:uid="{CC0A1939-DD2E-42FF-901E-6402DD8AEB94}" name="Ingrediente" dataDxfId="3202" totalsRowDxfId="3201"/>
    <tableColumn id="3" xr3:uid="{D8BEB8EA-5524-4DC7-8ED8-563EA4C42CA5}" name="Und" dataDxfId="3200" totalsRowDxfId="3199"/>
    <tableColumn id="4" xr3:uid="{E2618CE6-F9A2-45AB-87D3-51EDFD645FED}" name="Cant." dataDxfId="3198" totalsRowDxfId="3197"/>
    <tableColumn id="7" xr3:uid="{AC702703-24EE-41A3-A68D-113BBC6646F6}" name="Columna2" dataDxfId="3196" totalsRowDxfId="3195"/>
    <tableColumn id="1" xr3:uid="{74EC786A-18FE-4C8F-9DFA-950568F19E8D}" name="Columna1" dataDxfId="3194" totalsRowDxfId="3193"/>
    <tableColumn id="5" xr3:uid="{B238AA60-14E5-445A-BE0E-AC3C89FDC8ED}" name="Costo" dataDxfId="3192" totalsRowDxfId="3191" dataCellStyle="Moneda">
      <calculatedColumnFormula>+VLOOKUP(Tabla110345345445545647910813314016918080[[#This Row],[Ingrediente]],Tabla34[#All],3,0)</calculatedColumnFormula>
    </tableColumn>
    <tableColumn id="6" xr3:uid="{0C640945-2BA4-4C98-9FBF-497F640430BC}" name="Total costo" totalsRowFunction="sum" dataDxfId="3190" totalsRowDxfId="3189" dataCellStyle="Moneda">
      <calculatedColumnFormula>+Tabla110345345445545647910813314016918080[[#This Row],[Costo]]*Tabla110345345445545647910813314016918080[[#This Row],[Columna1]]</calculatedColumnFormula>
    </tableColumn>
  </tableColumns>
  <tableStyleInfo name="TableStyleLight8" showFirstColumn="0" showLastColumn="0" showRowStripes="1" showColumnStripes="0"/>
</table>
</file>

<file path=xl/tables/table2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6ABB87EC-C92D-4B26-A597-CF38626DF56D}" name="Tabla11034534544554564791081331401691808087" displayName="Tabla11034534544554564791081331401691808087" ref="B30:H45" totalsRowCount="1" headerRowDxfId="3188" dataDxfId="3186" totalsRowDxfId="3184" headerRowBorderDxfId="3187" tableBorderDxfId="3185" totalsRowBorderDxfId="3183">
  <autoFilter ref="B30:H44" xr:uid="{6ABB87EC-C92D-4B26-A597-CF38626DF56D}"/>
  <sortState xmlns:xlrd2="http://schemas.microsoft.com/office/spreadsheetml/2017/richdata2" ref="B31:H44">
    <sortCondition descending="1" ref="H33:H44"/>
  </sortState>
  <tableColumns count="7">
    <tableColumn id="2" xr3:uid="{92A538AC-A329-4049-AD94-D26CD2D0E3D4}" name="Ingrediente" dataDxfId="3182" totalsRowDxfId="3181"/>
    <tableColumn id="3" xr3:uid="{64D6413D-7E20-46EA-BBD1-E467DCF0E09E}" name="Und" dataDxfId="3180" totalsRowDxfId="3179"/>
    <tableColumn id="4" xr3:uid="{E1D4068C-9256-49EA-A52E-D63FCFFABA2D}" name="Cant." dataDxfId="3178" totalsRowDxfId="3177"/>
    <tableColumn id="7" xr3:uid="{66F085DA-FB2D-4F59-B386-F47C6BF9F98C}" name="Columna2" dataDxfId="3176" totalsRowDxfId="3175"/>
    <tableColumn id="1" xr3:uid="{A5DA5F2A-3535-4C63-AFDB-918EDB534BFB}" name="Columna1" dataDxfId="3174" totalsRowDxfId="3173"/>
    <tableColumn id="5" xr3:uid="{05B976C9-70B8-4475-B6DA-BACCCD55EA28}" name="Costo" dataDxfId="3172" totalsRowDxfId="3171" dataCellStyle="Moneda">
      <calculatedColumnFormula>+VLOOKUP(Tabla11034534544554564791081331401691808087[[#This Row],[Ingrediente]],Tabla34[#All],3,0)</calculatedColumnFormula>
    </tableColumn>
    <tableColumn id="6" xr3:uid="{10A01028-A0F7-4735-AD7A-0581FD128763}" name="Total costo" totalsRowFunction="sum" dataDxfId="3170" totalsRowDxfId="3169" dataCellStyle="Moneda">
      <calculatedColumnFormula>+Tabla11034534544554564791081331401691808087[[#This Row],[Costo]]*Tabla11034534544554564791081331401691808087[[#This Row],[Columna1]]</calculatedColumnFormula>
    </tableColumn>
  </tableColumns>
  <tableStyleInfo name="TableStyleLight8" showFirstColumn="0" showLastColumn="0" showRowStripes="1" showColumnStripes="0"/>
</table>
</file>

<file path=xl/tables/table2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B4AF1A8B-8E3C-4382-9CD4-B4777DBCBC65}" name="Tabla110345345445545647910813314016918080878892" displayName="Tabla110345345445545647910813314016918080878892" ref="B48:H64" totalsRowCount="1" headerRowDxfId="3168" dataDxfId="3166" totalsRowDxfId="3164" headerRowBorderDxfId="3167" tableBorderDxfId="3165" totalsRowBorderDxfId="3163">
  <autoFilter ref="B48:H63" xr:uid="{B4AF1A8B-8E3C-4382-9CD4-B4777DBCBC65}"/>
  <sortState xmlns:xlrd2="http://schemas.microsoft.com/office/spreadsheetml/2017/richdata2" ref="B49:H63">
    <sortCondition descending="1" ref="H49:H63"/>
  </sortState>
  <tableColumns count="7">
    <tableColumn id="2" xr3:uid="{CDFF97E1-E6C5-477F-ABDD-6392D4395F0D}" name="Ingrediente" dataDxfId="3162" totalsRowDxfId="3161"/>
    <tableColumn id="3" xr3:uid="{7F913127-7D8D-4923-BDF7-098A469838BB}" name="Und" dataDxfId="3160" totalsRowDxfId="3159"/>
    <tableColumn id="4" xr3:uid="{115E15F9-9367-4E5A-9886-59DA60C8DB62}" name="Cant." dataDxfId="3158" totalsRowDxfId="3157"/>
    <tableColumn id="7" xr3:uid="{07B9DC3A-010C-45F0-B294-35AB0F71D065}" name="Columna2" dataDxfId="3156" totalsRowDxfId="3155"/>
    <tableColumn id="1" xr3:uid="{6368BECB-3E0D-4E4B-A3C3-F62B6A6DB075}" name="Columna1" dataDxfId="3154" totalsRowDxfId="3153"/>
    <tableColumn id="5" xr3:uid="{874D0AF8-0CDF-41B1-9282-26E0D4E59BAF}" name="Costo" dataDxfId="3152" totalsRowDxfId="3151" dataCellStyle="Moneda">
      <calculatedColumnFormula>+VLOOKUP(Tabla110345345445545647910813314016918080878892[[#This Row],[Ingrediente]],Tabla34[#All],3,0)</calculatedColumnFormula>
    </tableColumn>
    <tableColumn id="6" xr3:uid="{318D6C37-9892-46B5-B3C8-DA3FA6DBFF58}" name="Total costo" totalsRowFunction="sum" dataDxfId="3150" totalsRowDxfId="3149" dataCellStyle="Moneda">
      <calculatedColumnFormula>+Tabla110345345445545647910813314016918080878892[[#This Row],[Costo]]*Tabla110345345445545647910813314016918080878892[[#This Row],[Columna1]]</calculatedColumnFormula>
    </tableColumn>
  </tableColumns>
  <tableStyleInfo name="TableStyleLight8" showFirstColumn="0" showLastColumn="0" showRowStripes="1" showColumnStripes="0"/>
</table>
</file>

<file path=xl/tables/table2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20C941E1-8FFB-418C-9FF3-BFE2602C9B22}" name="Tabla11034534544554564791081331401691808087889293" displayName="Tabla11034534544554564791081331401691808087889293" ref="B69:H88" totalsRowCount="1" headerRowDxfId="3148" dataDxfId="3146" totalsRowDxfId="3144" headerRowBorderDxfId="3147" tableBorderDxfId="3145" totalsRowBorderDxfId="3143">
  <autoFilter ref="B69:H87" xr:uid="{20C941E1-8FFB-418C-9FF3-BFE2602C9B22}"/>
  <tableColumns count="7">
    <tableColumn id="2" xr3:uid="{D522AF7B-EBC8-4357-AFDB-EE87C20F4E3E}" name="Ingrediente" dataDxfId="3142" totalsRowDxfId="3141"/>
    <tableColumn id="3" xr3:uid="{CECE0CD7-F92F-4A3D-BF6C-336C2A1C7B73}" name="Und" dataDxfId="3140" totalsRowDxfId="3139"/>
    <tableColumn id="4" xr3:uid="{4833847C-51A9-420A-9139-FCCE6427B15A}" name="Cant." dataDxfId="3138" totalsRowDxfId="3137"/>
    <tableColumn id="7" xr3:uid="{B2C8F228-E0F4-4A46-9D4B-A5D6FD5AB272}" name="Columna2" dataDxfId="3136" totalsRowDxfId="3135"/>
    <tableColumn id="1" xr3:uid="{154FB5C0-51F0-4E9F-9E0F-AB3E6EEC4A30}" name="Columna1" dataDxfId="3134" totalsRowDxfId="3133"/>
    <tableColumn id="5" xr3:uid="{80AA2CA6-3D32-4E00-B3D9-EC846552BD64}" name="Costo" dataDxfId="3132" totalsRowDxfId="3131" dataCellStyle="Moneda">
      <calculatedColumnFormula>+VLOOKUP(Tabla11034534544554564791081331401691808087889293[[#This Row],[Ingrediente]],Tabla34[#All],3,0)</calculatedColumnFormula>
    </tableColumn>
    <tableColumn id="6" xr3:uid="{B3EDAD5B-B938-41EF-A4FD-2403F0226E60}" name="Total costo" totalsRowFunction="sum" dataDxfId="3130" totalsRowDxfId="3129" dataCellStyle="Moneda">
      <calculatedColumnFormula>+Tabla11034534544554564791081331401691808087889293[[#This Row],[Costo]]*Tabla11034534544554564791081331401691808087889293[[#This Row],[Columna1]]</calculatedColumnFormula>
    </tableColumn>
  </tableColumns>
  <tableStyleInfo name="TableStyleLight8" showFirstColumn="0" showLastColumn="0" showRowStripes="1" showColumnStripes="0"/>
</table>
</file>

<file path=xl/tables/table2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0EA282C2-0D8F-42A6-B781-0285EA5160CA}" name="Tabla1103453454455456479108133140169180808788929396" displayName="Tabla1103453454455456479108133140169180808788929396" ref="B93:H111" totalsRowCount="1" headerRowDxfId="3128" dataDxfId="3126" totalsRowDxfId="3124" headerRowBorderDxfId="3127" tableBorderDxfId="3125" totalsRowBorderDxfId="3123">
  <autoFilter ref="B93:H110" xr:uid="{0EA282C2-0D8F-42A6-B781-0285EA5160CA}"/>
  <tableColumns count="7">
    <tableColumn id="2" xr3:uid="{99B26B39-B04D-4EB4-AD92-5A556C5BA498}" name="Ingrediente" dataDxfId="3122" totalsRowDxfId="3121"/>
    <tableColumn id="3" xr3:uid="{91227DB6-D0BE-4FAE-AA1B-92845ABEA90E}" name="Und" dataDxfId="3120" totalsRowDxfId="3119"/>
    <tableColumn id="4" xr3:uid="{8BB97CDE-E1F6-46CF-8DF2-62FFADF5484B}" name="Cant." dataDxfId="3118" totalsRowDxfId="3117"/>
    <tableColumn id="7" xr3:uid="{8C4DE406-9630-43F3-859B-FB430BD8E4D3}" name="Columna2" dataDxfId="3116" totalsRowDxfId="3115"/>
    <tableColumn id="1" xr3:uid="{2F5EFBA4-45DC-41C1-86A4-7E2C0CF9ADDF}" name="Columna1" dataDxfId="3114" totalsRowDxfId="3113"/>
    <tableColumn id="5" xr3:uid="{5A81B12D-00C0-4357-8EE9-4DAC3849DC59}" name="Costo" dataDxfId="3112" totalsRowDxfId="3111" dataCellStyle="Moneda">
      <calculatedColumnFormula>+VLOOKUP(Tabla1103453454455456479108133140169180808788929396[[#This Row],[Ingrediente]],Tabla34[#All],3,0)</calculatedColumnFormula>
    </tableColumn>
    <tableColumn id="6" xr3:uid="{CBFE735A-B04E-4AA3-A3FC-70EDD60BCDE3}" name="Total costo" totalsRowFunction="sum" dataDxfId="3110" totalsRowDxfId="3109" dataCellStyle="Moneda">
      <calculatedColumnFormula>+Tabla1103453454455456479108133140169180808788929396[[#This Row],[Costo]]*Tabla1103453454455456479108133140169180808788929396[[#This Row],[Columna1]]</calculatedColumnFormula>
    </tableColumn>
  </tableColumns>
  <tableStyleInfo name="TableStyleLight8" showFirstColumn="0" showLastColumn="0" showRowStripes="1" showColumnStripes="0"/>
</table>
</file>

<file path=xl/tables/table2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A633BB1-D072-4BE3-90E6-7ABBD268D4B6}" name="Tabla1103453454455456479108133140169180808788929396104" displayName="Tabla1103453454455456479108133140169180808788929396104" ref="B117:H130" totalsRowCount="1" headerRowDxfId="3108" dataDxfId="3106" totalsRowDxfId="3104" headerRowBorderDxfId="3107" tableBorderDxfId="3105" totalsRowBorderDxfId="3103">
  <autoFilter ref="B117:H129" xr:uid="{EA633BB1-D072-4BE3-90E6-7ABBD268D4B6}"/>
  <tableColumns count="7">
    <tableColumn id="2" xr3:uid="{6541DF72-9BC7-4D13-8547-4F342F08D353}" name="Ingrediente" dataDxfId="3102" totalsRowDxfId="3101"/>
    <tableColumn id="3" xr3:uid="{F2973A07-F03A-4721-BADD-45AC4CD2A51E}" name="Und" dataDxfId="3100" totalsRowDxfId="3099"/>
    <tableColumn id="4" xr3:uid="{5B9C673B-7516-4E8E-92B1-71D80704C848}" name="Cant." dataDxfId="3098" totalsRowDxfId="3097"/>
    <tableColumn id="7" xr3:uid="{FB660E6C-2CF8-4648-92EB-3F972D04241E}" name="Columna2" dataDxfId="3096" totalsRowDxfId="3095"/>
    <tableColumn id="1" xr3:uid="{F9F2CAB4-B3E5-4CD5-BD76-F5483AA271E9}" name="Columna1" dataDxfId="3094" totalsRowDxfId="3093"/>
    <tableColumn id="5" xr3:uid="{5B53AB43-919A-4D1C-81D1-26B542B180A8}" name="Costo" dataDxfId="3092" totalsRowDxfId="3091" dataCellStyle="Moneda">
      <calculatedColumnFormula>+VLOOKUP(Tabla1103453454455456479108133140169180808788929396104[[#This Row],[Ingrediente]],Tabla34[#All],3,0)</calculatedColumnFormula>
    </tableColumn>
    <tableColumn id="6" xr3:uid="{0C3BD22F-30D7-483F-BBDD-C1C51256C564}" name="Total costo" totalsRowFunction="sum" dataDxfId="3090" totalsRowDxfId="3089" dataCellStyle="Moneda">
      <calculatedColumnFormula>+Tabla1103453454455456479108133140169180808788929396104[[#This Row],[Costo]]*Tabla1103453454455456479108133140169180808788929396104[[#This Row],[Columna1]]</calculatedColumnFormula>
    </tableColumn>
  </tableColumns>
  <tableStyleInfo name="TableStyleLight8" showFirstColumn="0" showLastColumn="0" showRowStripes="1" showColumnStripes="0"/>
</table>
</file>

<file path=xl/tables/table2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49BD8E48-8754-4ACA-9348-481C59F39D31}" name="Tabla110345345445545647910812913614381" displayName="Tabla110345345445545647910812913614381" ref="B4:H15" totalsRowCount="1" dataDxfId="3087" totalsRowDxfId="3085" headerRowBorderDxfId="3088" tableBorderDxfId="3086" totalsRowBorderDxfId="3084">
  <autoFilter ref="B4:H14" xr:uid="{49BD8E48-8754-4ACA-9348-481C59F39D31}"/>
  <sortState xmlns:xlrd2="http://schemas.microsoft.com/office/spreadsheetml/2017/richdata2" ref="B5:H11">
    <sortCondition ref="B22"/>
  </sortState>
  <tableColumns count="7">
    <tableColumn id="2" xr3:uid="{11C5F585-0814-4514-8673-7FBBB436FCA3}" name="Ingrediente" dataDxfId="3083" totalsRowDxfId="3082"/>
    <tableColumn id="3" xr3:uid="{F13466C4-3C40-4B11-A255-AF63A0CE8CA0}" name="Und" dataDxfId="3081" totalsRowDxfId="3080"/>
    <tableColumn id="4" xr3:uid="{8AB31CB7-CFF7-4A54-A806-A61F12027035}" name="Unidades Netas" dataDxfId="3079" totalsRowDxfId="3078"/>
    <tableColumn id="7" xr3:uid="{68B76E88-2234-4DAA-8653-9053991D20DE}" name="% Merma" dataDxfId="3077" totalsRowDxfId="3076"/>
    <tableColumn id="1" xr3:uid="{BE08584C-7298-488C-8669-078085E7CBCD}" name="Unidades" dataDxfId="3075" totalsRowDxfId="3074"/>
    <tableColumn id="5" xr3:uid="{669F682F-F09C-4062-847C-D3F7A8EABBF8}" name="Costo" dataDxfId="3073" totalsRowDxfId="3072" dataCellStyle="Moneda">
      <calculatedColumnFormula>+VLOOKUP(Tabla110345345445545647910812913614381[[#This Row],[Ingrediente]],Tabla34[#All],3,0)</calculatedColumnFormula>
    </tableColumn>
    <tableColumn id="6" xr3:uid="{EA299C07-23BF-49F4-8C61-778A00BD3B99}" name="Total costo" totalsRowFunction="sum" dataDxfId="3071" totalsRowDxfId="3070" dataCellStyle="Moneda">
      <calculatedColumnFormula>+Tabla110345345445545647910812913614381[[#This Row],[Costo]]*Tabla110345345445545647910812913614381[[#This Row],[Unidades]]</calculatedColumnFormula>
    </tableColumn>
  </tableColumns>
  <tableStyleInfo name="TableStyleLight8" showFirstColumn="0" showLastColumn="0" showRowStripes="1" showColumnStripes="0"/>
</table>
</file>

<file path=xl/tables/table2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C9D7C01E-6902-4CFF-A15E-1ECC83951CB5}" name="Tabla110345345445545647910812913614381147" displayName="Tabla110345345445545647910812913614381147" ref="B19:H30" totalsRowCount="1" dataDxfId="3068" totalsRowDxfId="3066" headerRowBorderDxfId="3069" tableBorderDxfId="3067" totalsRowBorderDxfId="3065">
  <autoFilter ref="B19:H29" xr:uid="{C9D7C01E-6902-4CFF-A15E-1ECC83951CB5}"/>
  <sortState xmlns:xlrd2="http://schemas.microsoft.com/office/spreadsheetml/2017/richdata2" ref="B20:H26">
    <sortCondition ref="B22"/>
  </sortState>
  <tableColumns count="7">
    <tableColumn id="2" xr3:uid="{04E80D6B-DB02-4AEB-BAAE-F913246C80F9}" name="Ingrediente" dataDxfId="3064" totalsRowDxfId="3063"/>
    <tableColumn id="3" xr3:uid="{5CA6AAC7-9FEA-47CB-A5F7-270FAC3CF825}" name="Und" dataDxfId="3062" totalsRowDxfId="3061"/>
    <tableColumn id="4" xr3:uid="{D4ED6465-46B3-4B4F-BA6C-2049F8B18435}" name="Unidades Netas" dataDxfId="3060" totalsRowDxfId="3059"/>
    <tableColumn id="7" xr3:uid="{098DABF6-AF19-49E8-AF35-6371A9F9E6C2}" name="% Merma" dataDxfId="3058" totalsRowDxfId="3057"/>
    <tableColumn id="1" xr3:uid="{D31C79E3-07F3-475B-9D96-390D14DA7B55}" name="Unidades" dataDxfId="3056" totalsRowDxfId="3055"/>
    <tableColumn id="5" xr3:uid="{F05B0B96-850B-407C-BA81-EB40D5856CBB}" name="Costo" dataDxfId="3054" totalsRowDxfId="3053" dataCellStyle="Moneda">
      <calculatedColumnFormula>+VLOOKUP(Tabla110345345445545647910812913614381147[[#This Row],[Ingrediente]],Tabla34[#All],3,0)</calculatedColumnFormula>
    </tableColumn>
    <tableColumn id="6" xr3:uid="{DE4E601D-3BF2-4253-915B-9546E595B553}" name="Total costo" totalsRowFunction="sum" dataDxfId="3052" totalsRowDxfId="3051" dataCellStyle="Moneda">
      <calculatedColumnFormula>+Tabla110345345445545647910812913614381147[[#This Row],[Costo]]*Tabla110345345445545647910812913614381147[[#This Row],[Unidades]]</calculatedColumnFormula>
    </tableColumn>
  </tableColumns>
  <tableStyleInfo name="TableStyleLight8" showFirstColumn="0" showLastColumn="0" showRowStripes="1" showColumnStripes="0"/>
</table>
</file>

<file path=xl/tables/table2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19EF615C-E30A-4322-BC74-94DF738D7ED1}" name="Tabla110345345445545647910812913614381148" displayName="Tabla110345345445545647910812913614381148" ref="B33:H43" totalsRowCount="1" dataDxfId="3049" totalsRowDxfId="3047" headerRowBorderDxfId="3050" tableBorderDxfId="3048" totalsRowBorderDxfId="3046">
  <autoFilter ref="B33:H42" xr:uid="{19EF615C-E30A-4322-BC74-94DF738D7ED1}"/>
  <sortState xmlns:xlrd2="http://schemas.microsoft.com/office/spreadsheetml/2017/richdata2" ref="B34:H40">
    <sortCondition ref="B22"/>
  </sortState>
  <tableColumns count="7">
    <tableColumn id="2" xr3:uid="{06D276CD-F814-4DF6-9D68-AB2D18F618A0}" name="Ingrediente" dataDxfId="3045" totalsRowDxfId="3044"/>
    <tableColumn id="3" xr3:uid="{2C59C5A8-ED92-4072-B7E0-F58C96F334E6}" name="Und" dataDxfId="3043" totalsRowDxfId="3042"/>
    <tableColumn id="4" xr3:uid="{468E088B-26EE-41F0-A3D9-A2A6E93FCCC3}" name="Unidades Netas" dataDxfId="3041" totalsRowDxfId="3040"/>
    <tableColumn id="7" xr3:uid="{34DD2FCF-5D18-487F-A86E-E427C42D076D}" name="% Merma" dataDxfId="3039" totalsRowDxfId="3038"/>
    <tableColumn id="1" xr3:uid="{0875E3BD-0C72-42F2-B59F-8BB57CBBD84F}" name="Unidades" dataDxfId="3037" totalsRowDxfId="3036"/>
    <tableColumn id="5" xr3:uid="{A1026B0C-B300-470C-AE67-C68FAA1DF813}" name="Costo" dataDxfId="3035" totalsRowDxfId="3034" dataCellStyle="Moneda">
      <calculatedColumnFormula>+VLOOKUP(Tabla110345345445545647910812913614381148[[#This Row],[Ingrediente]],Tabla34[#All],3,0)</calculatedColumnFormula>
    </tableColumn>
    <tableColumn id="6" xr3:uid="{38C2280E-497D-47E8-A47E-2EC5B91436F6}" name="Total costo" totalsRowFunction="sum" dataDxfId="3033" totalsRowDxfId="3032" dataCellStyle="Moneda">
      <calculatedColumnFormula>+Tabla110345345445545647910812913614381148[[#This Row],[Costo]]*Tabla110345345445545647910812913614381148[[#This Row],[Unidades]]</calculatedColumnFormula>
    </tableColumn>
  </tableColumns>
  <tableStyleInfo name="TableStyleLight8" showFirstColumn="0" showLastColumn="0" showRowStripes="1" showColumnStripes="0"/>
</table>
</file>

<file path=xl/tables/table2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9BC84C67-19C2-40FF-B06C-383DE0366AEA}" name="Tabla110345345445545647910812913614381159" displayName="Tabla110345345445545647910812913614381159" ref="B46:H55" totalsRowCount="1" dataDxfId="3030" totalsRowDxfId="3028" headerRowBorderDxfId="3031" tableBorderDxfId="3029" totalsRowBorderDxfId="3027">
  <autoFilter ref="B46:H54" xr:uid="{9BC84C67-19C2-40FF-B06C-383DE0366AEA}"/>
  <sortState xmlns:xlrd2="http://schemas.microsoft.com/office/spreadsheetml/2017/richdata2" ref="B47:H53">
    <sortCondition ref="B22"/>
  </sortState>
  <tableColumns count="7">
    <tableColumn id="2" xr3:uid="{79FFEB07-7AEB-4EC8-B532-C39C336128A2}" name="Ingrediente" dataDxfId="3026" totalsRowDxfId="3025"/>
    <tableColumn id="3" xr3:uid="{7C51410D-A05C-4CAB-BD98-2524EABCADEA}" name="Und" dataDxfId="3024" totalsRowDxfId="3023"/>
    <tableColumn id="4" xr3:uid="{54101E70-B32C-494D-87B7-0F9D4E5DEEAF}" name="Unidades Netas" dataDxfId="3022" totalsRowDxfId="3021"/>
    <tableColumn id="7" xr3:uid="{47D21F71-4795-44C2-ACAB-21C29C46A83D}" name="% Merma" dataDxfId="3020" totalsRowDxfId="3019"/>
    <tableColumn id="1" xr3:uid="{C4ABBDD2-72A9-46DA-8687-573BE1493145}" name="Unidades" dataDxfId="3018" totalsRowDxfId="3017"/>
    <tableColumn id="5" xr3:uid="{C1877848-C520-41ED-9B88-B8641B4D936E}" name="Costo" dataDxfId="3016" totalsRowDxfId="3015" dataCellStyle="Moneda">
      <calculatedColumnFormula>+VLOOKUP(Tabla110345345445545647910812913614381159[[#This Row],[Ingrediente]],Tabla34[#All],3,0)</calculatedColumnFormula>
    </tableColumn>
    <tableColumn id="6" xr3:uid="{8575195C-4ACF-4EBB-9898-636C654FE9D1}" name="Total costo" totalsRowFunction="sum" dataDxfId="3014" totalsRowDxfId="3013" dataCellStyle="Moneda">
      <calculatedColumnFormula>+Tabla110345345445545647910812913614381159[[#This Row],[Costo]]*Tabla110345345445545647910812913614381159[[#This Row],[Unidades]]</calculatedColumnFormula>
    </tableColumn>
  </tableColumns>
  <tableStyleInfo name="TableStyleLight8" showFirstColumn="0" showLastColumn="0" showRowStripes="1" showColumnStripes="0"/>
</table>
</file>

<file path=xl/tables/table2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7C043D7-69F2-4BA4-B521-34AEEB7341D7}" name="Tabla110345345445545647910812913614381160" displayName="Tabla110345345445545647910812913614381160" ref="B60:H71" totalsRowCount="1" dataDxfId="3011" totalsRowDxfId="3009" headerRowBorderDxfId="3012" tableBorderDxfId="3010" totalsRowBorderDxfId="3008">
  <autoFilter ref="B60:H70" xr:uid="{17C043D7-69F2-4BA4-B521-34AEEB7341D7}"/>
  <sortState xmlns:xlrd2="http://schemas.microsoft.com/office/spreadsheetml/2017/richdata2" ref="B61:H67">
    <sortCondition ref="B22"/>
  </sortState>
  <tableColumns count="7">
    <tableColumn id="2" xr3:uid="{50AD2C32-5545-482F-8557-C0BC90430CE3}" name="Ingrediente" dataDxfId="3007" totalsRowDxfId="3006"/>
    <tableColumn id="3" xr3:uid="{523902EA-3BA3-458F-A470-51FE1BA75122}" name="Und" dataDxfId="3005" totalsRowDxfId="3004"/>
    <tableColumn id="4" xr3:uid="{24F36121-A441-4BAF-8893-839B2842A7B2}" name="Unidades Netas" dataDxfId="3003" totalsRowDxfId="3002"/>
    <tableColumn id="7" xr3:uid="{01F0ED13-1C4D-4276-ADDC-AEE8114AC9EE}" name="% Merma" dataDxfId="3001" totalsRowDxfId="3000"/>
    <tableColumn id="1" xr3:uid="{A3085B7F-36B0-4503-A087-E857C713C0E6}" name="Unidades" dataDxfId="2999" totalsRowDxfId="2998"/>
    <tableColumn id="5" xr3:uid="{98912AF3-A7FC-40D4-BF60-6E89598AB0FD}" name="Costo" dataDxfId="2997" totalsRowDxfId="2996" dataCellStyle="Moneda">
      <calculatedColumnFormula>+VLOOKUP(Tabla110345345445545647910812913614381160[[#This Row],[Ingrediente]],Tabla34[#All],3,0)</calculatedColumnFormula>
    </tableColumn>
    <tableColumn id="6" xr3:uid="{25F8EB27-8FDF-44C6-BB47-9B220C742B8F}" name="Total costo" totalsRowFunction="sum" dataDxfId="2995" totalsRowDxfId="2994" dataCellStyle="Moneda">
      <calculatedColumnFormula>+Tabla110345345445545647910812913614381160[[#This Row],[Costo]]*Tabla110345345445545647910812913614381160[[#This Row],[Unidades]]</calculatedColumnFormula>
    </tableColumn>
  </tableColumns>
  <tableStyleInfo name="TableStyleLight8" showFirstColumn="0" showLastColumn="0" showRowStripes="1" showColumnStripes="0"/>
</table>
</file>

<file path=xl/tables/table2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9CE878D7-02F6-48A9-A2BA-41262956901E}" name="Tabla110345345445545647910812913614381180" displayName="Tabla110345345445545647910812913614381180" ref="B74:H83" totalsRowCount="1" dataDxfId="2992" totalsRowDxfId="2990" headerRowBorderDxfId="2993" tableBorderDxfId="2991" totalsRowBorderDxfId="2989">
  <autoFilter ref="B74:H82" xr:uid="{9CE878D7-02F6-48A9-A2BA-41262956901E}"/>
  <sortState xmlns:xlrd2="http://schemas.microsoft.com/office/spreadsheetml/2017/richdata2" ref="B75:H81">
    <sortCondition ref="B22"/>
  </sortState>
  <tableColumns count="7">
    <tableColumn id="2" xr3:uid="{C9843639-5F95-4B2E-8501-13D9CC2827DC}" name="Ingrediente" dataDxfId="2988" totalsRowDxfId="2987"/>
    <tableColumn id="3" xr3:uid="{326CE9C5-9C7D-429C-A22B-8DEC1E9FA75C}" name="Und" dataDxfId="2986" totalsRowDxfId="2985"/>
    <tableColumn id="4" xr3:uid="{A23277CD-6961-47DD-AFC2-76282209FFDF}" name="Unidades Netas" dataDxfId="2984" totalsRowDxfId="2983"/>
    <tableColumn id="7" xr3:uid="{0C0ADE72-F37A-4754-9716-6406E8C54738}" name="% Merma" dataDxfId="2982" totalsRowDxfId="2981"/>
    <tableColumn id="1" xr3:uid="{661DC289-93E1-4A45-AE39-5E992AD74938}" name="Unidades" dataDxfId="2980" totalsRowDxfId="2979"/>
    <tableColumn id="5" xr3:uid="{F0CE97B4-CAF6-4FEF-B81F-95B7D8E985BB}" name="Costo" dataDxfId="2978" totalsRowDxfId="2977" dataCellStyle="Moneda">
      <calculatedColumnFormula>+VLOOKUP(Tabla110345345445545647910812913614381180[[#This Row],[Ingrediente]],Tabla34[#All],3,0)</calculatedColumnFormula>
    </tableColumn>
    <tableColumn id="6" xr3:uid="{52BD4CA1-4A3D-48F3-8DBC-7BF63E565E87}" name="Total costo" totalsRowFunction="sum" dataDxfId="2976" totalsRowDxfId="2975" dataCellStyle="Moneda">
      <calculatedColumnFormula>+Tabla110345345445545647910812913614381180[[#This Row],[Costo]]*Tabla110345345445545647910812913614381180[[#This Row],[Unidades]]</calculatedColumnFormula>
    </tableColumn>
  </tableColumns>
  <tableStyleInfo name="TableStyleLight8" showFirstColumn="0" showLastColumn="0" showRowStripes="1" showColumnStripes="0"/>
</table>
</file>

<file path=xl/tables/table2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8" xr:uid="{C7A1566A-D034-42FD-8D75-A7DA96E2A617}" name="Tabla1103453454455456479108135149219" displayName="Tabla1103453454455456479108135149219" ref="A7:G9" totalsRowCount="1" headerRowDxfId="2974" dataDxfId="2972" totalsRowDxfId="2970" headerRowBorderDxfId="2973" tableBorderDxfId="2971" totalsRowBorderDxfId="2969">
  <autoFilter ref="A7:G8" xr:uid="{7F9F2455-2EB3-4E21-B84D-033D937FF124}"/>
  <sortState xmlns:xlrd2="http://schemas.microsoft.com/office/spreadsheetml/2017/richdata2" ref="A8:G8">
    <sortCondition descending="1" ref="G8"/>
  </sortState>
  <tableColumns count="7">
    <tableColumn id="2" xr3:uid="{099D6C0F-CE5B-49C9-A2A2-ABBC925E45CE}" name="Ingrediente" dataDxfId="2968" totalsRowDxfId="2967"/>
    <tableColumn id="3" xr3:uid="{23DD3A79-77B5-4E58-8847-DAA8B99B3B0C}" name="Und" dataDxfId="2966" totalsRowDxfId="2965"/>
    <tableColumn id="4" xr3:uid="{E83D52F9-1427-483B-A8EA-F6E89091BB1C}" name="Cant." dataDxfId="2964" totalsRowDxfId="2963"/>
    <tableColumn id="1" xr3:uid="{6538CB49-5FBF-418A-BA51-B9E9C1A1F9FF}" name="Columna1" dataDxfId="2962" totalsRowDxfId="2961"/>
    <tableColumn id="7" xr3:uid="{86F76C59-D911-45AD-B1B7-C2BAF553E018}" name="Columna2" dataDxfId="2960" totalsRowDxfId="2959"/>
    <tableColumn id="5" xr3:uid="{F8219C80-465A-4D14-9946-9C6136A93658}" name="Costo" dataDxfId="2958" totalsRowDxfId="2957" dataCellStyle="Moneda">
      <calculatedColumnFormula>+VLOOKUP(Tabla1103453454455456479108135149219[[#This Row],[Ingrediente]],Tabla34[#All],3,0)</calculatedColumnFormula>
    </tableColumn>
    <tableColumn id="6" xr3:uid="{4C8FFEDA-D892-4852-A28D-74E9A395D001}" name="Total costo" totalsRowFunction="sum" dataDxfId="2956" totalsRowDxfId="2955" dataCellStyle="Moneda">
      <calculatedColumnFormula>+Tabla1103453454455456479108135149219[[#This Row],[Costo]]*Tabla1103453454455456479108135149219[[#This Row],[Cant.]]</calculatedColumnFormula>
    </tableColumn>
  </tableColumns>
  <tableStyleInfo name="TableStyleLight8" showFirstColumn="0" showLastColumn="0" showRowStripes="1" showColumnStripes="0"/>
</table>
</file>

<file path=xl/tables/table2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9" xr:uid="{9FA25BF1-C255-4562-B82B-F7A85CBFD0C0}" name="Tabla1103453454455456479108135149219220" displayName="Tabla1103453454455456479108135149219220" ref="A19:G22" totalsRowCount="1" headerRowDxfId="2954" dataDxfId="2952" totalsRowDxfId="2950" headerRowBorderDxfId="2953" tableBorderDxfId="2951" totalsRowBorderDxfId="2949">
  <autoFilter ref="A19:G21" xr:uid="{A5BAC357-3D02-4245-801D-94E708AC9BE1}"/>
  <sortState xmlns:xlrd2="http://schemas.microsoft.com/office/spreadsheetml/2017/richdata2" ref="A20:G20">
    <sortCondition descending="1" ref="G8"/>
  </sortState>
  <tableColumns count="7">
    <tableColumn id="2" xr3:uid="{92F012E4-4290-417D-9609-532429417CB9}" name="Ingrediente" dataDxfId="2948" totalsRowDxfId="2947"/>
    <tableColumn id="3" xr3:uid="{8EA307F7-C366-475A-961B-40DA4611EEFF}" name="Und" dataDxfId="2946" totalsRowDxfId="2945"/>
    <tableColumn id="4" xr3:uid="{2F99E4C0-5E2F-49D7-8A12-490CFD6BE62D}" name="Cant." dataDxfId="2944" totalsRowDxfId="2943"/>
    <tableColumn id="1" xr3:uid="{902ACB9A-4FF8-4391-8D9C-FE47B390A3D5}" name="Columna1" dataDxfId="2942" totalsRowDxfId="2941"/>
    <tableColumn id="7" xr3:uid="{5696163B-BD8F-4D54-8954-5F2B83EB7D7A}" name="Columna2" dataDxfId="2940" totalsRowDxfId="2939"/>
    <tableColumn id="5" xr3:uid="{E431F30A-0280-4263-83C9-57F9D5E3CA18}" name="Costo" dataDxfId="2938" totalsRowDxfId="2937" dataCellStyle="Moneda">
      <calculatedColumnFormula>+VLOOKUP(Tabla1103453454455456479108135149219220[[#This Row],[Ingrediente]],Tabla34[#All],3,0)</calculatedColumnFormula>
    </tableColumn>
    <tableColumn id="6" xr3:uid="{24D6721F-35C0-4C16-8649-9EC4AA9B7808}" name="Total costo" totalsRowFunction="sum" dataDxfId="2936" totalsRowDxfId="2935" dataCellStyle="Moneda">
      <calculatedColumnFormula>+Tabla1103453454455456479108135149219220[[#This Row],[Costo]]*Tabla1103453454455456479108135149219220[[#This Row],[Cant.]]</calculatedColumnFormula>
    </tableColumn>
  </tableColumns>
  <tableStyleInfo name="TableStyleLight8" showFirstColumn="0" showLastColumn="0" showRowStripes="1" showColumnStripes="0"/>
</table>
</file>

<file path=xl/tables/table2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0" xr:uid="{61D23CA3-0704-4928-83C4-273DD1EF7126}" name="Tabla1103453454455456479108135149219221" displayName="Tabla1103453454455456479108135149219221" ref="A31:G33" totalsRowCount="1" headerRowDxfId="2934" dataDxfId="2932" totalsRowDxfId="2930" headerRowBorderDxfId="2933" tableBorderDxfId="2931" totalsRowBorderDxfId="2929">
  <autoFilter ref="A31:G32" xr:uid="{B09F9C7A-5995-4658-BDCE-B4382AFF19F3}"/>
  <sortState xmlns:xlrd2="http://schemas.microsoft.com/office/spreadsheetml/2017/richdata2" ref="A32:G32">
    <sortCondition descending="1" ref="G8"/>
  </sortState>
  <tableColumns count="7">
    <tableColumn id="2" xr3:uid="{C16EF54B-A337-48DB-BFA7-E1F1385B1ACF}" name="Ingrediente" dataDxfId="2928" totalsRowDxfId="2927"/>
    <tableColumn id="3" xr3:uid="{E0BD8D55-4C81-4B7C-8C85-AF89FC380134}" name="Und" dataDxfId="2926" totalsRowDxfId="2925"/>
    <tableColumn id="4" xr3:uid="{A908EAA7-A1C9-42AB-9D0F-8642E65BBCA8}" name="Cant." dataDxfId="2924" totalsRowDxfId="2923"/>
    <tableColumn id="1" xr3:uid="{235BB38C-378B-4B6D-8A75-1DB323CF0A59}" name="Columna1" dataDxfId="2922" totalsRowDxfId="2921"/>
    <tableColumn id="7" xr3:uid="{1D53EE79-63C0-4F3E-BC4C-1C7D8AFCE2CE}" name="Columna2" dataDxfId="2920" totalsRowDxfId="2919"/>
    <tableColumn id="5" xr3:uid="{DD038430-1806-45F5-8DD9-9F0A43B7903B}" name="Costo" dataDxfId="2918" totalsRowDxfId="2917" dataCellStyle="Moneda">
      <calculatedColumnFormula>+VLOOKUP(Tabla1103453454455456479108135149219221[[#This Row],[Ingrediente]],Tabla34[#All],3,0)</calculatedColumnFormula>
    </tableColumn>
    <tableColumn id="6" xr3:uid="{A90CE898-1403-4EB8-A113-E08F6B05602A}" name="Total costo" totalsRowFunction="sum" dataDxfId="2916" totalsRowDxfId="2915" dataCellStyle="Moneda">
      <calculatedColumnFormula>+Tabla1103453454455456479108135149219221[[#This Row],[Costo]]*Tabla1103453454455456479108135149219221[[#This Row],[Columna2]]</calculatedColumnFormula>
    </tableColumn>
  </tableColumns>
  <tableStyleInfo name="TableStyleLight8" showFirstColumn="0" showLastColumn="0" showRowStripes="1" showColumnStripes="0"/>
</table>
</file>

<file path=xl/tables/table2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1" xr:uid="{8D11A8E7-5E03-4CC8-91FE-EC4308D6FE34}" name="Tabla1103453454455456479108135149219222" displayName="Tabla1103453454455456479108135149219222" ref="A42:G44" totalsRowCount="1" headerRowDxfId="2914" dataDxfId="2912" totalsRowDxfId="2910" headerRowBorderDxfId="2913" tableBorderDxfId="2911" totalsRowBorderDxfId="2909">
  <autoFilter ref="A42:G43" xr:uid="{57CB5DBD-613F-4A3C-A6B7-561271E8B19A}"/>
  <sortState xmlns:xlrd2="http://schemas.microsoft.com/office/spreadsheetml/2017/richdata2" ref="A43:G43">
    <sortCondition descending="1" ref="G8"/>
  </sortState>
  <tableColumns count="7">
    <tableColumn id="2" xr3:uid="{A6ADB3B1-4A63-452C-A072-8024B5C1BC2D}" name="Ingrediente" dataDxfId="2908" totalsRowDxfId="2907"/>
    <tableColumn id="3" xr3:uid="{233929D2-E966-4409-BFE8-6210B9026A9B}" name="Und" dataDxfId="2906" totalsRowDxfId="2905"/>
    <tableColumn id="4" xr3:uid="{0C8017EC-B0FB-40F7-AC4B-DDF1807A1969}" name="Cant." dataDxfId="2904" totalsRowDxfId="2903"/>
    <tableColumn id="1" xr3:uid="{652B0866-4A35-4421-8DE8-BFECA3017B96}" name="Columna1" dataDxfId="2902" totalsRowDxfId="2901"/>
    <tableColumn id="7" xr3:uid="{DA86B8C2-8791-4A4B-80E9-497F2A585D0F}" name="Columna2" dataDxfId="2900" totalsRowDxfId="2899"/>
    <tableColumn id="5" xr3:uid="{633AAFF1-7820-43FA-BDAF-09933C844373}" name="Costo" dataDxfId="2898" totalsRowDxfId="2897" dataCellStyle="Moneda">
      <calculatedColumnFormula>+VLOOKUP(Tabla1103453454455456479108135149219222[[#This Row],[Ingrediente]],Tabla34[#All],3,0)</calculatedColumnFormula>
    </tableColumn>
    <tableColumn id="6" xr3:uid="{1F14BA70-F7A6-4757-B9F0-0D3F9D08B8F1}" name="Total costo" totalsRowFunction="sum" dataDxfId="2896" totalsRowDxfId="2895" dataCellStyle="Moneda">
      <calculatedColumnFormula>+Tabla1103453454455456479108135149219222[[#This Row],[Costo]]*Tabla1103453454455456479108135149219222[[#This Row],[Columna2]]</calculatedColumnFormula>
    </tableColumn>
  </tableColumns>
  <tableStyleInfo name="TableStyleLight8" showFirstColumn="0" showLastColumn="0" showRowStripes="1" showColumnStripes="0"/>
</table>
</file>

<file path=xl/tables/table2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2" xr:uid="{E3F7C17B-B893-4E5C-B77E-DFFB65C4945A}" name="Tabla1103453454455456479108135149219223" displayName="Tabla1103453454455456479108135149219223" ref="A55:G63" totalsRowCount="1" headerRowDxfId="2894" dataDxfId="2892" totalsRowDxfId="2890" headerRowBorderDxfId="2893" tableBorderDxfId="2891" totalsRowBorderDxfId="2889">
  <autoFilter ref="A55:G62" xr:uid="{2ED15467-65A3-4185-941B-CCF027D25516}"/>
  <sortState xmlns:xlrd2="http://schemas.microsoft.com/office/spreadsheetml/2017/richdata2" ref="A56:G56">
    <sortCondition descending="1" ref="G8"/>
  </sortState>
  <tableColumns count="7">
    <tableColumn id="2" xr3:uid="{4AF29587-4B7C-4C96-A9D9-1253BF352853}" name="Ingrediente" dataDxfId="2888" totalsRowDxfId="2887"/>
    <tableColumn id="3" xr3:uid="{77053BDD-6DF6-419B-B795-A4BD93867812}" name="Und" dataDxfId="2886" totalsRowDxfId="2885"/>
    <tableColumn id="4" xr3:uid="{B2AC5C14-83CF-4254-833B-D133D6875E50}" name="Cant." dataDxfId="2884" totalsRowDxfId="2883"/>
    <tableColumn id="1" xr3:uid="{AA2899BA-8BB6-43B5-8258-37DA92CD9F9D}" name="Columna1" dataDxfId="2882" totalsRowDxfId="2881"/>
    <tableColumn id="7" xr3:uid="{74823E05-6725-434D-B82C-5E082BF4796A}" name="Columna2" dataDxfId="2880" totalsRowDxfId="2879"/>
    <tableColumn id="5" xr3:uid="{2164DA9D-EAF1-4D9F-B00F-B6039EB7F7BA}" name="Costo" dataDxfId="2878" totalsRowDxfId="2877" dataCellStyle="Moneda">
      <calculatedColumnFormula>+VLOOKUP(Tabla1103453454455456479108135149219223[[#This Row],[Ingrediente]],Tabla34[#All],3,0)</calculatedColumnFormula>
    </tableColumn>
    <tableColumn id="6" xr3:uid="{6464AB5B-66B2-4ADB-9951-9351F0266F20}" name="Total costo" totalsRowFunction="sum" dataDxfId="2876" totalsRowDxfId="2875" dataCellStyle="Moneda">
      <calculatedColumnFormula>+Tabla1103453454455456479108135149219223[[#This Row],[Costo]]*Tabla1103453454455456479108135149219223[[#This Row],[Columna2]]</calculatedColumnFormula>
    </tableColumn>
  </tableColumns>
  <tableStyleInfo name="TableStyleLight8" showFirstColumn="0" showLastColumn="0" showRowStripes="1" showColumnStripes="0"/>
</table>
</file>

<file path=xl/tables/table2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3" xr:uid="{D83D35F1-24D5-446C-860F-21D72A41A4F0}" name="Tabla1103453454455456479108135149219224" displayName="Tabla1103453454455456479108135149219224" ref="A67:G69" totalsRowCount="1" headerRowDxfId="2874" dataDxfId="2872" totalsRowDxfId="2870" headerRowBorderDxfId="2873" tableBorderDxfId="2871" totalsRowBorderDxfId="2869">
  <autoFilter ref="A67:G68" xr:uid="{99EB621C-CDC7-4AE3-8CA4-A5AE237319CB}"/>
  <sortState xmlns:xlrd2="http://schemas.microsoft.com/office/spreadsheetml/2017/richdata2" ref="A68:G68">
    <sortCondition descending="1" ref="G8"/>
  </sortState>
  <tableColumns count="7">
    <tableColumn id="2" xr3:uid="{A143D8A4-3879-422D-A090-E4243DA97480}" name="Ingrediente" dataDxfId="2868" totalsRowDxfId="2867"/>
    <tableColumn id="3" xr3:uid="{3DECACB2-FC7C-4C62-8E33-FC5C649850F1}" name="Und" dataDxfId="2866" totalsRowDxfId="2865"/>
    <tableColumn id="4" xr3:uid="{B4879F40-3344-4EAD-B2D3-EBC9A7327703}" name="Cant." dataDxfId="2864" totalsRowDxfId="2863"/>
    <tableColumn id="1" xr3:uid="{D85643C6-85D5-4B26-914D-6748559BC6D9}" name="Columna1" dataDxfId="2862" totalsRowDxfId="2861"/>
    <tableColumn id="7" xr3:uid="{AAF6C40C-5FD9-4CC3-99D3-74B5C8FA57DC}" name="Columna2" dataDxfId="2860" totalsRowDxfId="2859"/>
    <tableColumn id="5" xr3:uid="{A9778827-48D2-46B0-B521-482CDC5B6F7D}" name="Costo" dataDxfId="2858" totalsRowDxfId="2857" dataCellStyle="Moneda">
      <calculatedColumnFormula>+VLOOKUP(Tabla1103453454455456479108135149219224[[#This Row],[Ingrediente]],Tabla34[#All],3,0)</calculatedColumnFormula>
    </tableColumn>
    <tableColumn id="6" xr3:uid="{0C5F7278-C3C3-4243-9B84-427C2701E436}" name="Total costo" totalsRowFunction="sum" dataDxfId="2856" totalsRowDxfId="2855" dataCellStyle="Moneda">
      <calculatedColumnFormula>+Tabla1103453454455456479108135149219224[[#This Row],[Costo]]*Tabla1103453454455456479108135149219224[[#This Row],[Cant.]]</calculatedColumnFormula>
    </tableColumn>
  </tableColumns>
  <tableStyleInfo name="TableStyleLight8" showFirstColumn="0" showLastColumn="0" showRowStripes="1" showColumnStripes="0"/>
</table>
</file>

<file path=xl/tables/table2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9" xr:uid="{961FF4CB-CEC0-4AA8-BBE1-E3C20364CA53}" name="Tabla1103453454455456479108135149219226227229230" displayName="Tabla1103453454455456479108135149219226227229230" ref="A81:G83" totalsRowCount="1" headerRowDxfId="2854" dataDxfId="2852" totalsRowDxfId="2850" headerRowBorderDxfId="2853" tableBorderDxfId="2851" totalsRowBorderDxfId="2849">
  <autoFilter ref="A81:G82" xr:uid="{ABB5FE8A-261F-4893-86A1-71AF125ED1C3}"/>
  <sortState xmlns:xlrd2="http://schemas.microsoft.com/office/spreadsheetml/2017/richdata2" ref="A82:G82">
    <sortCondition descending="1" ref="G8"/>
  </sortState>
  <tableColumns count="7">
    <tableColumn id="2" xr3:uid="{8CFE0398-A053-45C1-AE25-C92B41213AD9}" name="Ingrediente" dataDxfId="2848" totalsRowDxfId="2847"/>
    <tableColumn id="3" xr3:uid="{4307AC2C-8947-4832-838D-39933113344D}" name="Und" dataDxfId="2846" totalsRowDxfId="2845"/>
    <tableColumn id="4" xr3:uid="{F1C3B5A0-7382-4F0D-9DF6-81E2036946BC}" name="Cant." dataDxfId="2844" totalsRowDxfId="2843"/>
    <tableColumn id="1" xr3:uid="{2EBEBA9D-1986-4C6F-A113-E1DBAE37B10C}" name="Columna1" dataDxfId="2842" totalsRowDxfId="2841"/>
    <tableColumn id="7" xr3:uid="{06EB860E-784E-4F06-BFDB-4D8AC0DE7F2C}" name="Columna2" dataDxfId="2840" totalsRowDxfId="2839"/>
    <tableColumn id="5" xr3:uid="{163404AD-2806-46CF-9D5B-23EC2114E441}" name="Costo" dataDxfId="2838" totalsRowDxfId="2837" dataCellStyle="Moneda">
      <calculatedColumnFormula>+VLOOKUP(Tabla1103453454455456479108135149219226227229230[[#This Row],[Ingrediente]],Tabla34[#All],3,0)</calculatedColumnFormula>
    </tableColumn>
    <tableColumn id="6" xr3:uid="{A30F346E-C27E-41FB-B231-FB38CB234537}" name="Total costo" totalsRowFunction="sum" dataDxfId="2836" totalsRowDxfId="2835" dataCellStyle="Moneda">
      <calculatedColumnFormula>+Tabla1103453454455456479108135149219226227229230[[#This Row],[Costo]]*Tabla1103453454455456479108135149219226227229230[[#This Row],[Columna2]]</calculatedColumnFormula>
    </tableColumn>
  </tableColumns>
  <tableStyleInfo name="TableStyleLight8" showFirstColumn="0" showLastColumn="0" showRowStripes="1" showColumnStripes="0"/>
</table>
</file>

<file path=xl/tables/table2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1A22574B-3769-4586-9F21-03E005E8FB5C}" name="Tabla110345345445545647910813514921922622722923023385" displayName="Tabla110345345445545647910813514921922622722923023385" ref="A93:G95" totalsRowCount="1" headerRowDxfId="2834" dataDxfId="2832" totalsRowDxfId="2830" headerRowBorderDxfId="2833" tableBorderDxfId="2831" totalsRowBorderDxfId="2829">
  <autoFilter ref="A93:G94" xr:uid="{69CD1D75-24B2-4C63-AF81-34A83A05E983}"/>
  <sortState xmlns:xlrd2="http://schemas.microsoft.com/office/spreadsheetml/2017/richdata2" ref="A94:G94">
    <sortCondition descending="1" ref="G8"/>
  </sortState>
  <tableColumns count="7">
    <tableColumn id="2" xr3:uid="{11D4D5E0-30CA-447F-BA7B-0DFCBEDCAE3F}" name="Ingrediente" dataDxfId="2828" totalsRowDxfId="2827"/>
    <tableColumn id="3" xr3:uid="{1E10AA04-203A-4485-98F6-7CDB38242C3D}" name="Und" dataDxfId="2826" totalsRowDxfId="2825"/>
    <tableColumn id="4" xr3:uid="{75ED808B-B98C-4823-B05B-DD304B21A9F6}" name="Cant." dataDxfId="2824" totalsRowDxfId="2823"/>
    <tableColumn id="1" xr3:uid="{DB926039-E26C-4C0E-A4B5-CE3085A1E919}" name="Columna1" dataDxfId="2822" totalsRowDxfId="2821"/>
    <tableColumn id="7" xr3:uid="{F23A55ED-93AE-48C8-8617-8A2EAB1509E8}" name="Columna2" dataDxfId="2820" totalsRowDxfId="2819"/>
    <tableColumn id="5" xr3:uid="{F5CFEA11-8A73-4FE2-938E-87DA583F0476}" name="Costo" dataDxfId="2818" totalsRowDxfId="2817" dataCellStyle="Moneda">
      <calculatedColumnFormula>+VLOOKUP(Tabla110345345445545647910813514921922622722923023385[[#This Row],[Ingrediente]],Tabla34[#All],3,0)</calculatedColumnFormula>
    </tableColumn>
    <tableColumn id="6" xr3:uid="{CDF94FE3-FE2F-4EBE-B452-6480485E24DB}" name="Total costo" totalsRowFunction="sum" dataDxfId="2816" totalsRowDxfId="2815" dataCellStyle="Moneda">
      <calculatedColumnFormula>+Tabla110345345445545647910813514921922622722923023385[[#This Row],[Costo]]*Tabla110345345445545647910813514921922622722923023385[[#This Row],[Cant.]]</calculatedColumnFormula>
    </tableColumn>
  </tableColumns>
  <tableStyleInfo name="TableStyleLight8" showFirstColumn="0" showLastColumn="0" showRowStripes="1" showColumnStripes="0"/>
</table>
</file>

<file path=xl/tables/table2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92278F2E-9DD1-4FBA-9777-ADFF0939DCBA}" name="Tabla1103453454455456479108135149219226227229230233859598" displayName="Tabla1103453454455456479108135149219226227229230233859598" ref="A109:G111" totalsRowCount="1" headerRowDxfId="2814" dataDxfId="2812" totalsRowDxfId="2810" headerRowBorderDxfId="2813" tableBorderDxfId="2811" totalsRowBorderDxfId="2809">
  <autoFilter ref="A109:G110" xr:uid="{3880FD90-C40C-4052-BDA4-08E34578A849}"/>
  <sortState xmlns:xlrd2="http://schemas.microsoft.com/office/spreadsheetml/2017/richdata2" ref="A110:G110">
    <sortCondition descending="1" ref="G8"/>
  </sortState>
  <tableColumns count="7">
    <tableColumn id="2" xr3:uid="{267F5933-ABC5-41FA-9CCB-CBE090E5F30C}" name="Ingrediente" dataDxfId="2808" totalsRowDxfId="2807"/>
    <tableColumn id="3" xr3:uid="{72CD9787-C090-4E56-BE78-B84AB49D96BE}" name="Und" dataDxfId="2806" totalsRowDxfId="2805"/>
    <tableColumn id="4" xr3:uid="{C58A82D8-5743-4F3E-9A79-813EC12C6D49}" name="Cant." dataDxfId="2804" totalsRowDxfId="2803"/>
    <tableColumn id="1" xr3:uid="{A923A026-321D-4122-9116-BB98AA6C1C47}" name="Columna1" dataDxfId="2802" totalsRowDxfId="2801"/>
    <tableColumn id="7" xr3:uid="{212F1B29-7FA3-4046-AED5-2B5C696AB49C}" name="Columna2" dataDxfId="2800" totalsRowDxfId="2799"/>
    <tableColumn id="5" xr3:uid="{0AC121D6-4CD3-4F03-92B6-A62EDF788FA5}" name="Costo" dataDxfId="2798" totalsRowDxfId="2797" dataCellStyle="Moneda">
      <calculatedColumnFormula>+VLOOKUP(Tabla1103453454455456479108135149219226227229230233859598[[#This Row],[Ingrediente]],Tabla34[#All],3,0)</calculatedColumnFormula>
    </tableColumn>
    <tableColumn id="6" xr3:uid="{EAEF6A21-D2F4-4E8A-9D2E-CCC42DED329F}" name="Total costo" totalsRowFunction="sum" dataDxfId="2796" totalsRowDxfId="2795" dataCellStyle="Moneda">
      <calculatedColumnFormula>+Tabla1103453454455456479108135149219226227229230233859598[[#This Row],[Costo]]*Tabla1103453454455456479108135149219226227229230233859598[[#This Row],[Cant.]]</calculatedColumnFormula>
    </tableColumn>
  </tableColumns>
  <tableStyleInfo name="TableStyleLight8" showFirstColumn="0" showLastColumn="0" showRowStripes="1" showColumnStripes="0"/>
</table>
</file>

<file path=xl/tables/table2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F691B56D-BE67-4AD9-B140-C605E30A728C}" name="Tabla1103453454455456479108135149219226227229230233859599" displayName="Tabla1103453454455456479108135149219226227229230233859599" ref="A121:G127" totalsRowCount="1" headerRowDxfId="2794" dataDxfId="2792" totalsRowDxfId="2790" headerRowBorderDxfId="2793" tableBorderDxfId="2791" totalsRowBorderDxfId="2789">
  <autoFilter ref="A121:G126" xr:uid="{D504DC20-ED14-4F16-A35A-DF76EC1F064B}"/>
  <sortState xmlns:xlrd2="http://schemas.microsoft.com/office/spreadsheetml/2017/richdata2" ref="A122:G122">
    <sortCondition descending="1" ref="G8"/>
  </sortState>
  <tableColumns count="7">
    <tableColumn id="2" xr3:uid="{F20253AA-71A4-439D-A10D-9EA7189898FF}" name="Ingrediente" dataDxfId="2788" totalsRowDxfId="2787"/>
    <tableColumn id="3" xr3:uid="{F6D2C9E7-419B-4864-AC19-7FE5ACE94C10}" name="Und" dataDxfId="2786" totalsRowDxfId="2785"/>
    <tableColumn id="4" xr3:uid="{7DBF691E-124B-439A-B46D-260DA78D7680}" name="Cant." dataDxfId="2784" totalsRowDxfId="2783"/>
    <tableColumn id="1" xr3:uid="{F6872919-E720-4CBE-BEE3-235A463C32B7}" name="Columna1" dataDxfId="2782" totalsRowDxfId="2781"/>
    <tableColumn id="7" xr3:uid="{9BABC5F3-9B9A-40F9-8996-91DABD7320DB}" name="Columna2" dataDxfId="2780" totalsRowDxfId="2779"/>
    <tableColumn id="5" xr3:uid="{C1A2F8F8-991E-4D6B-AA06-515E4A305E5E}" name="Costo" dataDxfId="2778" totalsRowDxfId="2777" dataCellStyle="Moneda">
      <calculatedColumnFormula>+VLOOKUP(Tabla1103453454455456479108135149219226227229230233859599[[#This Row],[Ingrediente]],Tabla34[#All],3,0)</calculatedColumnFormula>
    </tableColumn>
    <tableColumn id="6" xr3:uid="{81859BC9-4B2F-4AA4-A213-91E015103470}" name="Total costo" totalsRowFunction="sum" dataDxfId="2776" totalsRowDxfId="2775" dataCellStyle="Moneda">
      <calculatedColumnFormula>+Tabla1103453454455456479108135149219226227229230233859599[[#This Row],[Costo]]*Tabla1103453454455456479108135149219226227229230233859599[[#This Row],[Columna2]]</calculatedColumnFormula>
    </tableColumn>
  </tableColumns>
  <tableStyleInfo name="TableStyleLight8" showFirstColumn="0" showLastColumn="0" showRowStripes="1" showColumnStripes="0"/>
</table>
</file>

<file path=xl/tables/table2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3D9CD215-DDAF-4CBE-9E8B-6115037059B7}" name="Tabla11034534544554564791081351492192262272292302338595100" displayName="Tabla11034534544554564791081351492192262272292302338595100" ref="A136:G138" totalsRowCount="1" headerRowDxfId="2774" dataDxfId="2772" totalsRowDxfId="2770" headerRowBorderDxfId="2773" tableBorderDxfId="2771" totalsRowBorderDxfId="2769">
  <autoFilter ref="A136:G137" xr:uid="{814BE319-B24E-46E5-8988-8F55E2B0EA1B}"/>
  <sortState xmlns:xlrd2="http://schemas.microsoft.com/office/spreadsheetml/2017/richdata2" ref="A137:G137">
    <sortCondition descending="1" ref="G8"/>
  </sortState>
  <tableColumns count="7">
    <tableColumn id="2" xr3:uid="{C23B1C15-1EB2-4D0E-B1D3-ABBCF381871C}" name="Ingrediente" dataDxfId="2768" totalsRowDxfId="2767"/>
    <tableColumn id="3" xr3:uid="{CA5166ED-39FB-455D-90B2-DBC4DB71EC9B}" name="Und" dataDxfId="2766" totalsRowDxfId="2765"/>
    <tableColumn id="4" xr3:uid="{871A61C1-B719-4E71-961F-CE1C20FC45D8}" name="Cant." dataDxfId="2764" totalsRowDxfId="2763"/>
    <tableColumn id="1" xr3:uid="{B6E86173-F8FF-472A-B81D-2D09F9635B97}" name="Columna1" dataDxfId="2762" totalsRowDxfId="2761"/>
    <tableColumn id="7" xr3:uid="{7D693460-8E83-4ACD-9121-606C4494AA32}" name="Columna2" dataDxfId="2760" totalsRowDxfId="2759"/>
    <tableColumn id="5" xr3:uid="{3D5105B9-92D1-490A-A54D-B97F3D8AC48F}" name="Costo" dataDxfId="2758" totalsRowDxfId="2757" dataCellStyle="Moneda">
      <calculatedColumnFormula>+VLOOKUP(Tabla11034534544554564791081351492192262272292302338595100[[#This Row],[Ingrediente]],Tabla34[#All],3,0)</calculatedColumnFormula>
    </tableColumn>
    <tableColumn id="6" xr3:uid="{989CF0B4-CF53-44BB-A398-7E039632F693}" name="Total costo" totalsRowFunction="sum" dataDxfId="2756" totalsRowDxfId="2755" dataCellStyle="Moneda">
      <calculatedColumnFormula>+Tabla11034534544554564791081351492192262272292302338595100[[#This Row],[Costo]]*Tabla11034534544554564791081351492192262272292302338595100[[#This Row],[Columna2]]</calculatedColumnFormula>
    </tableColumn>
  </tableColumns>
  <tableStyleInfo name="TableStyleLight8" showFirstColumn="0" showLastColumn="0" showRowStripes="1" showColumnStripes="0"/>
</table>
</file>

<file path=xl/tables/table2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901E3503-7913-4050-B18C-6FF6E57D0A33}" name="Tabla11034534544554564791081351492192262272292302338595102" displayName="Tabla11034534544554564791081351492192262272292302338595102" ref="A147:G149" totalsRowCount="1" headerRowDxfId="2754" dataDxfId="2752" totalsRowDxfId="2750" headerRowBorderDxfId="2753" tableBorderDxfId="2751" totalsRowBorderDxfId="2749">
  <autoFilter ref="A147:G148" xr:uid="{09458936-1C8D-498A-99A1-1A2EC5E05CDB}"/>
  <sortState xmlns:xlrd2="http://schemas.microsoft.com/office/spreadsheetml/2017/richdata2" ref="A148:G148">
    <sortCondition descending="1" ref="G8"/>
  </sortState>
  <tableColumns count="7">
    <tableColumn id="2" xr3:uid="{51DEB8DD-6E29-48A3-B789-91DF2E4C1070}" name="Ingrediente" dataDxfId="2748" totalsRowDxfId="2747"/>
    <tableColumn id="3" xr3:uid="{0496D032-2AE7-4804-AC73-0F6EA5DEEF42}" name="Und" dataDxfId="2746" totalsRowDxfId="2745"/>
    <tableColumn id="4" xr3:uid="{151D1057-2485-400D-9DD0-31949D793E82}" name="Cant." dataDxfId="2744" totalsRowDxfId="2743"/>
    <tableColumn id="1" xr3:uid="{F7E56F77-B171-4454-B7C8-9E57C5C03B61}" name="Columna1" dataDxfId="2742" totalsRowDxfId="2741"/>
    <tableColumn id="7" xr3:uid="{0DE0459B-AC2F-441D-B5D6-DCA20DE5B093}" name="Columna2" dataDxfId="2740" totalsRowDxfId="2739"/>
    <tableColumn id="5" xr3:uid="{7890EA17-751D-4F2B-8687-DD29B062C1FB}" name="Costo" dataDxfId="2738" totalsRowDxfId="2737" dataCellStyle="Moneda">
      <calculatedColumnFormula>+VLOOKUP(Tabla11034534544554564791081351492192262272292302338595102[[#This Row],[Ingrediente]],Tabla34[#All],3,0)</calculatedColumnFormula>
    </tableColumn>
    <tableColumn id="6" xr3:uid="{5BB2FDB8-D27C-4649-8BDA-8C661AAABC42}" name="Total costo" totalsRowFunction="sum" dataDxfId="2736" totalsRowDxfId="2735" dataCellStyle="Moneda">
      <calculatedColumnFormula>+Tabla11034534544554564791081351492192262272292302338595102[[#This Row],[Costo]]*Tabla11034534544554564791081351492192262272292302338595102[[#This Row],[Cant.]]</calculatedColumnFormula>
    </tableColumn>
  </tableColumns>
  <tableStyleInfo name="TableStyleLight8" showFirstColumn="0" showLastColumn="0" showRowStripes="1" showColumnStripes="0"/>
</table>
</file>

<file path=xl/tables/table2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4BFB4576-3635-427D-B36B-8B0340119327}" name="Tabla11034534544554564791081351492192262272292302338595119" displayName="Tabla11034534544554564791081351492192262272292302338595119" ref="A159:G161" totalsRowCount="1" headerRowDxfId="2734" dataDxfId="2732" totalsRowDxfId="2730" headerRowBorderDxfId="2733" tableBorderDxfId="2731" totalsRowBorderDxfId="2729">
  <autoFilter ref="A159:G160" xr:uid="{706B9302-0B33-4581-9BD5-4C79855B99CE}"/>
  <sortState xmlns:xlrd2="http://schemas.microsoft.com/office/spreadsheetml/2017/richdata2" ref="A160:G160">
    <sortCondition descending="1" ref="G8"/>
  </sortState>
  <tableColumns count="7">
    <tableColumn id="2" xr3:uid="{5B0B219C-61A4-4B66-9989-21ECCCC9F1B5}" name="Ingrediente" dataDxfId="2728" totalsRowDxfId="2727"/>
    <tableColumn id="3" xr3:uid="{66FA4016-EFA2-4A2B-AA23-77BD4ED2E372}" name="Und" dataDxfId="2726" totalsRowDxfId="2725"/>
    <tableColumn id="4" xr3:uid="{F8924CE2-F7C0-4BA7-971B-0F52711C2566}" name="Cant." dataDxfId="2724" totalsRowDxfId="2723"/>
    <tableColumn id="1" xr3:uid="{4D4A4E68-499A-4E06-BB4A-6C088E1D24D7}" name="Columna1" dataDxfId="2722" totalsRowDxfId="2721"/>
    <tableColumn id="7" xr3:uid="{AD57A822-9F57-4052-BC15-F8AD93735C55}" name="Columna2" dataDxfId="2720" totalsRowDxfId="2719"/>
    <tableColumn id="5" xr3:uid="{0EC0165C-5FEB-457A-B8C5-088667C89FE7}" name="Costo" dataDxfId="2718" totalsRowDxfId="2717" dataCellStyle="Moneda">
      <calculatedColumnFormula>+VLOOKUP(Tabla11034534544554564791081351492192262272292302338595119[[#This Row],[Ingrediente]],Tabla34[#All],3,0)</calculatedColumnFormula>
    </tableColumn>
    <tableColumn id="6" xr3:uid="{C521D676-3248-4F2F-A197-A710FD82B266}" name="Total costo" totalsRowFunction="sum" dataDxfId="2716" totalsRowDxfId="2715" dataCellStyle="Moneda">
      <calculatedColumnFormula>+Tabla11034534544554564791081351492192262272292302338595119[[#This Row],[Costo]]*Tabla11034534544554564791081351492192262272292302338595119[[#This Row],[Columna2]]</calculatedColumnFormula>
    </tableColumn>
  </tableColumns>
  <tableStyleInfo name="TableStyleLight8" showFirstColumn="0" showLastColumn="0" showRowStripes="1" showColumnStripes="0"/>
</table>
</file>

<file path=xl/tables/table2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C0C0419A-90F1-4A38-BDD2-D487F04611A8}" name="Tabla11034534544554564791081351492192262272292302338595119131" displayName="Tabla11034534544554564791081351492192262272292302338595119131" ref="A171:G173" totalsRowCount="1" headerRowDxfId="2714" dataDxfId="2712" totalsRowDxfId="2710" headerRowBorderDxfId="2713" tableBorderDxfId="2711" totalsRowBorderDxfId="2709">
  <autoFilter ref="A171:G172" xr:uid="{06BFA0D7-D586-424D-9BF3-6961FC388B8F}"/>
  <sortState xmlns:xlrd2="http://schemas.microsoft.com/office/spreadsheetml/2017/richdata2" ref="A172:G172">
    <sortCondition descending="1" ref="G8"/>
  </sortState>
  <tableColumns count="7">
    <tableColumn id="2" xr3:uid="{F759B99E-CE80-41A9-892C-BEB089178592}" name="Ingrediente" dataDxfId="2708" totalsRowDxfId="2707"/>
    <tableColumn id="3" xr3:uid="{87A77648-E371-4373-92E3-19C3957AF91F}" name="Und" dataDxfId="2706" totalsRowDxfId="2705"/>
    <tableColumn id="4" xr3:uid="{13C11E46-DAF2-4B27-8FC2-CFD61EB28934}" name="Cant." dataDxfId="2704" totalsRowDxfId="2703"/>
    <tableColumn id="1" xr3:uid="{D343FD19-DBEC-4819-AB60-2EDF05C853B5}" name="Columna1" dataDxfId="2702" totalsRowDxfId="2701"/>
    <tableColumn id="7" xr3:uid="{86079A1F-C37E-42AD-BD33-67F292403B6F}" name="Columna2" dataDxfId="2700" totalsRowDxfId="2699"/>
    <tableColumn id="5" xr3:uid="{751B7AD9-49CE-4353-82DF-43D2E9C26D35}" name="Costo" dataDxfId="2698" totalsRowDxfId="2697" dataCellStyle="Moneda">
      <calculatedColumnFormula>+VLOOKUP(Tabla11034534544554564791081351492192262272292302338595119131[[#This Row],[Ingrediente]],Tabla34[#All],3,0)</calculatedColumnFormula>
    </tableColumn>
    <tableColumn id="6" xr3:uid="{2A48089A-9C0F-4BCC-A37E-C372BB96A3D2}" name="Total costo" totalsRowFunction="sum" dataDxfId="2696" totalsRowDxfId="2695" dataCellStyle="Moneda">
      <calculatedColumnFormula>+Tabla11034534544554564791081351492192262272292302338595119131[[#This Row],[Costo]]*Tabla11034534544554564791081351492192262272292302338595119131[[#This Row],[Columna2]]</calculatedColumnFormula>
    </tableColumn>
  </tableColumns>
  <tableStyleInfo name="TableStyleLight8" showFirstColumn="0" showLastColumn="0" showRowStripes="1" showColumnStripes="0"/>
</table>
</file>

<file path=xl/tables/table2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0533AF76-1AF2-46E9-83DF-34203EE6619C}" name="Tabla11034534544554564791081351492192262272292302338595119132" displayName="Tabla11034534544554564791081351492192262272292302338595119132" ref="A183:G185" totalsRowCount="1" headerRowDxfId="2694" dataDxfId="2692" totalsRowDxfId="2690" headerRowBorderDxfId="2693" tableBorderDxfId="2691" totalsRowBorderDxfId="2689">
  <autoFilter ref="A183:G184" xr:uid="{641DBF17-E231-433F-9EEA-3034C8935C4A}"/>
  <sortState xmlns:xlrd2="http://schemas.microsoft.com/office/spreadsheetml/2017/richdata2" ref="A184:G184">
    <sortCondition descending="1" ref="G8"/>
  </sortState>
  <tableColumns count="7">
    <tableColumn id="2" xr3:uid="{050C55F5-E863-4A28-BC3F-A54F4C957F18}" name="Ingrediente" dataDxfId="2688" totalsRowDxfId="2687"/>
    <tableColumn id="3" xr3:uid="{4FFF1136-F2E0-45A2-9FCB-F5EB11C58BC6}" name="Und" dataDxfId="2686" totalsRowDxfId="2685"/>
    <tableColumn id="4" xr3:uid="{BF59FBA1-4800-40E5-BAE5-2CFD7FDACF39}" name="Cant." dataDxfId="2684" totalsRowDxfId="2683"/>
    <tableColumn id="1" xr3:uid="{06C459FD-4FB9-44B4-A2F4-19BBD400872B}" name="Columna1" dataDxfId="2682" totalsRowDxfId="2681"/>
    <tableColumn id="7" xr3:uid="{D787A68D-00BC-4DB1-AB71-71B5B621AA87}" name="Columna2" dataDxfId="2680" totalsRowDxfId="2679"/>
    <tableColumn id="5" xr3:uid="{7FB705C4-885D-4F5C-8E45-8C4371EA5D19}" name="Costo" dataDxfId="2678" totalsRowDxfId="2677" dataCellStyle="Moneda">
      <calculatedColumnFormula>+VLOOKUP(Tabla11034534544554564791081351492192262272292302338595119132[[#This Row],[Ingrediente]],Tabla34[#All],3,0)</calculatedColumnFormula>
    </tableColumn>
    <tableColumn id="6" xr3:uid="{E40083AA-05EC-48A5-BCD2-AB326CC3CC5A}" name="Total costo" totalsRowFunction="sum" dataDxfId="2676" totalsRowDxfId="2675" dataCellStyle="Moneda">
      <calculatedColumnFormula>+Tabla11034534544554564791081351492192262272292302338595119132[[#This Row],[Costo]]*Tabla11034534544554564791081351492192262272292302338595119132[[#This Row],[Columna2]]</calculatedColumnFormula>
    </tableColumn>
  </tableColumns>
  <tableStyleInfo name="TableStyleLight8" showFirstColumn="0" showLastColumn="0" showRowStripes="1" showColumnStripes="0"/>
</table>
</file>

<file path=xl/tables/table2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2F116B75-D369-4006-B820-DEFB11AA04CD}" name="Tabla11034534544554564791081351492192262272292302338595119132136" displayName="Tabla11034534544554564791081351492192262272292302338595119132136" ref="A195:G197" totalsRowCount="1" headerRowDxfId="2674" dataDxfId="2672" totalsRowDxfId="2670" headerRowBorderDxfId="2673" tableBorderDxfId="2671" totalsRowBorderDxfId="2669">
  <autoFilter ref="A195:G196" xr:uid="{38C1612B-E35B-481B-94A2-9D26FF991F9D}"/>
  <sortState xmlns:xlrd2="http://schemas.microsoft.com/office/spreadsheetml/2017/richdata2" ref="A196:G196">
    <sortCondition descending="1" ref="G8"/>
  </sortState>
  <tableColumns count="7">
    <tableColumn id="2" xr3:uid="{E59B999B-2A8C-441A-8AE5-42B665FC3017}" name="Ingrediente" dataDxfId="2668" totalsRowDxfId="2667"/>
    <tableColumn id="3" xr3:uid="{A47ED3E1-A808-4AA1-8605-D54B754B8CAF}" name="Und" dataDxfId="2666" totalsRowDxfId="2665"/>
    <tableColumn id="4" xr3:uid="{FBD6B377-0347-4A0C-A388-5D3B8A4D5DD7}" name="Cant." dataDxfId="2664" totalsRowDxfId="2663"/>
    <tableColumn id="1" xr3:uid="{324C985F-A3B6-49B8-8FCB-FCF7027BB367}" name="Columna1" dataDxfId="2662" totalsRowDxfId="2661"/>
    <tableColumn id="7" xr3:uid="{644CE642-4496-462A-A510-08817E3CE837}" name="Columna2" dataDxfId="2660" totalsRowDxfId="2659"/>
    <tableColumn id="5" xr3:uid="{447DE48A-E546-460C-BD68-3B8E457B9A22}" name="Costo" dataDxfId="2658" totalsRowDxfId="2657" dataCellStyle="Moneda">
      <calculatedColumnFormula>+VLOOKUP(Tabla11034534544554564791081351492192262272292302338595119132136[[#This Row],[Ingrediente]],Tabla34[#All],3,0)</calculatedColumnFormula>
    </tableColumn>
    <tableColumn id="6" xr3:uid="{4C53CA7A-2522-4D42-96BB-4CDA2AE7ADE7}" name="Total costo" totalsRowFunction="sum" dataDxfId="2656" totalsRowDxfId="2655" dataCellStyle="Moneda">
      <calculatedColumnFormula>+Tabla11034534544554564791081351492192262272292302338595119132136[[#This Row],[Costo]]*Tabla11034534544554564791081351492192262272292302338595119132136[[#This Row],[Cant.]]</calculatedColumnFormula>
    </tableColumn>
  </tableColumns>
  <tableStyleInfo name="TableStyleLight8" showFirstColumn="0" showLastColumn="0" showRowStripes="1" showColumnStripes="0"/>
</table>
</file>

<file path=xl/tables/table2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5190C854-9834-4D8B-98B6-166E4C28FB54}" name="Tabla11034534544554564791081351492192262272292302338595119132137" displayName="Tabla11034534544554564791081351492192262272292302338595119132137" ref="A208:G210" totalsRowCount="1" headerRowDxfId="2654" dataDxfId="2652" totalsRowDxfId="2650" headerRowBorderDxfId="2653" tableBorderDxfId="2651" totalsRowBorderDxfId="2649">
  <autoFilter ref="A208:G209" xr:uid="{669BB7B3-346B-41E2-ACE5-899F4B668CB3}"/>
  <sortState xmlns:xlrd2="http://schemas.microsoft.com/office/spreadsheetml/2017/richdata2" ref="A209:G209">
    <sortCondition descending="1" ref="G8"/>
  </sortState>
  <tableColumns count="7">
    <tableColumn id="2" xr3:uid="{05726213-27D0-4049-8D9D-A7AE8CDC808C}" name="Ingrediente" dataDxfId="2648" totalsRowDxfId="2647"/>
    <tableColumn id="3" xr3:uid="{0EA708EA-7C57-4A69-9E6D-0C92FAFC62E1}" name="Und" dataDxfId="2646" totalsRowDxfId="2645"/>
    <tableColumn id="4" xr3:uid="{90EF80F6-7F45-4B92-A78E-2F5DC2DBA219}" name="Cant." dataDxfId="2644" totalsRowDxfId="2643"/>
    <tableColumn id="1" xr3:uid="{3D378543-5EB9-4254-ADDD-C8442D5E5E0B}" name="Columna1" dataDxfId="2642" totalsRowDxfId="2641"/>
    <tableColumn id="7" xr3:uid="{73AE6A2F-20E8-424B-9F7C-4DDC5959D97C}" name="Columna2" dataDxfId="2640" totalsRowDxfId="2639"/>
    <tableColumn id="5" xr3:uid="{915542E7-2C31-45D8-B1D5-BE62B17B2DDD}" name="Costo" dataDxfId="2638" totalsRowDxfId="2637" dataCellStyle="Moneda">
      <calculatedColumnFormula>+VLOOKUP(Tabla11034534544554564791081351492192262272292302338595119132137[[#This Row],[Ingrediente]],Tabla34[#All],3,0)</calculatedColumnFormula>
    </tableColumn>
    <tableColumn id="6" xr3:uid="{A6CA33EC-D13D-429C-8C21-BA3B6EA2367D}" name="Total costo" totalsRowFunction="sum" dataDxfId="2636" totalsRowDxfId="2635" dataCellStyle="Moneda">
      <calculatedColumnFormula>+Tabla11034534544554564791081351492192262272292302338595119132137[[#This Row],[Costo]]*Tabla11034534544554564791081351492192262272292302338595119132137[[#This Row],[Cant.]]</calculatedColumnFormula>
    </tableColumn>
  </tableColumns>
  <tableStyleInfo name="TableStyleLight8" showFirstColumn="0" showLastColumn="0" showRowStripes="1" showColumnStripes="0"/>
</table>
</file>

<file path=xl/tables/table2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988DC0A1-B097-40FC-A238-21681DEBB740}" name="Tabla11034534544554564791081351492192262272292302338595119132137138" displayName="Tabla11034534544554564791081351492192262272292302338595119132137138" ref="A222:G224" totalsRowCount="1" headerRowDxfId="2634" dataDxfId="2632" totalsRowDxfId="2630" headerRowBorderDxfId="2633" tableBorderDxfId="2631" totalsRowBorderDxfId="2629">
  <autoFilter ref="A222:G223" xr:uid="{BB1DA29F-632F-40A9-8FBD-0482E0FC58EA}"/>
  <sortState xmlns:xlrd2="http://schemas.microsoft.com/office/spreadsheetml/2017/richdata2" ref="A223:G223">
    <sortCondition descending="1" ref="G8"/>
  </sortState>
  <tableColumns count="7">
    <tableColumn id="2" xr3:uid="{D93E9F33-8CFF-49E4-8633-F4E70D63637F}" name="Ingrediente" dataDxfId="2628" totalsRowDxfId="2627"/>
    <tableColumn id="3" xr3:uid="{E60507AB-725B-4805-8CE7-1D9AFD6807F1}" name="Und" dataDxfId="2626" totalsRowDxfId="2625"/>
    <tableColumn id="4" xr3:uid="{0BCAF695-B968-4832-BD66-83DD7EEDF039}" name="Cant." dataDxfId="2624" totalsRowDxfId="2623"/>
    <tableColumn id="1" xr3:uid="{BE1D29A4-34CC-4633-B0ED-8C2010FAB287}" name="Columna1" dataDxfId="2622" totalsRowDxfId="2621"/>
    <tableColumn id="7" xr3:uid="{4B22ED83-E41D-46DE-AF41-7098DA0A9D04}" name="Columna2" dataDxfId="2620" totalsRowDxfId="2619"/>
    <tableColumn id="5" xr3:uid="{26F6DA56-CCA1-407F-B208-D931B1EDEFE8}" name="Costo" dataDxfId="2618" totalsRowDxfId="2617" dataCellStyle="Moneda">
      <calculatedColumnFormula>+VLOOKUP(Tabla11034534544554564791081351492192262272292302338595119132137138[[#This Row],[Ingrediente]],Tabla34[#All],3,0)</calculatedColumnFormula>
    </tableColumn>
    <tableColumn id="6" xr3:uid="{09765C96-D1B5-4C0C-AE16-F6FBC053106D}" name="Total costo" totalsRowFunction="sum" dataDxfId="2616" totalsRowDxfId="2615" dataCellStyle="Moneda">
      <calculatedColumnFormula>+Tabla11034534544554564791081351492192262272292302338595119132137138[[#This Row],[Costo]]*Tabla11034534544554564791081351492192262272292302338595119132137138[[#This Row],[Cant.]]</calculatedColumnFormula>
    </tableColumn>
  </tableColumns>
  <tableStyleInfo name="TableStyleLight8" showFirstColumn="0" showLastColumn="0" showRowStripes="1" showColumnStripes="0"/>
</table>
</file>

<file path=xl/tables/table2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EEBD1BA4-9752-4A3D-B688-98B94E675428}" name="Tabla11034534544554564791081351492192262272292302338595119132137140" displayName="Tabla11034534544554564791081351492192262272292302338595119132137140" ref="A233:G235" totalsRowCount="1" headerRowDxfId="2614" dataDxfId="2612" totalsRowDxfId="2610" headerRowBorderDxfId="2613" tableBorderDxfId="2611" totalsRowBorderDxfId="2609">
  <autoFilter ref="A233:G234" xr:uid="{5E3A55CB-F5D4-4F30-9199-323D9F69CFFC}"/>
  <sortState xmlns:xlrd2="http://schemas.microsoft.com/office/spreadsheetml/2017/richdata2" ref="A234:G234">
    <sortCondition descending="1" ref="G8"/>
  </sortState>
  <tableColumns count="7">
    <tableColumn id="2" xr3:uid="{77C9B1A0-2B08-4706-8816-AC105FBA9EBC}" name="Ingrediente" dataDxfId="2608" totalsRowDxfId="2607"/>
    <tableColumn id="3" xr3:uid="{EC068035-A51E-48E0-97D5-2AF43602C7AB}" name="Und" dataDxfId="2606" totalsRowDxfId="2605"/>
    <tableColumn id="4" xr3:uid="{20DBD7D6-B0C5-4A98-8381-28850C9E06A2}" name="Cant." dataDxfId="2604" totalsRowDxfId="2603"/>
    <tableColumn id="1" xr3:uid="{B342706A-F2CB-48FB-8503-C29F846EE82F}" name="Columna1" dataDxfId="2602" totalsRowDxfId="2601"/>
    <tableColumn id="7" xr3:uid="{17D1D838-60C9-49CE-864E-ECF9A423EEA6}" name="Columna2" dataDxfId="2600" totalsRowDxfId="2599"/>
    <tableColumn id="5" xr3:uid="{376E3CAE-E16B-463F-B5AD-1295854A9468}" name="Costo" dataDxfId="2598" totalsRowDxfId="2597">
      <calculatedColumnFormula>+VLOOKUP(Tabla11034534544554564791081351492192262272292302338595119132137140[[#This Row],[Ingrediente]],Tabla34[#All],3,0)</calculatedColumnFormula>
    </tableColumn>
    <tableColumn id="6" xr3:uid="{77288B59-DC59-4EE1-87DD-BAE7AB762C68}" name="Total costo" totalsRowFunction="sum" dataDxfId="2596" totalsRowDxfId="2595">
      <calculatedColumnFormula>+Tabla11034534544554564791081351492192262272292302338595119132137140[[#This Row],[Costo]]*Tabla11034534544554564791081351492192262272292302338595119132137140[[#This Row],[Cant.]]</calculatedColumnFormula>
    </tableColumn>
  </tableColumns>
  <tableStyleInfo name="TableStyleLight8" showFirstColumn="0" showLastColumn="0" showRowStripes="1" showColumnStripes="0"/>
</table>
</file>

<file path=xl/tables/table2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38B0BF-1FFB-4EAD-9E7C-71BC06015E5F}" name="Tabla110345345445545647910813514921922622722923023385951191321371403" displayName="Tabla110345345445545647910813514921922622722923023385951191321371403" ref="A246:G248" totalsRowCount="1" headerRowDxfId="2594" dataDxfId="2592" totalsRowDxfId="2590" headerRowBorderDxfId="2593" tableBorderDxfId="2591" totalsRowBorderDxfId="2589">
  <autoFilter ref="A246:G247" xr:uid="{3438B0BF-1FFB-4EAD-9E7C-71BC06015E5F}"/>
  <sortState xmlns:xlrd2="http://schemas.microsoft.com/office/spreadsheetml/2017/richdata2" ref="A247:G247">
    <sortCondition descending="1" ref="G8"/>
  </sortState>
  <tableColumns count="7">
    <tableColumn id="2" xr3:uid="{84A69491-1397-49F6-B3D1-7087CCFE8818}" name="Ingrediente" dataDxfId="2588" totalsRowDxfId="2587"/>
    <tableColumn id="3" xr3:uid="{7CDD3D44-7B46-4E32-9527-F57D2C8CB332}" name="Und" dataDxfId="2586" totalsRowDxfId="2585"/>
    <tableColumn id="4" xr3:uid="{BC753141-3F41-44A2-9FFD-BF7BACBE6316}" name="Cant." dataDxfId="2584" totalsRowDxfId="2583"/>
    <tableColumn id="1" xr3:uid="{2AB1EFCC-E2A8-4618-B24B-52C9FF162F5D}" name="Columna1" dataDxfId="2582" totalsRowDxfId="2581"/>
    <tableColumn id="7" xr3:uid="{D243B0CA-2ADC-4FA4-8770-216A0F36AAEC}" name="Columna2" dataDxfId="2580" totalsRowDxfId="2579"/>
    <tableColumn id="5" xr3:uid="{324A4F00-0F67-45EF-A8F7-7EFA74467841}" name="Costo" dataDxfId="2578" totalsRowDxfId="2577">
      <calculatedColumnFormula>+VLOOKUP(Tabla110345345445545647910813514921922622722923023385951191321371403[[#This Row],[Ingrediente]],Tabla34[#All],3,0)</calculatedColumnFormula>
    </tableColumn>
    <tableColumn id="6" xr3:uid="{A9E04719-44B8-45ED-87FB-69E5F8B967D7}" name="Total costo" totalsRowFunction="sum" dataDxfId="2576" totalsRowDxfId="2575">
      <calculatedColumnFormula>+Tabla110345345445545647910813514921922622722923023385951191321371403[[#This Row],[Costo]]*Tabla110345345445545647910813514921922622722923023385951191321371403[[#This Row],[Cant.]]</calculatedColumnFormula>
    </tableColumn>
  </tableColumns>
  <tableStyleInfo name="TableStyleLight8" showFirstColumn="0" showLastColumn="0" showRowStripes="1" showColumnStripes="0"/>
</table>
</file>

<file path=xl/tables/table2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F2571BC-08D3-44F2-B052-AE44B216A00F}" name="Tabla1103453454455456479108135149219226227229230233859511913213714036" displayName="Tabla1103453454455456479108135149219226227229230233859511913213714036" ref="A258:G260" totalsRowCount="1" headerRowDxfId="2574" dataDxfId="2572" totalsRowDxfId="2570" headerRowBorderDxfId="2573" tableBorderDxfId="2571" totalsRowBorderDxfId="2569">
  <autoFilter ref="A258:G259" xr:uid="{6F2571BC-08D3-44F2-B052-AE44B216A00F}"/>
  <sortState xmlns:xlrd2="http://schemas.microsoft.com/office/spreadsheetml/2017/richdata2" ref="A259:G259">
    <sortCondition descending="1" ref="G8"/>
  </sortState>
  <tableColumns count="7">
    <tableColumn id="2" xr3:uid="{E9CE9D84-4644-4EEB-9849-7049408DB364}" name="Ingrediente" dataDxfId="2568" totalsRowDxfId="2567"/>
    <tableColumn id="3" xr3:uid="{F53FA258-7590-434B-BBA0-E34634E8DFC9}" name="Und" dataDxfId="2566" totalsRowDxfId="2565"/>
    <tableColumn id="4" xr3:uid="{7985C269-BDDC-42C1-A2D5-931E1629FA98}" name="Cant." dataDxfId="2564" totalsRowDxfId="2563"/>
    <tableColumn id="1" xr3:uid="{D3E45256-C0F7-4DD8-9365-E8B4E88CCD57}" name="Columna1" dataDxfId="2562" totalsRowDxfId="2561"/>
    <tableColumn id="7" xr3:uid="{AC59D769-F96A-4E39-B6BA-C98D104D5E6B}" name="Columna2" dataDxfId="2560" totalsRowDxfId="2559"/>
    <tableColumn id="5" xr3:uid="{D157D45C-8385-4544-A1D9-7B08D675545A}" name="Costo" dataDxfId="2558" totalsRowDxfId="2557">
      <calculatedColumnFormula>+VLOOKUP(Tabla1103453454455456479108135149219226227229230233859511913213714036[[#This Row],[Ingrediente]],Tabla34[#All],3,0)</calculatedColumnFormula>
    </tableColumn>
    <tableColumn id="6" xr3:uid="{B81B140D-E8C1-401E-8522-6C82E5E0C40E}" name="Total costo" totalsRowFunction="sum" dataDxfId="2556" totalsRowDxfId="2555">
      <calculatedColumnFormula>+Tabla1103453454455456479108135149219226227229230233859511913213714036[[#This Row],[Costo]]*Tabla1103453454455456479108135149219226227229230233859511913213714036[[#This Row],[Cant.]]</calculatedColumnFormula>
    </tableColumn>
  </tableColumns>
  <tableStyleInfo name="TableStyleLight8" showFirstColumn="0" showLastColumn="0" showRowStripes="1" showColumnStripes="0"/>
</table>
</file>

<file path=xl/tables/table2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CC83E4D-35E6-4BFF-A721-5F2AE249B066}" name="Tabla1103453454455456479108135149219226227229230233859511913213714037" displayName="Tabla1103453454455456479108135149219226227229230233859511913213714037" ref="A269:G271" totalsRowCount="1" headerRowDxfId="2554" dataDxfId="2552" totalsRowDxfId="2550" headerRowBorderDxfId="2553" tableBorderDxfId="2551" totalsRowBorderDxfId="2549">
  <autoFilter ref="A269:G270" xr:uid="{ECC83E4D-35E6-4BFF-A721-5F2AE249B066}"/>
  <sortState xmlns:xlrd2="http://schemas.microsoft.com/office/spreadsheetml/2017/richdata2" ref="A270:G270">
    <sortCondition descending="1" ref="G8"/>
  </sortState>
  <tableColumns count="7">
    <tableColumn id="2" xr3:uid="{94CBCD20-042B-4EBB-8ADF-53ACE1EE8249}" name="Ingrediente" dataDxfId="2548" totalsRowDxfId="2547"/>
    <tableColumn id="3" xr3:uid="{97E6CBB7-7028-4CF3-8182-2451BC21B2F1}" name="Und" dataDxfId="2546" totalsRowDxfId="2545"/>
    <tableColumn id="4" xr3:uid="{FC47F1B6-15BB-440B-85C8-EA156B04506D}" name="Cant." dataDxfId="2544" totalsRowDxfId="2543"/>
    <tableColumn id="1" xr3:uid="{A4CA5C8B-728F-48DF-99F6-8588B1C0CCAE}" name="Columna1" dataDxfId="2542" totalsRowDxfId="2541"/>
    <tableColumn id="7" xr3:uid="{7D32B84B-2EA1-47ED-A0AB-7DFED2D3D88A}" name="Columna2" dataDxfId="2540" totalsRowDxfId="2539"/>
    <tableColumn id="5" xr3:uid="{D99F0C2C-60A9-46A3-BC7E-C7E6728E6E93}" name="Costo" dataDxfId="2538" totalsRowDxfId="2537">
      <calculatedColumnFormula>+VLOOKUP(Tabla1103453454455456479108135149219226227229230233859511913213714037[[#This Row],[Ingrediente]],Tabla34[#All],3,0)</calculatedColumnFormula>
    </tableColumn>
    <tableColumn id="6" xr3:uid="{4A86DFBA-3DF1-463E-8127-6433537D6170}" name="Total costo" totalsRowFunction="sum" dataDxfId="2536" totalsRowDxfId="2535">
      <calculatedColumnFormula>+Tabla1103453454455456479108135149219226227229230233859511913213714037[[#This Row],[Costo]]*Tabla1103453454455456479108135149219226227229230233859511913213714037[[#This Row],[Cant.]]</calculatedColumnFormula>
    </tableColumn>
  </tableColumns>
  <tableStyleInfo name="TableStyleLight8" showFirstColumn="0" showLastColumn="0" showRowStripes="1" showColumnStripes="0"/>
</table>
</file>

<file path=xl/tables/table2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925FFC0-CD2D-4CD0-ABB0-2F4917598697}" name="Tabla1103453454455456479108135149219226227229230233859511913213714038" displayName="Tabla1103453454455456479108135149219226227229230233859511913213714038" ref="A280:G282" totalsRowCount="1" headerRowDxfId="2534" dataDxfId="2532" totalsRowDxfId="2530" headerRowBorderDxfId="2533" tableBorderDxfId="2531" totalsRowBorderDxfId="2529">
  <autoFilter ref="A280:G281" xr:uid="{9925FFC0-CD2D-4CD0-ABB0-2F4917598697}"/>
  <sortState xmlns:xlrd2="http://schemas.microsoft.com/office/spreadsheetml/2017/richdata2" ref="A281:G281">
    <sortCondition descending="1" ref="G8"/>
  </sortState>
  <tableColumns count="7">
    <tableColumn id="2" xr3:uid="{29E18809-42D4-4255-A1EF-52AC253FE8A8}" name="Ingrediente" dataDxfId="2528" totalsRowDxfId="2527"/>
    <tableColumn id="3" xr3:uid="{D3680686-B427-4845-BFFE-9F39A73032BC}" name="Und" dataDxfId="2526" totalsRowDxfId="2525"/>
    <tableColumn id="4" xr3:uid="{1CB33037-1F5C-4907-AC64-41BAAED72C91}" name="Cant." dataDxfId="2524" totalsRowDxfId="2523"/>
    <tableColumn id="1" xr3:uid="{83401181-11BC-4FF5-B55E-043A50487B1E}" name="Columna1" dataDxfId="2522" totalsRowDxfId="2521"/>
    <tableColumn id="7" xr3:uid="{A3E1E284-460C-42F0-B87B-748FA865F301}" name="Columna2" dataDxfId="2520" totalsRowDxfId="2519"/>
    <tableColumn id="5" xr3:uid="{860E7C33-54CB-44BD-A542-DC9AED270435}" name="Costo" dataDxfId="2518" totalsRowDxfId="2517">
      <calculatedColumnFormula>+VLOOKUP(Tabla1103453454455456479108135149219226227229230233859511913213714038[[#This Row],[Ingrediente]],Tabla34[#All],3,0)</calculatedColumnFormula>
    </tableColumn>
    <tableColumn id="6" xr3:uid="{A8401C84-11E4-4499-86A4-985E7E9888FA}" name="Total costo" totalsRowFunction="sum" dataDxfId="2516" totalsRowDxfId="2515">
      <calculatedColumnFormula>+Tabla1103453454455456479108135149219226227229230233859511913213714038[[#This Row],[Costo]]*Tabla1103453454455456479108135149219226227229230233859511913213714038[[#This Row],[Cant.]]</calculatedColumnFormula>
    </tableColumn>
  </tableColumns>
  <tableStyleInfo name="TableStyleLight8" showFirstColumn="0" showLastColumn="0" showRowStripes="1" showColumnStripes="0"/>
</table>
</file>

<file path=xl/tables/table2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9E1BD8C-52F9-43BE-9262-C1FE1733E2DA}" name="Tabla1103453454455456479108135149219226227229230233859511913213714039" displayName="Tabla1103453454455456479108135149219226227229230233859511913213714039" ref="A293:G295" totalsRowCount="1" headerRowDxfId="2514" dataDxfId="2512" totalsRowDxfId="2510" headerRowBorderDxfId="2513" tableBorderDxfId="2511" totalsRowBorderDxfId="2509">
  <autoFilter ref="A293:G294" xr:uid="{09E1BD8C-52F9-43BE-9262-C1FE1733E2DA}"/>
  <sortState xmlns:xlrd2="http://schemas.microsoft.com/office/spreadsheetml/2017/richdata2" ref="A294:G294">
    <sortCondition descending="1" ref="G8"/>
  </sortState>
  <tableColumns count="7">
    <tableColumn id="2" xr3:uid="{F7E10A6B-6100-4682-A4C9-6EE75BE121C8}" name="Ingrediente" dataDxfId="2508" totalsRowDxfId="2507"/>
    <tableColumn id="3" xr3:uid="{75F28E44-1EED-436B-B95D-DA23F3011919}" name="Und" dataDxfId="2506" totalsRowDxfId="2505"/>
    <tableColumn id="4" xr3:uid="{B7366A73-73D3-4F81-99AC-C30C7466A9AE}" name="Cant." dataDxfId="2504" totalsRowDxfId="2503"/>
    <tableColumn id="1" xr3:uid="{EF9B906B-CF26-4377-896C-A61ED58EAE97}" name="Columna1" dataDxfId="2502" totalsRowDxfId="2501"/>
    <tableColumn id="7" xr3:uid="{FBE82D44-7CD4-425B-8ED4-182120402328}" name="Columna2" dataDxfId="2500" totalsRowDxfId="2499"/>
    <tableColumn id="5" xr3:uid="{F84D80D0-2CD3-48DB-8584-E39C5253A23A}" name="Costo" dataDxfId="2498" totalsRowDxfId="2497">
      <calculatedColumnFormula>+VLOOKUP(Tabla1103453454455456479108135149219226227229230233859511913213714039[[#This Row],[Ingrediente]],Tabla34[#All],3,0)</calculatedColumnFormula>
    </tableColumn>
    <tableColumn id="6" xr3:uid="{85A45FE5-0BEE-4C16-97DF-DBDBA3DF0A46}" name="Total costo" totalsRowFunction="sum" dataDxfId="2496" totalsRowDxfId="2495">
      <calculatedColumnFormula>+Tabla1103453454455456479108135149219226227229230233859511913213714039[[#This Row],[Costo]]*Tabla1103453454455456479108135149219226227229230233859511913213714039[[#This Row],[Cant.]]</calculatedColumnFormula>
    </tableColumn>
  </tableColumns>
  <tableStyleInfo name="TableStyleLight8" showFirstColumn="0" showLastColumn="0" showRowStripes="1" showColumnStripes="0"/>
</table>
</file>

<file path=xl/tables/table2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5AEA790-F405-4214-A9AB-F80224BE6710}" name="Tabla110345345445545647910813514921922622722923023385951191321371403910" displayName="Tabla110345345445545647910813514921922622722923023385951191321371403910" ref="A306:G308" totalsRowCount="1" headerRowDxfId="2494" dataDxfId="2492" totalsRowDxfId="2490" headerRowBorderDxfId="2493" tableBorderDxfId="2491" totalsRowBorderDxfId="2489">
  <autoFilter ref="A306:G307" xr:uid="{15AEA790-F405-4214-A9AB-F80224BE6710}"/>
  <sortState xmlns:xlrd2="http://schemas.microsoft.com/office/spreadsheetml/2017/richdata2" ref="A307:G307">
    <sortCondition descending="1" ref="G8"/>
  </sortState>
  <tableColumns count="7">
    <tableColumn id="2" xr3:uid="{C6DA7C64-F8D8-462C-86D9-07EAD5838F11}" name="Ingrediente" dataDxfId="2488" totalsRowDxfId="2487"/>
    <tableColumn id="3" xr3:uid="{343EFB15-B922-49A1-B434-F70169562D82}" name="Und" dataDxfId="2486" totalsRowDxfId="2485"/>
    <tableColumn id="4" xr3:uid="{9A7097A1-1678-469B-B235-FA98C8ED693B}" name="Cant." dataDxfId="2484" totalsRowDxfId="2483"/>
    <tableColumn id="1" xr3:uid="{5DF6EDE0-825C-415F-BA12-9F7B2EBB242D}" name="Columna1" dataDxfId="2482" totalsRowDxfId="2481"/>
    <tableColumn id="7" xr3:uid="{74D4A64E-9A97-49C2-8E69-6F78C1C3CB32}" name="Columna2" dataDxfId="2480" totalsRowDxfId="2479"/>
    <tableColumn id="5" xr3:uid="{10ED76DA-D640-44C0-BC2A-403EA87AF2E5}" name="Costo" dataDxfId="2478" totalsRowDxfId="2477">
      <calculatedColumnFormula>+VLOOKUP(Tabla110345345445545647910813514921922622722923023385951191321371403910[[#This Row],[Ingrediente]],Tabla34[#All],3,0)</calculatedColumnFormula>
    </tableColumn>
    <tableColumn id="6" xr3:uid="{9D1ADAEB-E7FF-4ED8-8185-A6ACC23E27B0}" name="Total costo" totalsRowFunction="sum" dataDxfId="2476" totalsRowDxfId="2475">
      <calculatedColumnFormula>+Tabla110345345445545647910813514921922622722923023385951191321371403910[[#This Row],[Costo]]*Tabla110345345445545647910813514921922622722923023385951191321371403910[[#This Row],[Cant.]]</calculatedColumnFormula>
    </tableColumn>
  </tableColumns>
  <tableStyleInfo name="TableStyleLight8" showFirstColumn="0" showLastColumn="0" showRowStripes="1" showColumnStripes="0"/>
</table>
</file>

<file path=xl/tables/table2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628AD15-D0B5-4499-8409-67B12D6A82FA}" name="Tabla110345345445545647910813514921922622722923023385951191321371403911" displayName="Tabla110345345445545647910813514921922622722923023385951191321371403911" ref="A317:G319" totalsRowCount="1" headerRowDxfId="2474" dataDxfId="2472" totalsRowDxfId="2470" headerRowBorderDxfId="2473" tableBorderDxfId="2471" totalsRowBorderDxfId="2469">
  <autoFilter ref="A317:G318" xr:uid="{2628AD15-D0B5-4499-8409-67B12D6A82FA}"/>
  <sortState xmlns:xlrd2="http://schemas.microsoft.com/office/spreadsheetml/2017/richdata2" ref="A318:G318">
    <sortCondition descending="1" ref="G8"/>
  </sortState>
  <tableColumns count="7">
    <tableColumn id="2" xr3:uid="{D5E18493-0D4B-48C6-87B9-815AEA4B5D80}" name="Ingrediente" dataDxfId="2468" totalsRowDxfId="2467"/>
    <tableColumn id="3" xr3:uid="{BEA3C0A8-DB40-4C56-A2FD-522EEA104ABB}" name="Und" dataDxfId="2466" totalsRowDxfId="2465"/>
    <tableColumn id="4" xr3:uid="{8DD14BBF-1FD7-4766-9F36-7CCC34B676C7}" name="Cant." dataDxfId="2464" totalsRowDxfId="2463"/>
    <tableColumn id="1" xr3:uid="{9AC765D7-B5A3-476E-86B1-310177FC002E}" name="Columna1" dataDxfId="2462" totalsRowDxfId="2461"/>
    <tableColumn id="7" xr3:uid="{70E9E0CA-10CC-4C3C-9A38-2C90A6A00888}" name="Columna2" dataDxfId="2460" totalsRowDxfId="2459"/>
    <tableColumn id="5" xr3:uid="{7ED34D80-F20E-4BBD-8E9F-E01602A5B5B3}" name="Costo" dataDxfId="2458" totalsRowDxfId="2457">
      <calculatedColumnFormula>+VLOOKUP(Tabla110345345445545647910813514921922622722923023385951191321371403911[[#This Row],[Ingrediente]],Tabla34[#All],3,0)</calculatedColumnFormula>
    </tableColumn>
    <tableColumn id="6" xr3:uid="{ED1E0D6A-E0A4-49BC-B211-A925C213F6B7}" name="Total costo" totalsRowFunction="sum" dataDxfId="2456" totalsRowDxfId="2455">
      <calculatedColumnFormula>+Tabla110345345445545647910813514921922622722923023385951191321371403911[[#This Row],[Costo]]*Tabla110345345445545647910813514921922622722923023385951191321371403911[[#This Row],[Cant.]]</calculatedColumnFormula>
    </tableColumn>
  </tableColumns>
  <tableStyleInfo name="TableStyleLight8" showFirstColumn="0" showLastColumn="0" showRowStripes="1" showColumnStripes="0"/>
</table>
</file>

<file path=xl/tables/table2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621635-2E43-47E6-8E95-8D74578F0CAB}" name="Tabla110345345445545647910813514921922622722923023385951191321371403912" displayName="Tabla110345345445545647910813514921922622722923023385951191321371403912" ref="A329:G331" totalsRowCount="1" headerRowDxfId="2454" dataDxfId="2452" totalsRowDxfId="2450" headerRowBorderDxfId="2453" tableBorderDxfId="2451" totalsRowBorderDxfId="2449">
  <autoFilter ref="A329:G330" xr:uid="{7F621635-2E43-47E6-8E95-8D74578F0CAB}"/>
  <sortState xmlns:xlrd2="http://schemas.microsoft.com/office/spreadsheetml/2017/richdata2" ref="A330:G330">
    <sortCondition descending="1" ref="G8"/>
  </sortState>
  <tableColumns count="7">
    <tableColumn id="2" xr3:uid="{469C47C6-897A-4691-8829-1AC810010FBF}" name="Ingrediente" dataDxfId="2448" totalsRowDxfId="2447"/>
    <tableColumn id="3" xr3:uid="{646BF81B-6A1A-4550-84B1-2E1192FE2765}" name="Und" dataDxfId="2446" totalsRowDxfId="2445"/>
    <tableColumn id="4" xr3:uid="{F08F0A24-FA6B-4EE8-8BD4-FABE78D196D8}" name="Cant." dataDxfId="2444" totalsRowDxfId="2443"/>
    <tableColumn id="1" xr3:uid="{5A58035D-F9A7-4294-A859-0DCD791D1C27}" name="Columna1" dataDxfId="2442" totalsRowDxfId="2441"/>
    <tableColumn id="7" xr3:uid="{6D5B79D9-99B2-485D-95DE-6896FC265CB0}" name="Columna2" dataDxfId="2440" totalsRowDxfId="2439"/>
    <tableColumn id="5" xr3:uid="{BACEAB73-FF64-4C63-8C9F-5FE130928CD0}" name="Costo" dataDxfId="2438" totalsRowDxfId="2437">
      <calculatedColumnFormula>+VLOOKUP(Tabla110345345445545647910813514921922622722923023385951191321371403912[[#This Row],[Ingrediente]],Tabla34[#All],3,0)</calculatedColumnFormula>
    </tableColumn>
    <tableColumn id="6" xr3:uid="{4852E4A4-13D4-46D1-AF7F-74990994BA55}" name="Total costo" totalsRowFunction="sum" dataDxfId="2436" totalsRowDxfId="2435">
      <calculatedColumnFormula>+Tabla110345345445545647910813514921922622722923023385951191321371403912[[#This Row],[Costo]]*Tabla110345345445545647910813514921922622722923023385951191321371403912[[#This Row],[Cant.]]</calculatedColumnFormula>
    </tableColumn>
  </tableColumns>
  <tableStyleInfo name="TableStyleLight8" showFirstColumn="0" showLastColumn="0" showRowStripes="1" showColumnStripes="0"/>
</table>
</file>

<file path=xl/tables/table2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EAB7CEF-342D-435F-BDCF-3384E116FE3C}" name="Tabla11034534544554564791081351492192262272292302338595119132137140391213" displayName="Tabla11034534544554564791081351492192262272292302338595119132137140391213" ref="A342:G344" totalsRowCount="1" headerRowDxfId="2434" dataDxfId="2432" totalsRowDxfId="2430" headerRowBorderDxfId="2433" tableBorderDxfId="2431" totalsRowBorderDxfId="2429">
  <autoFilter ref="A342:G343" xr:uid="{DEAB7CEF-342D-435F-BDCF-3384E116FE3C}"/>
  <sortState xmlns:xlrd2="http://schemas.microsoft.com/office/spreadsheetml/2017/richdata2" ref="A343:G343">
    <sortCondition descending="1" ref="G8"/>
  </sortState>
  <tableColumns count="7">
    <tableColumn id="2" xr3:uid="{D96304E4-0D06-4CA5-A71B-E1CAA6BD29DD}" name="Ingrediente" dataDxfId="2428" totalsRowDxfId="2427"/>
    <tableColumn id="3" xr3:uid="{05AC9CFC-3DFA-4B6B-8835-25E5A3F07C9B}" name="Und" dataDxfId="2426" totalsRowDxfId="2425"/>
    <tableColumn id="4" xr3:uid="{F4B7F91C-3B9B-4529-B6E3-E8302A697B53}" name="Cant." dataDxfId="2424" totalsRowDxfId="2423"/>
    <tableColumn id="1" xr3:uid="{2A1DDAE4-AF93-49BF-9E4A-196C865C8082}" name="Columna1" dataDxfId="2422" totalsRowDxfId="2421"/>
    <tableColumn id="7" xr3:uid="{6927C38F-C596-45EB-922F-B53A94D74664}" name="Columna2" dataDxfId="2420" totalsRowDxfId="2419"/>
    <tableColumn id="5" xr3:uid="{28971AA5-4619-4BAE-9F9B-389E8C1CE082}" name="Costo" dataDxfId="2418" totalsRowDxfId="2417">
      <calculatedColumnFormula>+VLOOKUP(Tabla11034534544554564791081351492192262272292302338595119132137140391213[[#This Row],[Ingrediente]],Tabla34[#All],3,0)</calculatedColumnFormula>
    </tableColumn>
    <tableColumn id="6" xr3:uid="{8AC22A8A-550E-45A5-8B31-E3BCCF991D20}" name="Total costo" totalsRowFunction="sum" dataDxfId="2416" totalsRowDxfId="2415">
      <calculatedColumnFormula>+Tabla11034534544554564791081351492192262272292302338595119132137140391213[[#This Row],[Costo]]*Tabla11034534544554564791081351492192262272292302338595119132137140391213[[#This Row],[Cant.]]</calculatedColumnFormula>
    </tableColumn>
  </tableColumns>
  <tableStyleInfo name="TableStyleLight8" showFirstColumn="0" showLastColumn="0" showRowStripes="1" showColumnStripes="0"/>
</table>
</file>

<file path=xl/tables/table2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73DFF1B-20A1-4058-B1D8-7BA0095B69F6}" name="Tabla11034534544554564791081351492192262272292302338595119132137140391214" displayName="Tabla11034534544554564791081351492192262272292302338595119132137140391214" ref="A355:G357" totalsRowCount="1" headerRowDxfId="2414" dataDxfId="2412" totalsRowDxfId="2410" headerRowBorderDxfId="2413" tableBorderDxfId="2411" totalsRowBorderDxfId="2409">
  <autoFilter ref="A355:G356" xr:uid="{E73DFF1B-20A1-4058-B1D8-7BA0095B69F6}"/>
  <sortState xmlns:xlrd2="http://schemas.microsoft.com/office/spreadsheetml/2017/richdata2" ref="A356:G356">
    <sortCondition descending="1" ref="G8"/>
  </sortState>
  <tableColumns count="7">
    <tableColumn id="2" xr3:uid="{99672120-5A33-4C46-9B14-71D15D31F41F}" name="Ingrediente" dataDxfId="2408" totalsRowDxfId="2407"/>
    <tableColumn id="3" xr3:uid="{FD2B0C77-2204-4846-BD33-737583BF8084}" name="Und" dataDxfId="2406" totalsRowDxfId="2405"/>
    <tableColumn id="4" xr3:uid="{E428F81B-CD5E-47FB-A34C-36EE470EE4E7}" name="Cant." dataDxfId="2404" totalsRowDxfId="2403"/>
    <tableColumn id="1" xr3:uid="{8B00DF03-05DD-4518-B5A7-81A4F830971E}" name="Columna1" dataDxfId="2402" totalsRowDxfId="2401"/>
    <tableColumn id="7" xr3:uid="{F4381630-670E-4C5E-975E-ED7C8071793C}" name="Columna2" dataDxfId="2400" totalsRowDxfId="2399"/>
    <tableColumn id="5" xr3:uid="{A9882D01-D4D3-4C8D-9140-DFFFDD87E17C}" name="Costo" dataDxfId="2398" totalsRowDxfId="2397">
      <calculatedColumnFormula>+VLOOKUP(Tabla11034534544554564791081351492192262272292302338595119132137140391214[[#This Row],[Ingrediente]],Tabla34[#All],3,0)</calculatedColumnFormula>
    </tableColumn>
    <tableColumn id="6" xr3:uid="{DC8A7338-0A7E-45A4-8A2A-14F4158A2DBF}" name="Total costo" totalsRowFunction="sum" dataDxfId="2396" totalsRowDxfId="2395">
      <calculatedColumnFormula>+Tabla11034534544554564791081351492192262272292302338595119132137140391214[[#This Row],[Costo]]*Tabla11034534544554564791081351492192262272292302338595119132137140391214[[#This Row],[Columna2]]</calculatedColumnFormula>
    </tableColumn>
  </tableColumns>
  <tableStyleInfo name="TableStyleLight8" showFirstColumn="0" showLastColumn="0" showRowStripes="1" showColumnStripes="0"/>
</table>
</file>

<file path=xl/tables/table2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CCBB7F9-D92C-402B-9FAD-49B04831E906}" name="Tabla11034534544554564791081351492192262272292302338595119132137140391215" displayName="Tabla11034534544554564791081351492192262272292302338595119132137140391215" ref="A368:G370" totalsRowCount="1" headerRowDxfId="2394" dataDxfId="2392" totalsRowDxfId="2390" headerRowBorderDxfId="2393" tableBorderDxfId="2391" totalsRowBorderDxfId="2389">
  <autoFilter ref="A368:G369" xr:uid="{DCCBB7F9-D92C-402B-9FAD-49B04831E906}"/>
  <sortState xmlns:xlrd2="http://schemas.microsoft.com/office/spreadsheetml/2017/richdata2" ref="A369:G369">
    <sortCondition descending="1" ref="G8"/>
  </sortState>
  <tableColumns count="7">
    <tableColumn id="2" xr3:uid="{57DA5C1D-3081-4A98-95C1-B48B73B5FC2B}" name="Ingrediente" dataDxfId="2388" totalsRowDxfId="2387"/>
    <tableColumn id="3" xr3:uid="{62C4FF14-51F2-43A5-8796-1EC692817F04}" name="Und" dataDxfId="2386" totalsRowDxfId="2385"/>
    <tableColumn id="4" xr3:uid="{3B39AD76-7EC1-4D14-B155-AF6CAC96659A}" name="Cant." dataDxfId="2384" totalsRowDxfId="2383"/>
    <tableColumn id="1" xr3:uid="{085C8080-A43A-4ADA-8DAA-532D5EF1E3AE}" name="Columna1" dataDxfId="2382" totalsRowDxfId="2381"/>
    <tableColumn id="7" xr3:uid="{A58D025F-5C03-4A8F-AD42-06AF643CAE9B}" name="Columna2" dataDxfId="2380" totalsRowDxfId="2379"/>
    <tableColumn id="5" xr3:uid="{F6ECC562-7A08-4188-905F-4A6FB4F57351}" name="Costo" dataDxfId="2378" totalsRowDxfId="2377">
      <calculatedColumnFormula>+VLOOKUP(Tabla11034534544554564791081351492192262272292302338595119132137140391215[[#This Row],[Ingrediente]],Tabla34[#All],3,0)</calculatedColumnFormula>
    </tableColumn>
    <tableColumn id="6" xr3:uid="{329DA1A4-6F0C-4EF6-A558-C0409DC7EA0B}" name="Total costo" totalsRowFunction="sum" dataDxfId="2376" totalsRowDxfId="2375">
      <calculatedColumnFormula>+Tabla11034534544554564791081351492192262272292302338595119132137140391215[[#This Row],[Costo]]*Tabla11034534544554564791081351492192262272292302338595119132137140391215[[#This Row],[Cant.]]</calculatedColumnFormula>
    </tableColumn>
  </tableColumns>
  <tableStyleInfo name="TableStyleLight8" showFirstColumn="0" showLastColumn="0" showRowStripes="1" showColumnStripes="0"/>
</table>
</file>

<file path=xl/tables/table2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1826BAB-BB59-4A33-8412-389C502677B2}" name="Tabla1103453454455456479108135149219226227229230233859511913213714039121516" displayName="Tabla1103453454455456479108135149219226227229230233859511913213714039121516" ref="A381:G383" totalsRowCount="1" headerRowDxfId="2374" dataDxfId="2372" totalsRowDxfId="2370" headerRowBorderDxfId="2373" tableBorderDxfId="2371" totalsRowBorderDxfId="2369">
  <autoFilter ref="A381:G382" xr:uid="{71826BAB-BB59-4A33-8412-389C502677B2}"/>
  <sortState xmlns:xlrd2="http://schemas.microsoft.com/office/spreadsheetml/2017/richdata2" ref="A382:G382">
    <sortCondition descending="1" ref="G8"/>
  </sortState>
  <tableColumns count="7">
    <tableColumn id="2" xr3:uid="{1377A726-D72E-4879-A9A8-53062CF601F4}" name="Ingrediente" dataDxfId="2368" totalsRowDxfId="2367"/>
    <tableColumn id="3" xr3:uid="{648CFE49-6529-4180-86CE-0894417ED038}" name="Und" dataDxfId="2366" totalsRowDxfId="2365"/>
    <tableColumn id="4" xr3:uid="{FBEFB337-4689-4327-B16E-A15A96FED4EF}" name="Cant." dataDxfId="2364" totalsRowDxfId="2363"/>
    <tableColumn id="1" xr3:uid="{D06F15A8-EC64-4E92-8803-5F056D3283C7}" name="Columna1" dataDxfId="2362" totalsRowDxfId="2361"/>
    <tableColumn id="7" xr3:uid="{E475FBF4-A30D-45EE-9B6B-DBBE5AD7C312}" name="Columna2" dataDxfId="2360" totalsRowDxfId="2359"/>
    <tableColumn id="5" xr3:uid="{9469D36A-147F-4244-B944-57BA88EA6819}" name="Costo" dataDxfId="2358" totalsRowDxfId="2357">
      <calculatedColumnFormula>+VLOOKUP(Tabla1103453454455456479108135149219226227229230233859511913213714039121516[[#This Row],[Ingrediente]],Tabla34[#All],3,0)</calculatedColumnFormula>
    </tableColumn>
    <tableColumn id="6" xr3:uid="{88B01701-B690-40BD-9E73-11F39C9380D0}" name="Total costo" totalsRowFunction="sum" dataDxfId="2356" totalsRowDxfId="2355">
      <calculatedColumnFormula>+Tabla1103453454455456479108135149219226227229230233859511913213714039121516[[#This Row],[Costo]]*Tabla1103453454455456479108135149219226227229230233859511913213714039121516[[#This Row],[Cant.]]</calculatedColumnFormula>
    </tableColumn>
  </tableColumns>
  <tableStyleInfo name="TableStyleLight8" showFirstColumn="0" showLastColumn="0" showRowStripes="1" showColumnStripes="0"/>
</table>
</file>

<file path=xl/tables/table2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B794931-DFD1-43CE-8974-5C094576F966}" name="Tabla110345345445545647910813514921922622722923023385951191321371403912151617" displayName="Tabla110345345445545647910813514921922622722923023385951191321371403912151617" ref="A394:G396" totalsRowCount="1" headerRowDxfId="2354" dataDxfId="2352" totalsRowDxfId="2350" headerRowBorderDxfId="2353" tableBorderDxfId="2351" totalsRowBorderDxfId="2349">
  <autoFilter ref="A394:G395" xr:uid="{FB794931-DFD1-43CE-8974-5C094576F966}"/>
  <sortState xmlns:xlrd2="http://schemas.microsoft.com/office/spreadsheetml/2017/richdata2" ref="A395:G395">
    <sortCondition descending="1" ref="G8"/>
  </sortState>
  <tableColumns count="7">
    <tableColumn id="2" xr3:uid="{0C2890C7-991B-4BE0-9885-376386DE07AB}" name="Ingrediente" dataDxfId="2348" totalsRowDxfId="2347"/>
    <tableColumn id="3" xr3:uid="{856747BE-3BFF-47A4-998C-E22BA6B30214}" name="Und" dataDxfId="2346" totalsRowDxfId="2345"/>
    <tableColumn id="4" xr3:uid="{29431EAD-FC2A-4984-A17C-14CAE881DB7E}" name="Cant." dataDxfId="2344" totalsRowDxfId="2343"/>
    <tableColumn id="1" xr3:uid="{FC944978-A2B4-4DB0-9A18-F9751E68CA20}" name="Columna1" dataDxfId="2342" totalsRowDxfId="2341"/>
    <tableColumn id="7" xr3:uid="{27544CAB-885F-4890-B88F-8AD4BC79AF11}" name="Columna2" dataDxfId="2340" totalsRowDxfId="2339"/>
    <tableColumn id="5" xr3:uid="{61E9A8E9-F098-4C63-BD77-3E6CD9E6B9E1}" name="Costo" dataDxfId="2338" totalsRowDxfId="2337">
      <calculatedColumnFormula>+VLOOKUP(Tabla110345345445545647910813514921922622722923023385951191321371403912151617[[#This Row],[Ingrediente]],Tabla34[#All],3,0)</calculatedColumnFormula>
    </tableColumn>
    <tableColumn id="6" xr3:uid="{73F65CE3-6237-49A1-AD06-A0F4193D8695}" name="Total costo" totalsRowFunction="sum" dataDxfId="2336" totalsRowDxfId="2335">
      <calculatedColumnFormula>+Tabla110345345445545647910813514921922622722923023385951191321371403912151617[[#This Row],[Costo]]*Tabla110345345445545647910813514921922622722923023385951191321371403912151617[[#This Row],[Cant.]]</calculatedColumnFormula>
    </tableColumn>
  </tableColumns>
  <tableStyleInfo name="TableStyleLight8" showFirstColumn="0" showLastColumn="0" showRowStripes="1" showColumnStripes="0"/>
</table>
</file>

<file path=xl/tables/table2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8A9BF0E-EAF7-4937-8978-DD754DC84312}" name="Tabla110345345445545647910813514921922622722923023385951191321371403912151618" displayName="Tabla110345345445545647910813514921922622722923023385951191321371403912151618" ref="A406:G408" totalsRowCount="1" headerRowDxfId="2334" dataDxfId="2332" totalsRowDxfId="2330" headerRowBorderDxfId="2333" tableBorderDxfId="2331" totalsRowBorderDxfId="2329">
  <autoFilter ref="A406:G407" xr:uid="{38A9BF0E-EAF7-4937-8978-DD754DC84312}"/>
  <sortState xmlns:xlrd2="http://schemas.microsoft.com/office/spreadsheetml/2017/richdata2" ref="A407:G407">
    <sortCondition descending="1" ref="G8"/>
  </sortState>
  <tableColumns count="7">
    <tableColumn id="2" xr3:uid="{3F129474-14D5-4B8E-9AA3-57086F7FC7E1}" name="Ingrediente" dataDxfId="2328" totalsRowDxfId="2327"/>
    <tableColumn id="3" xr3:uid="{42BC233F-1CA4-4857-94B3-405951652AE8}" name="Und" dataDxfId="2326" totalsRowDxfId="2325"/>
    <tableColumn id="4" xr3:uid="{AF5735EB-C78C-416B-BC39-636F22D6EAAA}" name="Cant." dataDxfId="2324" totalsRowDxfId="2323"/>
    <tableColumn id="1" xr3:uid="{ACB1F139-495E-4A80-9B81-C50BF5DF07FC}" name="Columna1" dataDxfId="2322" totalsRowDxfId="2321"/>
    <tableColumn id="7" xr3:uid="{288405E6-2D7D-4922-815A-29CD5E8CD7B6}" name="Columna2" dataDxfId="2320" totalsRowDxfId="2319"/>
    <tableColumn id="5" xr3:uid="{031C4F2A-5DB4-44F3-8D82-4BA78BED26DA}" name="Costo" dataDxfId="2318" totalsRowDxfId="2317">
      <calculatedColumnFormula>+VLOOKUP(Tabla110345345445545647910813514921922622722923023385951191321371403912151618[[#This Row],[Ingrediente]],Tabla34[#All],3,0)</calculatedColumnFormula>
    </tableColumn>
    <tableColumn id="6" xr3:uid="{1A607355-8274-43EB-9E64-F2C71B75EF10}" name="Total costo" totalsRowFunction="sum" dataDxfId="2316" totalsRowDxfId="2315">
      <calculatedColumnFormula>+Tabla110345345445545647910813514921922622722923023385951191321371403912151618[[#This Row],[Costo]]*Tabla110345345445545647910813514921922622722923023385951191321371403912151618[[#This Row],[Cant.]]</calculatedColumnFormula>
    </tableColumn>
  </tableColumns>
  <tableStyleInfo name="TableStyleLight8" showFirstColumn="0" showLastColumn="0" showRowStripes="1" showColumnStripes="0"/>
</table>
</file>

<file path=xl/tables/table2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A91BB156-A63B-49AF-A653-533FD9418D51}" name="Tabla110345345445545647910813514921922622722923023385951191321371403912151620" displayName="Tabla110345345445545647910813514921922622722923023385951191321371403912151620" ref="A420:G422" totalsRowCount="1" headerRowDxfId="2314" dataDxfId="2312" totalsRowDxfId="2310" headerRowBorderDxfId="2313" tableBorderDxfId="2311" totalsRowBorderDxfId="2309">
  <autoFilter ref="A420:G421" xr:uid="{A91BB156-A63B-49AF-A653-533FD9418D51}"/>
  <sortState xmlns:xlrd2="http://schemas.microsoft.com/office/spreadsheetml/2017/richdata2" ref="A421:G421">
    <sortCondition descending="1" ref="G8"/>
  </sortState>
  <tableColumns count="7">
    <tableColumn id="2" xr3:uid="{C0EFBA61-84E5-46AA-95FF-CC3E9C496C58}" name="Ingrediente" dataDxfId="2308" totalsRowDxfId="2307"/>
    <tableColumn id="3" xr3:uid="{7475A98B-7C8D-4C39-BC97-89B7FBB5690D}" name="Und" dataDxfId="2306" totalsRowDxfId="2305"/>
    <tableColumn id="4" xr3:uid="{8019DDC5-1D8C-424A-9367-6551CE1B1F4D}" name="Cant." dataDxfId="2304" totalsRowDxfId="2303"/>
    <tableColumn id="1" xr3:uid="{FD83DA77-9E08-4D68-B761-81FDB7974415}" name="Columna1" dataDxfId="2302" totalsRowDxfId="2301"/>
    <tableColumn id="7" xr3:uid="{655CB2E9-F4EE-46F4-8B15-A5BEBEBD1577}" name="Columna2" dataDxfId="2300" totalsRowDxfId="2299"/>
    <tableColumn id="5" xr3:uid="{F61EE384-C23A-402C-A671-85B9C45E64AF}" name="Costo" dataDxfId="2298" totalsRowDxfId="2297">
      <calculatedColumnFormula>+VLOOKUP(Tabla110345345445545647910813514921922622722923023385951191321371403912151620[[#This Row],[Ingrediente]],Tabla34[#All],3,0)</calculatedColumnFormula>
    </tableColumn>
    <tableColumn id="6" xr3:uid="{A791167B-55DD-41A6-B698-AA64A615E78F}" name="Total costo" totalsRowFunction="sum" dataDxfId="2296" totalsRowDxfId="2295">
      <calculatedColumnFormula>+Tabla110345345445545647910813514921922622722923023385951191321371403912151620[[#This Row],[Costo]]*Tabla110345345445545647910813514921922622722923023385951191321371403912151620[[#This Row],[Cant.]]</calculatedColumnFormula>
    </tableColumn>
  </tableColumns>
  <tableStyleInfo name="TableStyleLight8" showFirstColumn="0" showLastColumn="0" showRowStripes="1" showColumnStripes="0"/>
</table>
</file>

<file path=xl/tables/table2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4B2669B1-3AE6-44FC-A740-C9F8D002A39E}" name="Tabla110345345445545647910813514921922622722923023385951191321371403912151629" displayName="Tabla110345345445545647910813514921922622722923023385951191321371403912151629" ref="A432:G434" totalsRowCount="1" headerRowDxfId="2294" dataDxfId="2292" totalsRowDxfId="2290" headerRowBorderDxfId="2293" tableBorderDxfId="2291" totalsRowBorderDxfId="2289">
  <autoFilter ref="A432:G433" xr:uid="{4B2669B1-3AE6-44FC-A740-C9F8D002A39E}"/>
  <sortState xmlns:xlrd2="http://schemas.microsoft.com/office/spreadsheetml/2017/richdata2" ref="A433:G433">
    <sortCondition descending="1" ref="G8"/>
  </sortState>
  <tableColumns count="7">
    <tableColumn id="2" xr3:uid="{62D528CF-FC76-4595-9D95-BE37AC3A394C}" name="Ingrediente" dataDxfId="2288" totalsRowDxfId="2287"/>
    <tableColumn id="3" xr3:uid="{4E155A56-FE9B-4EAC-B3E4-1E15DDBC7FC6}" name="Und" dataDxfId="2286" totalsRowDxfId="2285"/>
    <tableColumn id="4" xr3:uid="{5563AC04-B46A-4237-9FEC-02B3A61F3A1D}" name="Cant." dataDxfId="2284" totalsRowDxfId="2283"/>
    <tableColumn id="1" xr3:uid="{0C2EBCE1-4B3F-43CD-A0C7-9DCFCB1A618C}" name="Columna1" dataDxfId="2282" totalsRowDxfId="2281"/>
    <tableColumn id="7" xr3:uid="{064C25EF-13F8-46C1-B118-5B9A7E173221}" name="Columna2" dataDxfId="2280" totalsRowDxfId="2279"/>
    <tableColumn id="5" xr3:uid="{DA826C5F-C25B-49E4-82C0-66B72DE0078F}" name="Costo" dataDxfId="2278" totalsRowDxfId="2277">
      <calculatedColumnFormula>+VLOOKUP(Tabla110345345445545647910813514921922622722923023385951191321371403912151629[[#This Row],[Ingrediente]],Tabla34[#All],3,0)</calculatedColumnFormula>
    </tableColumn>
    <tableColumn id="6" xr3:uid="{941910D7-8997-46F5-90B7-24EC3AEB32F6}" name="Total costo" totalsRowFunction="sum" dataDxfId="2276" totalsRowDxfId="2275">
      <calculatedColumnFormula>+Tabla110345345445545647910813514921922622722923023385951191321371403912151629[[#This Row],[Costo]]*Tabla110345345445545647910813514921922622722923023385951191321371403912151629[[#This Row],[Cant.]]</calculatedColumnFormula>
    </tableColumn>
  </tableColumns>
  <tableStyleInfo name="TableStyleLight8" showFirstColumn="0" showLastColumn="0" showRowStripes="1" showColumnStripes="0"/>
</table>
</file>

<file path=xl/tables/table2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CA96AFE4-20D5-421B-8CC2-4155B713A205}" name="Tabla11034534544554564791081351492192262272292302338595119132137140391215162930" displayName="Tabla11034534544554564791081351492192262272292302338595119132137140391215162930" ref="A446:G448" totalsRowCount="1" headerRowDxfId="2274" dataDxfId="2272" totalsRowDxfId="2270" headerRowBorderDxfId="2273" tableBorderDxfId="2271" totalsRowBorderDxfId="2269">
  <autoFilter ref="A446:G447" xr:uid="{CA96AFE4-20D5-421B-8CC2-4155B713A205}"/>
  <sortState xmlns:xlrd2="http://schemas.microsoft.com/office/spreadsheetml/2017/richdata2" ref="A447:G447">
    <sortCondition descending="1" ref="G8"/>
  </sortState>
  <tableColumns count="7">
    <tableColumn id="2" xr3:uid="{F75E73A8-60E6-48A4-83AF-6070AFD13B5F}" name="Ingrediente" dataDxfId="2268" totalsRowDxfId="2267"/>
    <tableColumn id="3" xr3:uid="{A54B931B-53C9-4D36-BD1C-DCBB8A2B5E97}" name="Und" dataDxfId="2266" totalsRowDxfId="2265"/>
    <tableColumn id="4" xr3:uid="{587D765F-F1CA-4A68-B0C1-27BE5F555126}" name="Cant." dataDxfId="2264" totalsRowDxfId="2263"/>
    <tableColumn id="1" xr3:uid="{A59DE957-EA8B-4AFB-B807-31493BC8FFAE}" name="Columna1" dataDxfId="2262" totalsRowDxfId="2261"/>
    <tableColumn id="7" xr3:uid="{81A69BDE-698C-4912-8C68-8FF19C1539EE}" name="Columna2" dataDxfId="2260" totalsRowDxfId="2259"/>
    <tableColumn id="5" xr3:uid="{3EA526B7-435D-4323-9562-1B3A1059DEDE}" name="Costo" dataDxfId="2258" totalsRowDxfId="2257">
      <calculatedColumnFormula>+VLOOKUP(Tabla11034534544554564791081351492192262272292302338595119132137140391215162930[[#This Row],[Ingrediente]],Tabla34[#All],3,0)</calculatedColumnFormula>
    </tableColumn>
    <tableColumn id="6" xr3:uid="{164FC423-073E-417C-8FB7-284B66C59C93}" name="Total costo" totalsRowFunction="sum" dataDxfId="2256" totalsRowDxfId="2255">
      <calculatedColumnFormula>+Tabla11034534544554564791081351492192262272292302338595119132137140391215162930[[#This Row],[Costo]]*Tabla11034534544554564791081351492192262272292302338595119132137140391215162930[[#This Row],[Columna2]]</calculatedColumnFormula>
    </tableColumn>
  </tableColumns>
  <tableStyleInfo name="TableStyleLight8" showFirstColumn="0" showLastColumn="0" showRowStripes="1" showColumnStripes="0"/>
</table>
</file>

<file path=xl/tables/table2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30CA1B87-C32F-437E-888E-C5602280DB00}" name="Tabla1103453454455456479108135149219226227229230233859511913213714039121516293032" displayName="Tabla1103453454455456479108135149219226227229230233859511913213714039121516293032" ref="A458:G460" totalsRowCount="1" headerRowDxfId="2254" dataDxfId="2252" totalsRowDxfId="2250" headerRowBorderDxfId="2253" tableBorderDxfId="2251" totalsRowBorderDxfId="2249">
  <autoFilter ref="A458:G459" xr:uid="{30CA1B87-C32F-437E-888E-C5602280DB00}"/>
  <sortState xmlns:xlrd2="http://schemas.microsoft.com/office/spreadsheetml/2017/richdata2" ref="A459:G459">
    <sortCondition descending="1" ref="G8"/>
  </sortState>
  <tableColumns count="7">
    <tableColumn id="2" xr3:uid="{68BCC061-B0A2-4318-9F5B-74ADA7005455}" name="Ingrediente" dataDxfId="2248" totalsRowDxfId="2247"/>
    <tableColumn id="3" xr3:uid="{316FC16D-A5C4-497C-9876-4F0358CC1EDF}" name="Und" dataDxfId="2246" totalsRowDxfId="2245"/>
    <tableColumn id="4" xr3:uid="{D63AF41A-649F-428C-A645-10A3666E1AEC}" name="Cant." dataDxfId="2244" totalsRowDxfId="2243"/>
    <tableColumn id="1" xr3:uid="{43D6013F-73B1-4C68-99E0-C93E7A216884}" name="Columna1" dataDxfId="2242" totalsRowDxfId="2241"/>
    <tableColumn id="7" xr3:uid="{5A3CBD84-6508-4375-B5CE-234E89A2741C}" name="Columna2" dataDxfId="2240" totalsRowDxfId="2239"/>
    <tableColumn id="5" xr3:uid="{04735D77-4E0B-4F54-B5AC-1B1CBE5DB4EB}" name="Costo" dataDxfId="2238" totalsRowDxfId="2237">
      <calculatedColumnFormula>+VLOOKUP(Tabla1103453454455456479108135149219226227229230233859511913213714039121516293032[[#This Row],[Ingrediente]],Tabla34[#All],3,0)</calculatedColumnFormula>
    </tableColumn>
    <tableColumn id="6" xr3:uid="{D789EC91-EA8E-40F8-9445-F80461526145}" name="Total costo" totalsRowFunction="sum" dataDxfId="2236" totalsRowDxfId="2235">
      <calculatedColumnFormula>+Tabla1103453454455456479108135149219226227229230233859511913213714039121516293032[[#This Row],[Costo]]*Tabla1103453454455456479108135149219226227229230233859511913213714039121516293032[[#This Row],[Cant.]]</calculatedColumnFormula>
    </tableColumn>
  </tableColumns>
  <tableStyleInfo name="TableStyleLight8" showFirstColumn="0" showLastColumn="0" showRowStripes="1" showColumnStripes="0"/>
</table>
</file>

<file path=xl/tables/table2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9FFD07A4-635C-434F-93B6-C26D6E965B20}" name="Tabla1103453454455456479108135149219226227229230233859511913213714039121516293033" displayName="Tabla1103453454455456479108135149219226227229230233859511913213714039121516293033" ref="A469:G471" totalsRowCount="1" headerRowDxfId="2234" dataDxfId="2232" totalsRowDxfId="2230" headerRowBorderDxfId="2233" tableBorderDxfId="2231" totalsRowBorderDxfId="2229">
  <autoFilter ref="A469:G470" xr:uid="{9FFD07A4-635C-434F-93B6-C26D6E965B20}"/>
  <sortState xmlns:xlrd2="http://schemas.microsoft.com/office/spreadsheetml/2017/richdata2" ref="A470:G470">
    <sortCondition descending="1" ref="G8"/>
  </sortState>
  <tableColumns count="7">
    <tableColumn id="2" xr3:uid="{EA36C156-BB8C-4373-8E58-CFACEA08C9EF}" name="Ingrediente" dataDxfId="2228" totalsRowDxfId="2227"/>
    <tableColumn id="3" xr3:uid="{4DBF9C64-8A37-4B96-AC68-D0AE0B10AD0B}" name="Und" dataDxfId="2226" totalsRowDxfId="2225"/>
    <tableColumn id="4" xr3:uid="{3A4AE17F-2F1E-4731-9BC7-375E978D120D}" name="Cant." dataDxfId="2224" totalsRowDxfId="2223"/>
    <tableColumn id="1" xr3:uid="{06F89CA5-BA11-4B40-AE33-BBBDB97BD483}" name="Columna1" dataDxfId="2222" totalsRowDxfId="2221"/>
    <tableColumn id="7" xr3:uid="{778564BA-5FB6-4090-A363-EDB1D837222C}" name="Columna2" dataDxfId="2220" totalsRowDxfId="2219"/>
    <tableColumn id="5" xr3:uid="{2FC056CE-1B31-48A7-8938-27287E9D2F9D}" name="Costo" dataDxfId="2218" totalsRowDxfId="2217">
      <calculatedColumnFormula>+VLOOKUP(Tabla1103453454455456479108135149219226227229230233859511913213714039121516293033[[#This Row],[Ingrediente]],Tabla34[#All],3,0)</calculatedColumnFormula>
    </tableColumn>
    <tableColumn id="6" xr3:uid="{1F00BF3B-3EA8-46C7-BF7E-4A0A700136D2}" name="Total costo" totalsRowFunction="sum" dataDxfId="2216" totalsRowDxfId="2215">
      <calculatedColumnFormula>+Tabla1103453454455456479108135149219226227229230233859511913213714039121516293033[[#This Row],[Costo]]*Tabla1103453454455456479108135149219226227229230233859511913213714039121516293033[[#This Row],[Cant.]]</calculatedColumnFormula>
    </tableColumn>
  </tableColumns>
  <tableStyleInfo name="TableStyleLight8" showFirstColumn="0" showLastColumn="0" showRowStripes="1" showColumnStripes="0"/>
</table>
</file>

<file path=xl/tables/table2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6FDA9765-555E-4DBA-A4E1-5C37FAEAF3A2}" name="Tabla1103453454455456479108135149219226227229230233859511913213714039121516293036" displayName="Tabla1103453454455456479108135149219226227229230233859511913213714039121516293036" ref="A480:G487" totalsRowCount="1" headerRowDxfId="2214" dataDxfId="2212" totalsRowDxfId="2210" headerRowBorderDxfId="2213" tableBorderDxfId="2211" totalsRowBorderDxfId="2209">
  <autoFilter ref="A480:G486" xr:uid="{6FDA9765-555E-4DBA-A4E1-5C37FAEAF3A2}"/>
  <sortState xmlns:xlrd2="http://schemas.microsoft.com/office/spreadsheetml/2017/richdata2" ref="A481:G481">
    <sortCondition descending="1" ref="G8"/>
  </sortState>
  <tableColumns count="7">
    <tableColumn id="2" xr3:uid="{16E48C80-C7C4-4F60-AA3E-E267E9669F40}" name="Ingrediente" dataDxfId="2208" totalsRowDxfId="2207"/>
    <tableColumn id="3" xr3:uid="{89DF9B55-F070-4ECD-9226-933D7BF4F865}" name="Und" dataDxfId="2206" totalsRowDxfId="2205"/>
    <tableColumn id="4" xr3:uid="{D27B878F-5AF0-4878-9BEC-1567597508B0}" name="Cant." dataDxfId="2204" totalsRowDxfId="2203"/>
    <tableColumn id="1" xr3:uid="{2F27BB63-7858-4F36-8302-F10831626F62}" name="Columna1" dataDxfId="2202" totalsRowDxfId="2201"/>
    <tableColumn id="7" xr3:uid="{ED93975F-CC95-474C-853F-967D325EF7D1}" name="Columna2" dataDxfId="2200" totalsRowDxfId="2199"/>
    <tableColumn id="5" xr3:uid="{CA7C7D66-1AFD-46D3-BC6A-7D75826118F4}" name="Costo" dataDxfId="2198" totalsRowDxfId="2197">
      <calculatedColumnFormula>+VLOOKUP(Tabla1103453454455456479108135149219226227229230233859511913213714039121516293036[[#This Row],[Ingrediente]],Tabla34[#All],3,0)</calculatedColumnFormula>
    </tableColumn>
    <tableColumn id="6" xr3:uid="{D46B0D3A-1724-4513-8469-722CA6E8CD31}" name="Total costo" totalsRowFunction="sum" dataDxfId="2196" totalsRowDxfId="2195">
      <calculatedColumnFormula>+Tabla1103453454455456479108135149219226227229230233859511913213714039121516293036[[#This Row],[Costo]]*Tabla1103453454455456479108135149219226227229230233859511913213714039121516293036[[#This Row],[Cant.]]</calculatedColumnFormula>
    </tableColumn>
  </tableColumns>
  <tableStyleInfo name="TableStyleLight8" showFirstColumn="0" showLastColumn="0" showRowStripes="1" showColumnStripes="0"/>
</table>
</file>

<file path=xl/tables/table2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2463E3B-4CB3-45C7-8DA4-0E4A6BCD32AA}" name="Tabla110345345445545647910813514921922622722923023385951191321371403912151629303639" displayName="Tabla110345345445545647910813514921922622722923023385951191321371403912151629303639" ref="A492:G495" totalsRowCount="1" headerRowDxfId="2194" dataDxfId="2192" totalsRowDxfId="2190" headerRowBorderDxfId="2193" tableBorderDxfId="2191" totalsRowBorderDxfId="2189">
  <autoFilter ref="A492:G494" xr:uid="{02463E3B-4CB3-45C7-8DA4-0E4A6BCD32AA}"/>
  <sortState xmlns:xlrd2="http://schemas.microsoft.com/office/spreadsheetml/2017/richdata2" ref="A493:G493">
    <sortCondition descending="1" ref="G8"/>
  </sortState>
  <tableColumns count="7">
    <tableColumn id="2" xr3:uid="{EC25A8C5-2CAC-422D-A2DE-AB7FEF41D46F}" name="Ingrediente" dataDxfId="2188" totalsRowDxfId="2187"/>
    <tableColumn id="3" xr3:uid="{4CC2CCD7-CBCD-4DC3-B503-5D6C03DD0E78}" name="Und" dataDxfId="2186" totalsRowDxfId="2185"/>
    <tableColumn id="4" xr3:uid="{9988918A-8F03-4371-B1E8-10E76E7EE3CB}" name="Cant." dataDxfId="2184" totalsRowDxfId="2183"/>
    <tableColumn id="1" xr3:uid="{9ECEE54C-6C2E-47C3-8A4C-3DE897A3BFAB}" name="Columna1" dataDxfId="2182" totalsRowDxfId="2181"/>
    <tableColumn id="7" xr3:uid="{7648754D-BCE3-423A-A638-3DB54AD4FC7F}" name="Columna2" dataDxfId="2180" totalsRowDxfId="2179"/>
    <tableColumn id="5" xr3:uid="{982E5816-87DE-4FCC-B29A-681B4FBCF644}" name="Costo" dataDxfId="2178" totalsRowDxfId="2177">
      <calculatedColumnFormula>+VLOOKUP(Tabla110345345445545647910813514921922622722923023385951191321371403912151629303639[[#This Row],[Ingrediente]],Tabla34[#All],3,0)</calculatedColumnFormula>
    </tableColumn>
    <tableColumn id="6" xr3:uid="{591703A9-0B9A-445B-A8AC-35CE811BB819}" name="Total costo" totalsRowFunction="sum" dataDxfId="2176" totalsRowDxfId="2175">
      <calculatedColumnFormula>+Tabla110345345445545647910813514921922622722923023385951191321371403912151629303639[[#This Row],[Costo]]*Tabla110345345445545647910813514921922622722923023385951191321371403912151629303639[[#This Row],[Cant.]]</calculatedColumnFormula>
    </tableColumn>
  </tableColumns>
  <tableStyleInfo name="TableStyleLight8" showFirstColumn="0" showLastColumn="0" showRowStripes="1" showColumnStripes="0"/>
</table>
</file>

<file path=xl/tables/table2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CDABAD17-D334-414C-B159-20C756900BA5}" name="Tabla77" displayName="Tabla77" ref="A5:H283" totalsRowShown="0" headerRowDxfId="2174" dataDxfId="2172" totalsRowDxfId="2170" headerRowBorderDxfId="2173" tableBorderDxfId="2171" totalsRowBorderDxfId="2169" headerRowCellStyle="Moneda" dataCellStyle="Moneda">
  <autoFilter ref="A5:H283" xr:uid="{CDABAD17-D334-414C-B159-20C756900BA5}">
    <filterColumn colId="0">
      <filters>
        <filter val="CHAUFA DE CAMARONES"/>
      </filters>
    </filterColumn>
  </autoFilter>
  <sortState xmlns:xlrd2="http://schemas.microsoft.com/office/spreadsheetml/2017/richdata2" ref="A6:H283">
    <sortCondition descending="1" ref="G7:G283"/>
  </sortState>
  <tableColumns count="8">
    <tableColumn id="1" xr3:uid="{9235746B-61BD-4C6A-9E59-D2C29AB4443F}" name="ArtÃ­culo" dataDxfId="2168" totalsRowDxfId="2167"/>
    <tableColumn id="2" xr3:uid="{E2F61923-BBCF-45E8-9D16-729642700F5D}" name="Familia" dataDxfId="2166" totalsRowDxfId="2165"/>
    <tableColumn id="3" xr3:uid="{BCB48A22-A501-458C-9450-EA1B2F62539B}" name="Suma de Uds.V" dataDxfId="2164" totalsRowDxfId="2163"/>
    <tableColumn id="4" xr3:uid="{3B4F1313-8845-457C-AB64-E1465EE00C1A}" name="Suma de Base" dataDxfId="2162" totalsRowDxfId="2161" dataCellStyle="Moneda"/>
    <tableColumn id="5" xr3:uid="{20A2AAFF-C6A8-4E84-AC3B-008384DAA18F}" name="Suma de Impuestos" dataDxfId="2160" totalsRowDxfId="2159" dataCellStyle="Moneda"/>
    <tableColumn id="6" xr3:uid="{6EA57361-E90B-4C31-8C22-980AF995F8F3}" name="Suma de Neto" dataDxfId="2158" totalsRowDxfId="2157" dataCellStyle="Moneda"/>
    <tableColumn id="7" xr3:uid="{99C2FF04-9919-4863-B31A-86266933426D}" name="Participacion %" dataDxfId="2156" totalsRowDxfId="2155" dataCellStyle="Porcentaje">
      <calculatedColumnFormula>+Tabla77[[#This Row],[Suma de Neto]]/Tabla77[[#Totals],[Suma de Neto]]</calculatedColumnFormula>
    </tableColumn>
    <tableColumn id="8" xr3:uid="{68EADA63-17F0-439C-A96D-0B7C2EA90E3C}" name="Rotacion" dataDxfId="2154" totalsRowDxfId="2153" dataCellStyle="Porcentaje" totalsRowCellStyle="Porcentaje">
      <calculatedColumnFormula>+Tabla77[[#This Row],[Suma de Uds.V]]/Tabla77[[#Totals],[Suma de Uds.V]]</calculatedColumnFormula>
    </tableColumn>
  </tableColumns>
  <tableStyleInfo name="TableStyleLight8" showFirstColumn="0" showLastColumn="0" showRowStripes="1" showColumnStripes="0"/>
</table>
</file>

<file path=xl/tables/table2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6" xr:uid="{9136C5E7-09D8-4CA7-A7FF-A5225FE47E14}" name="Tabla11034534544554564791081351121722993063164246276207" displayName="Tabla11034534544554564791081351121722993063164246276207" ref="B7:F9" totalsRowCount="1" headerRowDxfId="2152" dataDxfId="2150" totalsRowDxfId="2148" headerRowBorderDxfId="2151" tableBorderDxfId="2149" totalsRowBorderDxfId="2147">
  <autoFilter ref="B7:F8" xr:uid="{78BE3A0D-ECA7-47BB-B29F-2C3C5A2344BE}"/>
  <sortState xmlns:xlrd2="http://schemas.microsoft.com/office/spreadsheetml/2017/richdata2" ref="B8:F8">
    <sortCondition descending="1" ref="F8"/>
  </sortState>
  <tableColumns count="5">
    <tableColumn id="2" xr3:uid="{202FC9BA-C088-49F2-A8AD-CD56EF3C9C0C}" name="Ingrediente" dataDxfId="2146" totalsRowDxfId="2145"/>
    <tableColumn id="3" xr3:uid="{4F5922AF-38A1-4146-9D1D-D529111E9B8B}" name="Und" dataDxfId="2144" totalsRowDxfId="2143"/>
    <tableColumn id="4" xr3:uid="{3B46F67E-A62A-4300-B0A0-3A8E74581FF6}" name="Cant." dataDxfId="2142" totalsRowDxfId="2141"/>
    <tableColumn id="5" xr3:uid="{4A48F1F0-EE4B-422A-9799-DA1BEDEEA50B}" name="Costo" dataDxfId="2140" totalsRowDxfId="2139" dataCellStyle="Moneda">
      <calculatedColumnFormula>+VLOOKUP(Tabla11034534544554564791081351121722993063164246276207[[#This Row],[Ingrediente]],Tabla34[#All],3,0)</calculatedColumnFormula>
    </tableColumn>
    <tableColumn id="6" xr3:uid="{07CFC22E-0DA8-45D3-8EAA-1ED2494D03F7}" name="Total costo" totalsRowFunction="sum" dataDxfId="2138" totalsRowDxfId="2137" dataCellStyle="Moneda">
      <calculatedColumnFormula>+Tabla11034534544554564791081351121722993063164246276207[[#This Row],[Costo]]*Tabla11034534544554564791081351121722993063164246276207[[#This Row],[Cant.]]</calculatedColumnFormula>
    </tableColumn>
  </tableColumns>
  <tableStyleInfo name="TableStyleLight8" showFirstColumn="0" showLastColumn="0" showRowStripes="1" showColumnStripes="0"/>
</table>
</file>

<file path=xl/tables/table2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7" xr:uid="{A91BB0DD-6CE2-45DD-B9E7-5AE1D086D49C}" name="Tabla11034534544554564791081351121722993063164246276207328" displayName="Tabla11034534544554564791081351121722993063164246276207328" ref="B20:F22" totalsRowCount="1" headerRowDxfId="2136" dataDxfId="2134" totalsRowDxfId="2132" headerRowBorderDxfId="2135" tableBorderDxfId="2133" totalsRowBorderDxfId="2131">
  <autoFilter ref="B20:F21" xr:uid="{E85C5BFF-01A4-41F1-BA6D-6A2383904429}"/>
  <sortState xmlns:xlrd2="http://schemas.microsoft.com/office/spreadsheetml/2017/richdata2" ref="B21:F21">
    <sortCondition descending="1" ref="F8"/>
  </sortState>
  <tableColumns count="5">
    <tableColumn id="2" xr3:uid="{173288A0-F351-4986-86DA-5B2EC3FCF5F6}" name="Ingrediente" dataDxfId="2130" totalsRowDxfId="2129"/>
    <tableColumn id="3" xr3:uid="{C7C81DFC-F5E1-440A-80C5-E68F57D89E09}" name="Und" dataDxfId="2128" totalsRowDxfId="2127"/>
    <tableColumn id="4" xr3:uid="{533BE6E0-6F13-465F-8F56-B9DF04A2F656}" name="Cant." dataDxfId="2126" totalsRowDxfId="2125"/>
    <tableColumn id="5" xr3:uid="{AE42E834-1275-4AF9-86F5-90D82968E356}" name="Costo" dataDxfId="2124" totalsRowDxfId="2123" dataCellStyle="Moneda">
      <calculatedColumnFormula>+VLOOKUP(Tabla11034534544554564791081351121722993063164246276207328[[#This Row],[Ingrediente]],Tabla34[#All],3,0)</calculatedColumnFormula>
    </tableColumn>
    <tableColumn id="6" xr3:uid="{FBF3FE87-BA23-4905-B14A-22EE1066CD54}" name="Total costo" totalsRowFunction="sum" dataDxfId="2122" totalsRowDxfId="2121" dataCellStyle="Moneda">
      <calculatedColumnFormula>+Tabla11034534544554564791081351121722993063164246276207328[[#This Row],[Costo]]*Tabla11034534544554564791081351121722993063164246276207328[[#This Row],[Cant.]]</calculatedColumnFormula>
    </tableColumn>
  </tableColumns>
  <tableStyleInfo name="TableStyleLight8" showFirstColumn="0" showLastColumn="0" showRowStripes="1" showColumnStripes="0"/>
</table>
</file>

<file path=xl/tables/table2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3" xr:uid="{F3E2145B-8B05-486C-B48B-7C818BAD03BE}" name="Tabla11034534544554564791081351121722993063164246276207334" displayName="Tabla11034534544554564791081351121722993063164246276207334" ref="B31:F33" totalsRowCount="1" headerRowDxfId="2120" dataDxfId="2118" totalsRowDxfId="2116" headerRowBorderDxfId="2119" tableBorderDxfId="2117" totalsRowBorderDxfId="2115">
  <autoFilter ref="B31:F32" xr:uid="{569BF817-92DE-4246-BFFC-ABF59A9AD89A}"/>
  <sortState xmlns:xlrd2="http://schemas.microsoft.com/office/spreadsheetml/2017/richdata2" ref="B32:F32">
    <sortCondition descending="1" ref="F8"/>
  </sortState>
  <tableColumns count="5">
    <tableColumn id="2" xr3:uid="{5976B4B0-E56C-45DC-8CF3-7E1F8537C469}" name="Ingrediente" dataDxfId="2114" totalsRowDxfId="2113"/>
    <tableColumn id="3" xr3:uid="{023B4995-A89A-42C0-877B-07E52072A588}" name="Und" dataDxfId="2112" totalsRowDxfId="2111"/>
    <tableColumn id="4" xr3:uid="{6BAAA7D7-F2C9-4F57-9CC3-32D336E2C9AF}" name="Cant." dataDxfId="2110" totalsRowDxfId="2109"/>
    <tableColumn id="5" xr3:uid="{F0475E17-CF4D-4596-ABB1-57335B4CE85B}" name="Costo" dataDxfId="2108" totalsRowDxfId="2107" dataCellStyle="Moneda">
      <calculatedColumnFormula>+VLOOKUP(Tabla11034534544554564791081351121722993063164246276207334[[#This Row],[Ingrediente]],Tabla34[#All],3,0)</calculatedColumnFormula>
    </tableColumn>
    <tableColumn id="6" xr3:uid="{01FCB08C-FD0C-4E8A-BDDE-07DF6426CD2B}" name="Total costo" totalsRowFunction="sum" dataDxfId="2106" totalsRowDxfId="2105" dataCellStyle="Moneda">
      <calculatedColumnFormula>+Tabla11034534544554564791081351121722993063164246276207334[[#This Row],[Costo]]*Tabla11034534544554564791081351121722993063164246276207334[[#This Row],[Cant.]]</calculatedColumnFormula>
    </tableColumn>
  </tableColumns>
  <tableStyleInfo name="TableStyleLight8" showFirstColumn="0" showLastColumn="0" showRowStripes="1" showColumnStripes="0"/>
</table>
</file>

<file path=xl/tables/table2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5" xr:uid="{56FC678C-75CD-4827-9144-40053E63FEDC}" name="Tabla11034534544554564791081351121722993063164246276" displayName="Tabla11034534544554564791081351121722993063164246276" ref="B7:F9" totalsRowCount="1" headerRowDxfId="2104" dataDxfId="2102" totalsRowDxfId="2100" headerRowBorderDxfId="2103" tableBorderDxfId="2101" totalsRowBorderDxfId="2099">
  <autoFilter ref="B7:F8" xr:uid="{78BE3A0D-ECA7-47BB-B29F-2C3C5A2344BE}"/>
  <sortState xmlns:xlrd2="http://schemas.microsoft.com/office/spreadsheetml/2017/richdata2" ref="B8:F8">
    <sortCondition descending="1" ref="F8"/>
  </sortState>
  <tableColumns count="5">
    <tableColumn id="2" xr3:uid="{D8BDAC48-A3A8-423C-948E-6A776029FE57}" name="Ingrediente" dataDxfId="2098" totalsRowDxfId="2097"/>
    <tableColumn id="3" xr3:uid="{CE754240-D7B2-4251-9988-F13135A90F4B}" name="Und" dataDxfId="2096" totalsRowDxfId="2095"/>
    <tableColumn id="4" xr3:uid="{C253803B-DF9C-4009-BB03-8486E4146A15}" name="Cant." dataDxfId="2094" totalsRowDxfId="2093"/>
    <tableColumn id="5" xr3:uid="{222D6BFD-6153-498F-AE8E-30EA2D0B5FAD}" name="Costo" dataDxfId="2092" totalsRowDxfId="2091" dataCellStyle="Moneda">
      <calculatedColumnFormula>+VLOOKUP(Tabla11034534544554564791081351121722993063164246276[[#This Row],[Ingrediente]],Tabla34[#All],3,0)</calculatedColumnFormula>
    </tableColumn>
    <tableColumn id="6" xr3:uid="{9A6BBC72-4CD9-4AC7-8ED1-B1A9E88BCB9A}" name="Total costo" totalsRowFunction="sum" dataDxfId="2090" totalsRowDxfId="2089" dataCellStyle="Moneda">
      <calculatedColumnFormula>+Tabla11034534544554564791081351121722993063164246276[[#This Row],[Costo]]*Tabla11034534544554564791081351121722993063164246276[[#This Row],[Cant.]]</calculatedColumnFormula>
    </tableColumn>
  </tableColumns>
  <tableStyleInfo name="TableStyleLight8" showFirstColumn="0" showLastColumn="0" showRowStripes="1" showColumnStripes="0"/>
</table>
</file>

<file path=xl/tables/table2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4" xr:uid="{2FABC06C-48CE-4F64-970B-E032195DD0E8}" name="Tabla11034534544554564791081351121722993063164246276275" displayName="Tabla11034534544554564791081351121722993063164246276275" ref="B21:F23" totalsRowCount="1" headerRowDxfId="2088" dataDxfId="2086" totalsRowDxfId="2084" headerRowBorderDxfId="2087" tableBorderDxfId="2085" totalsRowBorderDxfId="2083">
  <autoFilter ref="B21:F22" xr:uid="{8A7CB222-1AFC-4E0B-94FF-5E67C6BDD544}"/>
  <sortState xmlns:xlrd2="http://schemas.microsoft.com/office/spreadsheetml/2017/richdata2" ref="B22:F22">
    <sortCondition descending="1" ref="F8"/>
  </sortState>
  <tableColumns count="5">
    <tableColumn id="2" xr3:uid="{286B2E41-E789-44DB-9B96-399B83903D50}" name="Ingrediente" dataDxfId="2082" totalsRowDxfId="2081"/>
    <tableColumn id="3" xr3:uid="{A6EF5B86-138D-4D9B-A304-4F3C9483B27B}" name="Und" dataDxfId="2080" totalsRowDxfId="2079"/>
    <tableColumn id="4" xr3:uid="{C8D012B7-CBA5-458A-8B01-0692BC224B95}" name="Cant." dataDxfId="2078" totalsRowDxfId="2077"/>
    <tableColumn id="5" xr3:uid="{A4CE21C8-0EFE-4EC2-B821-41C9B6E0C020}" name="Costo" dataDxfId="2076" totalsRowDxfId="2075" dataCellStyle="Moneda">
      <calculatedColumnFormula>+VLOOKUP(Tabla11034534544554564791081351121722993063164246276275[[#This Row],[Ingrediente]],Tabla34[#All],3,0)</calculatedColumnFormula>
    </tableColumn>
    <tableColumn id="6" xr3:uid="{6E14C0A0-4A6F-4A90-A79D-F5CFAB81A59A}" name="Total costo" totalsRowFunction="sum" dataDxfId="2074" totalsRowDxfId="2073" dataCellStyle="Moneda">
      <calculatedColumnFormula>+Tabla11034534544554564791081351121722993063164246276275[[#This Row],[Costo]]*Tabla11034534544554564791081351121722993063164246276275[[#This Row],[Cant.]]</calculatedColumnFormula>
    </tableColumn>
  </tableColumns>
  <tableStyleInfo name="TableStyleLight8" showFirstColumn="0" showLastColumn="0" showRowStripes="1" showColumnStripes="0"/>
</table>
</file>

<file path=xl/tables/table2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6" xr:uid="{29E7FDFA-91A5-4B58-A689-40E4D9D8F431}" name="Tabla11034534544554564791081351121722993063164246276275277" displayName="Tabla11034534544554564791081351121722993063164246276275277" ref="B34:F36" totalsRowCount="1" headerRowDxfId="2072" dataDxfId="2070" totalsRowDxfId="2068" headerRowBorderDxfId="2071" tableBorderDxfId="2069" totalsRowBorderDxfId="2067">
  <autoFilter ref="B34:F35" xr:uid="{C5D6A741-CA9A-4E95-8DCF-9C0B7DD14469}"/>
  <sortState xmlns:xlrd2="http://schemas.microsoft.com/office/spreadsheetml/2017/richdata2" ref="B35:F35">
    <sortCondition descending="1" ref="F8"/>
  </sortState>
  <tableColumns count="5">
    <tableColumn id="2" xr3:uid="{2C733E30-3EE6-49BA-88A8-4E3EF62155C8}" name="Ingrediente" dataDxfId="2066" totalsRowDxfId="2065"/>
    <tableColumn id="3" xr3:uid="{35F7ADFB-5043-4440-95CF-6142A4859D3C}" name="Und" dataDxfId="2064" totalsRowDxfId="2063"/>
    <tableColumn id="4" xr3:uid="{8FCDA72D-9E1D-45EA-8A44-077EE76B9865}" name="Cant." dataDxfId="2062" totalsRowDxfId="2061"/>
    <tableColumn id="5" xr3:uid="{F033EC40-CC66-4854-A50D-CA40909F3465}" name="Costo" dataDxfId="2060" totalsRowDxfId="2059" dataCellStyle="Moneda">
      <calculatedColumnFormula>+VLOOKUP(Tabla11034534544554564791081351121722993063164246276275277[[#This Row],[Ingrediente]],Tabla34[#All],3,0)</calculatedColumnFormula>
    </tableColumn>
    <tableColumn id="6" xr3:uid="{E5DEA866-4B48-4FFD-8292-23B4BDF403CA}" name="Total costo" totalsRowFunction="sum" dataDxfId="2058" totalsRowDxfId="2057" dataCellStyle="Moneda">
      <calculatedColumnFormula>+Tabla11034534544554564791081351121722993063164246276275277[[#This Row],[Costo]]*Tabla11034534544554564791081351121722993063164246276275277[[#This Row],[Cant.]]</calculatedColumnFormula>
    </tableColumn>
  </tableColumns>
  <tableStyleInfo name="TableStyleLight8" showFirstColumn="0" showLastColumn="0" showRowStripes="1" showColumnStripes="0"/>
</table>
</file>

<file path=xl/tables/table2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7" xr:uid="{78852730-3E18-45CC-8E68-7BCA710A1833}" name="Tabla11034534544554564791081351121722993063164246276275278" displayName="Tabla11034534544554564791081351121722993063164246276275278" ref="B46:F48" totalsRowCount="1" headerRowDxfId="2056" dataDxfId="2054" totalsRowDxfId="2052" headerRowBorderDxfId="2055" tableBorderDxfId="2053" totalsRowBorderDxfId="2051">
  <autoFilter ref="B46:F47" xr:uid="{80E9B0A9-8E49-45C0-BBD9-98DDA6AA0923}"/>
  <sortState xmlns:xlrd2="http://schemas.microsoft.com/office/spreadsheetml/2017/richdata2" ref="B47:F47">
    <sortCondition descending="1" ref="F8"/>
  </sortState>
  <tableColumns count="5">
    <tableColumn id="2" xr3:uid="{88D94467-9DE7-4B61-B344-82CD17BD0965}" name="Ingrediente" dataDxfId="2050" totalsRowDxfId="2049"/>
    <tableColumn id="3" xr3:uid="{6F71F2F7-65C7-42D7-A9DD-56A5B8B5872C}" name="Und" dataDxfId="2048" totalsRowDxfId="2047"/>
    <tableColumn id="4" xr3:uid="{CCA08612-E8FE-45DC-B8B3-514D5E270A91}" name="Cant." dataDxfId="2046" totalsRowDxfId="2045"/>
    <tableColumn id="5" xr3:uid="{EA74CC40-59FE-45C9-AB35-7C7EFF00D3CF}" name="Costo" dataDxfId="2044" totalsRowDxfId="2043" dataCellStyle="Moneda">
      <calculatedColumnFormula>+VLOOKUP(Tabla11034534544554564791081351121722993063164246276275278[[#This Row],[Ingrediente]],Tabla34[#All],3,0)</calculatedColumnFormula>
    </tableColumn>
    <tableColumn id="6" xr3:uid="{AD43E429-BD21-45BA-B0BE-66435FADCBAA}" name="Total costo" totalsRowFunction="sum" dataDxfId="2042" totalsRowDxfId="2041" dataCellStyle="Moneda">
      <calculatedColumnFormula>+Tabla11034534544554564791081351121722993063164246276275278[[#This Row],[Costo]]*Tabla11034534544554564791081351121722993063164246276275278[[#This Row],[Cant.]]</calculatedColumnFormula>
    </tableColumn>
  </tableColumns>
  <tableStyleInfo name="TableStyleLight8" showFirstColumn="0" showLastColumn="0" showRowStripes="1" showColumnStripes="0"/>
</table>
</file>

<file path=xl/tables/table2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8" xr:uid="{8F83DE08-D200-454B-B87A-A68A18712902}" name="Tabla11034534544554564791081351121722993063164246276275279" displayName="Tabla11034534544554564791081351121722993063164246276275279" ref="B58:F60" totalsRowCount="1" headerRowDxfId="2040" dataDxfId="2038" totalsRowDxfId="2036" headerRowBorderDxfId="2039" tableBorderDxfId="2037" totalsRowBorderDxfId="2035">
  <autoFilter ref="B58:F59" xr:uid="{56BC1DA6-9566-41EA-87B9-9253D4979C95}"/>
  <sortState xmlns:xlrd2="http://schemas.microsoft.com/office/spreadsheetml/2017/richdata2" ref="B59:F59">
    <sortCondition descending="1" ref="F8"/>
  </sortState>
  <tableColumns count="5">
    <tableColumn id="2" xr3:uid="{983F07ED-E29F-46E1-A0D9-1F65E7489774}" name="Ingrediente" dataDxfId="2034" totalsRowDxfId="2033"/>
    <tableColumn id="3" xr3:uid="{1675716A-B796-44D1-99BF-186CFCD3936D}" name="Und" dataDxfId="2032" totalsRowDxfId="2031"/>
    <tableColumn id="4" xr3:uid="{E9A7F538-FEAD-420F-975F-C2AA2657E0C6}" name="Cant." dataDxfId="2030" totalsRowDxfId="2029"/>
    <tableColumn id="5" xr3:uid="{B5C452B7-4939-423E-A065-6E77F99ECB12}" name="Costo" dataDxfId="2028" totalsRowDxfId="2027" dataCellStyle="Moneda">
      <calculatedColumnFormula>+VLOOKUP(Tabla11034534544554564791081351121722993063164246276275279[[#This Row],[Ingrediente]],Tabla34[#All],3,0)</calculatedColumnFormula>
    </tableColumn>
    <tableColumn id="6" xr3:uid="{203F4276-2A66-476E-BE8F-3540BA2C88AE}" name="Total costo" totalsRowFunction="sum" dataDxfId="2026" totalsRowDxfId="2025" dataCellStyle="Moneda">
      <calculatedColumnFormula>+Tabla11034534544554564791081351121722993063164246276275279[[#This Row],[Costo]]*Tabla11034534544554564791081351121722993063164246276275279[[#This Row],[Cant.]]</calculatedColumnFormula>
    </tableColumn>
  </tableColumns>
  <tableStyleInfo name="TableStyleLight8" showFirstColumn="0" showLastColumn="0" showRowStripes="1" showColumnStripes="0"/>
</table>
</file>

<file path=xl/tables/table2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9" xr:uid="{0986F568-2717-4A40-883A-38F2DEA1486F}" name="Tabla11034534544554564791081351121722993063164246276275280" displayName="Tabla11034534544554564791081351121722993063164246276275280" ref="B70:F72" totalsRowCount="1" headerRowDxfId="2024" dataDxfId="2022" totalsRowDxfId="2020" headerRowBorderDxfId="2023" tableBorderDxfId="2021" totalsRowBorderDxfId="2019">
  <autoFilter ref="B70:F71" xr:uid="{9227C817-A236-44E1-9A16-3E70AD8FDC90}"/>
  <sortState xmlns:xlrd2="http://schemas.microsoft.com/office/spreadsheetml/2017/richdata2" ref="B71:F71">
    <sortCondition descending="1" ref="F8"/>
  </sortState>
  <tableColumns count="5">
    <tableColumn id="2" xr3:uid="{E0957CEF-F622-4909-A11B-35EF52D45B80}" name="Ingrediente" dataDxfId="2018" totalsRowDxfId="2017"/>
    <tableColumn id="3" xr3:uid="{72B9D611-CF39-4333-887F-7C52319846F2}" name="Und" dataDxfId="2016" totalsRowDxfId="2015"/>
    <tableColumn id="4" xr3:uid="{49574124-4B2A-45AB-AA78-39A401B4F412}" name="Cant." dataDxfId="2014" totalsRowDxfId="2013"/>
    <tableColumn id="5" xr3:uid="{23BE950E-30CB-4DE6-8946-D50C2DE4D869}" name="Costo" dataDxfId="2012" totalsRowDxfId="2011" dataCellStyle="Moneda">
      <calculatedColumnFormula>+VLOOKUP(Tabla11034534544554564791081351121722993063164246276275280[[#This Row],[Ingrediente]],Tabla34[#All],3,0)</calculatedColumnFormula>
    </tableColumn>
    <tableColumn id="6" xr3:uid="{8A1EED97-E31E-4102-9A41-9E3065BB8D2F}" name="Total costo" totalsRowFunction="sum" dataDxfId="2010" totalsRowDxfId="2009" dataCellStyle="Moneda">
      <calculatedColumnFormula>+Tabla11034534544554564791081351121722993063164246276275280[[#This Row],[Costo]]*Tabla11034534544554564791081351121722993063164246276275280[[#This Row],[Cant.]]</calculatedColumnFormula>
    </tableColumn>
  </tableColumns>
  <tableStyleInfo name="TableStyleLight8" showFirstColumn="0" showLastColumn="0" showRowStripes="1" showColumnStripes="0"/>
</table>
</file>

<file path=xl/tables/table2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F2D8117C-6740-4BAB-90C8-2ECD8755849F}" name="Tabla11034534544554564791081291361183842" displayName="Tabla11034534544554564791081291361183842" ref="A7:G9" totalsRowCount="1" headerRowDxfId="2008" dataDxfId="2006" totalsRowDxfId="2004" headerRowBorderDxfId="2007" tableBorderDxfId="2005" totalsRowBorderDxfId="2003">
  <autoFilter ref="A7:G8" xr:uid="{F2D8117C-6740-4BAB-90C8-2ECD8755849F}"/>
  <tableColumns count="7">
    <tableColumn id="2" xr3:uid="{256BDD13-BDDA-444B-9E3E-CF7F22AF1FBB}" name="Ingrediente" dataDxfId="2002" totalsRowDxfId="2001"/>
    <tableColumn id="3" xr3:uid="{6E2F3F0D-9A1A-410F-B30B-D5C2E99CDCC8}" name="Und" dataDxfId="2000" totalsRowDxfId="1999"/>
    <tableColumn id="4" xr3:uid="{19E759B5-D3D2-4DE8-8D64-FA2FCD9C0576}" name="Unidades Netas" dataDxfId="1998" totalsRowDxfId="1997"/>
    <tableColumn id="7" xr3:uid="{C4B0703C-2614-46F0-8AD1-BA7728B5B19B}" name="% Merma" dataDxfId="1996" totalsRowDxfId="1995"/>
    <tableColumn id="1" xr3:uid="{0116FFBE-40C5-4FED-AC36-6FD16DD68DDB}" name="Unidades" dataDxfId="1994" totalsRowDxfId="1993"/>
    <tableColumn id="5" xr3:uid="{84FA9E1A-006C-4F54-98BB-39832D1A9B82}" name="Costo" dataDxfId="1992" totalsRowDxfId="1991" dataCellStyle="Moneda">
      <calculatedColumnFormula>+VLOOKUP(Tabla11034534544554564791081291361183842[[#This Row],[Ingrediente]],Tabla34[#All],3,0)</calculatedColumnFormula>
    </tableColumn>
    <tableColumn id="6" xr3:uid="{DCA14FF3-F114-4E0C-831D-6736D1D2D6DE}" name="Total costo" totalsRowFunction="sum" dataDxfId="1990" totalsRowDxfId="1989" dataCellStyle="Moneda">
      <calculatedColumnFormula>+Tabla11034534544554564791081291361183842[[#This Row],[Costo]]*Tabla11034534544554564791081291361183842[[#This Row],[Unidades]]</calculatedColumnFormula>
    </tableColumn>
  </tableColumns>
  <tableStyleInfo name="TableStyleLight8" showFirstColumn="0" showLastColumn="0" showRowStripes="1" showColumnStripes="0"/>
</table>
</file>

<file path=xl/tables/table2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F8AA77E1-C1D6-4E04-9064-2D9670BF8844}" name="Tabla1103453454455456479108129136118384243" displayName="Tabla1103453454455456479108129136118384243" ref="A20:G22" totalsRowCount="1" headerRowDxfId="1988" dataDxfId="1986" totalsRowDxfId="1984" headerRowBorderDxfId="1987" tableBorderDxfId="1985" totalsRowBorderDxfId="1983">
  <autoFilter ref="A20:G21" xr:uid="{F8AA77E1-C1D6-4E04-9064-2D9670BF8844}"/>
  <tableColumns count="7">
    <tableColumn id="2" xr3:uid="{31BB1FA5-E34F-48CB-9CC8-F833FB9437C1}" name="Ingrediente" dataDxfId="1982" totalsRowDxfId="1981"/>
    <tableColumn id="3" xr3:uid="{F53A1604-DE64-49CB-9051-8CBA078E475A}" name="Und" dataDxfId="1980" totalsRowDxfId="1979"/>
    <tableColumn id="4" xr3:uid="{91547E98-D5A6-4220-86C5-FB5EAE59D612}" name="Unidades Netas" dataDxfId="1978" totalsRowDxfId="1977"/>
    <tableColumn id="7" xr3:uid="{6957E1A5-FA57-47DC-BBDB-3C8D70CBE9CB}" name="% Merma" dataDxfId="1976" totalsRowDxfId="1975"/>
    <tableColumn id="1" xr3:uid="{91F90B0C-3869-428E-A606-F1D9AE8895BD}" name="Unidades" dataDxfId="1974" totalsRowDxfId="1973"/>
    <tableColumn id="5" xr3:uid="{8829A24B-681E-4281-A72D-48C1501BF83C}" name="Costo" dataDxfId="1972" totalsRowDxfId="1971" dataCellStyle="Moneda">
      <calculatedColumnFormula>+VLOOKUP(Tabla1103453454455456479108129136118384243[[#This Row],[Ingrediente]],Tabla34[#All],3,0)</calculatedColumnFormula>
    </tableColumn>
    <tableColumn id="6" xr3:uid="{D04E755F-370B-4980-9595-E7F5565899EC}" name="Total costo" totalsRowFunction="sum" dataDxfId="1970" totalsRowDxfId="1969" dataCellStyle="Moneda">
      <calculatedColumnFormula>+Tabla1103453454455456479108129136118384243[[#This Row],[Costo]]*Tabla1103453454455456479108129136118384243[[#This Row],[Unidades]]</calculatedColumnFormula>
    </tableColumn>
  </tableColumns>
  <tableStyleInfo name="TableStyleLight8" showFirstColumn="0" showLastColumn="0" showRowStripes="1" showColumnStripes="0"/>
</table>
</file>

<file path=xl/tables/table2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BEB2D637-8066-4572-B6F8-405CE8DE4F3D}" name="Tabla1103453454455456479108129136118384244" displayName="Tabla1103453454455456479108129136118384244" ref="A32:G34" totalsRowCount="1" headerRowDxfId="1968" dataDxfId="1966" totalsRowDxfId="1964" headerRowBorderDxfId="1967" tableBorderDxfId="1965" totalsRowBorderDxfId="1963">
  <autoFilter ref="A32:G33" xr:uid="{BEB2D637-8066-4572-B6F8-405CE8DE4F3D}"/>
  <tableColumns count="7">
    <tableColumn id="2" xr3:uid="{5700A283-C36C-47ED-A950-A6CFB71B41E8}" name="Ingrediente" dataDxfId="1962" totalsRowDxfId="1961"/>
    <tableColumn id="3" xr3:uid="{039D111B-6A5D-4174-A30E-1081AD041492}" name="Und" dataDxfId="1960" totalsRowDxfId="1959"/>
    <tableColumn id="4" xr3:uid="{CADAF6B1-364E-4FE9-A5D8-4A14878E6AEC}" name="Unidades Netas" dataDxfId="1958" totalsRowDxfId="1957"/>
    <tableColumn id="7" xr3:uid="{3C5823EA-7A9D-4E66-A891-50A3D9490BBE}" name="% Merma" dataDxfId="1956" totalsRowDxfId="1955"/>
    <tableColumn id="1" xr3:uid="{6FA2CE31-8C1C-4D97-B7A0-4B6C384A8FB4}" name="Unidades" dataDxfId="1954" totalsRowDxfId="1953"/>
    <tableColumn id="5" xr3:uid="{38B6F76E-B51A-4310-A5A1-ADFD429CEEBA}" name="Costo" dataDxfId="1952" totalsRowDxfId="1951" dataCellStyle="Moneda">
      <calculatedColumnFormula>+VLOOKUP(Tabla1103453454455456479108129136118384244[[#This Row],[Ingrediente]],Tabla34[#All],3,0)</calculatedColumnFormula>
    </tableColumn>
    <tableColumn id="6" xr3:uid="{844121A4-5E85-4E4F-9456-94FD8F533533}" name="Total costo" totalsRowFunction="sum" dataDxfId="1950" totalsRowDxfId="1949" dataCellStyle="Moneda">
      <calculatedColumnFormula>+Tabla1103453454455456479108129136118384244[[#This Row],[Costo]]*Tabla1103453454455456479108129136118384244[[#This Row],[Unidades]]</calculatedColumnFormula>
    </tableColumn>
  </tableColumns>
  <tableStyleInfo name="TableStyleLight8" showFirstColumn="0" showLastColumn="0" showRowStripes="1" showColumnStripes="0"/>
</table>
</file>

<file path=xl/tables/table2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4D5DDA9C-6EC9-480F-86E5-5A0131552645}" name="Tabla1103453454455456479108129136118384245" displayName="Tabla1103453454455456479108129136118384245" ref="A44:G46" totalsRowCount="1" headerRowDxfId="1948" dataDxfId="1946" totalsRowDxfId="1944" headerRowBorderDxfId="1947" tableBorderDxfId="1945" totalsRowBorderDxfId="1943">
  <autoFilter ref="A44:G45" xr:uid="{4D5DDA9C-6EC9-480F-86E5-5A0131552645}"/>
  <tableColumns count="7">
    <tableColumn id="2" xr3:uid="{B87DC547-2BA7-442E-97DF-3AF25EBB11AD}" name="Ingrediente" dataDxfId="1942" totalsRowDxfId="1941"/>
    <tableColumn id="3" xr3:uid="{45F2F16A-73C2-4AFB-BBAE-1846E0104ADB}" name="Und" dataDxfId="1940" totalsRowDxfId="1939"/>
    <tableColumn id="4" xr3:uid="{5FD73FD4-4E24-4754-95FD-00E96B656165}" name="Unidades Netas" dataDxfId="1938" totalsRowDxfId="1937"/>
    <tableColumn id="7" xr3:uid="{7C538A68-5421-49CE-9FDC-F8FF6F45990C}" name="% Merma" dataDxfId="1936" totalsRowDxfId="1935"/>
    <tableColumn id="1" xr3:uid="{BD214476-1869-4288-AA90-AA98F16A8337}" name="Unidades" dataDxfId="1934" totalsRowDxfId="1933"/>
    <tableColumn id="5" xr3:uid="{01B75BED-A33A-408A-89F2-0214052C09D5}" name="Costo" dataDxfId="1932" totalsRowDxfId="1931" dataCellStyle="Moneda">
      <calculatedColumnFormula>+VLOOKUP(Tabla1103453454455456479108129136118384245[[#This Row],[Ingrediente]],Tabla34[#All],3,0)</calculatedColumnFormula>
    </tableColumn>
    <tableColumn id="6" xr3:uid="{EB513B0F-B569-4B83-B6DC-C86E55333985}" name="Total costo" totalsRowFunction="sum" dataDxfId="1930" totalsRowDxfId="1929" dataCellStyle="Moneda">
      <calculatedColumnFormula>+Tabla1103453454455456479108129136118384245[[#This Row],[Costo]]*Tabla1103453454455456479108129136118384245[[#This Row],[Unidades]]</calculatedColumnFormula>
    </tableColumn>
  </tableColumns>
  <tableStyleInfo name="TableStyleLight8" showFirstColumn="0" showLastColumn="0" showRowStripes="1" showColumnStripes="0"/>
</table>
</file>

<file path=xl/tables/table2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A3F20DE4-ED31-41E4-BD6E-9D1469CC0FF5}" name="Tabla1103453454455456479108129136118384246" displayName="Tabla1103453454455456479108129136118384246" ref="A56:G58" totalsRowCount="1" headerRowDxfId="1928" dataDxfId="1926" totalsRowDxfId="1924" headerRowBorderDxfId="1927" tableBorderDxfId="1925" totalsRowBorderDxfId="1923">
  <autoFilter ref="A56:G57" xr:uid="{A3F20DE4-ED31-41E4-BD6E-9D1469CC0FF5}"/>
  <tableColumns count="7">
    <tableColumn id="2" xr3:uid="{8FA2D0F6-2396-400D-BE5D-6784569D1C87}" name="Ingrediente" dataDxfId="1922" totalsRowDxfId="1921"/>
    <tableColumn id="3" xr3:uid="{BA3CE2C2-8D74-4CD9-B972-7F30E6D7BAE5}" name="Und" dataDxfId="1920" totalsRowDxfId="1919"/>
    <tableColumn id="4" xr3:uid="{84E0455F-AB07-46B4-BC95-4555360D65FF}" name="Unidades Netas" dataDxfId="1918" totalsRowDxfId="1917"/>
    <tableColumn id="7" xr3:uid="{449210A1-9036-47DE-9457-A51588456D3D}" name="% Merma" dataDxfId="1916" totalsRowDxfId="1915"/>
    <tableColumn id="1" xr3:uid="{D3A09D7C-8656-4C32-99CA-D8213AF635C2}" name="Unidades" dataDxfId="1914" totalsRowDxfId="1913"/>
    <tableColumn id="5" xr3:uid="{5BA281A8-0221-447C-8F6B-AFD9AAFA7F46}" name="Costo" dataDxfId="1912" totalsRowDxfId="1911" dataCellStyle="Moneda">
      <calculatedColumnFormula>+VLOOKUP(Tabla1103453454455456479108129136118384246[[#This Row],[Ingrediente]],Tabla34[#All],3,0)</calculatedColumnFormula>
    </tableColumn>
    <tableColumn id="6" xr3:uid="{E507E178-F36B-49F4-9777-9173C00A32DD}" name="Total costo" totalsRowFunction="sum" dataDxfId="1910" totalsRowDxfId="1909" dataCellStyle="Moneda">
      <calculatedColumnFormula>+Tabla1103453454455456479108129136118384246[[#This Row],[Costo]]*Tabla1103453454455456479108129136118384246[[#This Row],[Unidades]]</calculatedColumnFormula>
    </tableColumn>
  </tableColumns>
  <tableStyleInfo name="TableStyleLight8" showFirstColumn="0" showLastColumn="0" showRowStripes="1" showColumnStripes="0"/>
</table>
</file>

<file path=xl/tables/table2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E31F5249-8BF5-4761-80A2-96B0E854A634}" name="Tabla1103453454455456479108129136118384248" displayName="Tabla1103453454455456479108129136118384248" ref="A67:G69" totalsRowCount="1" headerRowDxfId="1908" dataDxfId="1906" totalsRowDxfId="1904" headerRowBorderDxfId="1907" tableBorderDxfId="1905" totalsRowBorderDxfId="1903">
  <autoFilter ref="A67:G68" xr:uid="{E31F5249-8BF5-4761-80A2-96B0E854A634}"/>
  <tableColumns count="7">
    <tableColumn id="2" xr3:uid="{85CBA651-5B63-47CC-B3E5-C5764D3A2569}" name="Ingrediente" dataDxfId="1902" totalsRowDxfId="1901"/>
    <tableColumn id="3" xr3:uid="{42181714-BE9B-475A-AE76-D9ED78905AEC}" name="Und" dataDxfId="1900" totalsRowDxfId="1899"/>
    <tableColumn id="4" xr3:uid="{C39A51C0-F508-4EFA-8E53-5276B1ECF37A}" name="Unidades Netas" dataDxfId="1898" totalsRowDxfId="1897"/>
    <tableColumn id="7" xr3:uid="{63736810-24E2-4B2F-BCDF-9B22A576B474}" name="% Merma" dataDxfId="1896" totalsRowDxfId="1895"/>
    <tableColumn id="1" xr3:uid="{54E37B41-086A-4CCD-8C3D-1EE75D4D527F}" name="Unidades" dataDxfId="1894" totalsRowDxfId="1893"/>
    <tableColumn id="5" xr3:uid="{1410A831-C7B6-4AAC-A8AF-01AA121AEEF4}" name="Costo" dataDxfId="1892" totalsRowDxfId="1891" dataCellStyle="Moneda">
      <calculatedColumnFormula>+VLOOKUP(Tabla1103453454455456479108129136118384248[[#This Row],[Ingrediente]],Tabla34[#All],3,0)</calculatedColumnFormula>
    </tableColumn>
    <tableColumn id="6" xr3:uid="{CFDF4044-C5AE-459F-ADF7-29B1D74B8E9E}" name="Total costo" totalsRowFunction="sum" dataDxfId="1890" totalsRowDxfId="1889" dataCellStyle="Moneda">
      <calculatedColumnFormula>+Tabla1103453454455456479108129136118384248[[#This Row],[Costo]]*Tabla1103453454455456479108129136118384248[[#This Row],[Unidades]]</calculatedColumnFormula>
    </tableColumn>
  </tableColumns>
  <tableStyleInfo name="TableStyleLight8" showFirstColumn="0" showLastColumn="0" showRowStripes="1" showColumnStripes="0"/>
</table>
</file>

<file path=xl/tables/table2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B8EB76EE-B651-4109-B6A1-84B0A60C1345}" name="Tabla1103453454455456479108129136118384249" displayName="Tabla1103453454455456479108129136118384249" ref="A79:G81" totalsRowCount="1" headerRowDxfId="1888" dataDxfId="1886" totalsRowDxfId="1884" headerRowBorderDxfId="1887" tableBorderDxfId="1885" totalsRowBorderDxfId="1883">
  <autoFilter ref="A79:G80" xr:uid="{B8EB76EE-B651-4109-B6A1-84B0A60C1345}"/>
  <tableColumns count="7">
    <tableColumn id="2" xr3:uid="{089A038C-6AD0-4013-A116-96E3ACC62A14}" name="Ingrediente" dataDxfId="1882" totalsRowDxfId="1881"/>
    <tableColumn id="3" xr3:uid="{1E794AB7-E22E-4890-8438-CAF782009F5D}" name="Und" dataDxfId="1880" totalsRowDxfId="1879"/>
    <tableColumn id="4" xr3:uid="{4F8E5804-1C4F-4265-90F8-10655C457EB2}" name="Unidades Netas" dataDxfId="1878" totalsRowDxfId="1877"/>
    <tableColumn id="7" xr3:uid="{CEB6B8FC-9FF2-4D26-A492-2114F680A877}" name="% Merma" dataDxfId="1876" totalsRowDxfId="1875"/>
    <tableColumn id="1" xr3:uid="{66100A60-5846-4855-A9E6-B430F57B199D}" name="Unidades" dataDxfId="1874" totalsRowDxfId="1873"/>
    <tableColumn id="5" xr3:uid="{AA328CBC-6C7D-4FF8-99BE-8D58E0F10E3A}" name="Costo" dataDxfId="1872" totalsRowDxfId="1871" dataCellStyle="Moneda">
      <calculatedColumnFormula>+VLOOKUP(Tabla1103453454455456479108129136118384249[[#This Row],[Ingrediente]],Tabla34[#All],3,0)</calculatedColumnFormula>
    </tableColumn>
    <tableColumn id="6" xr3:uid="{02664768-A091-404A-9FF2-98EDAEEA5862}" name="Total costo" totalsRowFunction="sum" dataDxfId="1870" totalsRowDxfId="1869" dataCellStyle="Moneda">
      <calculatedColumnFormula>+Tabla1103453454455456479108129136118384249[[#This Row],[Costo]]*Tabla1103453454455456479108129136118384249[[#This Row],[Unidades]]</calculatedColumnFormula>
    </tableColumn>
  </tableColumns>
  <tableStyleInfo name="TableStyleLight8" showFirstColumn="0" showLastColumn="0" showRowStripes="1" showColumnStripes="0"/>
</table>
</file>

<file path=xl/tables/table2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E9B55E4D-C0B5-4576-BEF2-F1D7E9F7FD79}" name="Tabla1103453454455456479108129136118384250" displayName="Tabla1103453454455456479108129136118384250" ref="A91:G93" totalsRowCount="1" headerRowDxfId="1868" dataDxfId="1866" totalsRowDxfId="1864" headerRowBorderDxfId="1867" tableBorderDxfId="1865" totalsRowBorderDxfId="1863">
  <autoFilter ref="A91:G92" xr:uid="{E9B55E4D-C0B5-4576-BEF2-F1D7E9F7FD79}"/>
  <tableColumns count="7">
    <tableColumn id="2" xr3:uid="{FCB03069-FCD3-4C0A-8D57-028BF4CD581C}" name="Ingrediente" dataDxfId="1862" totalsRowDxfId="1861"/>
    <tableColumn id="3" xr3:uid="{B8A2B3EA-FCD1-4283-84F4-ACB476B0298E}" name="Und" dataDxfId="1860" totalsRowDxfId="1859"/>
    <tableColumn id="4" xr3:uid="{72B40CFA-A60B-4AEF-8175-02598D1EA572}" name="Unidades Netas" dataDxfId="1858" totalsRowDxfId="1857"/>
    <tableColumn id="7" xr3:uid="{76B532E9-0E70-423A-9CBF-24DB68FFF619}" name="% Merma" dataDxfId="1856" totalsRowDxfId="1855"/>
    <tableColumn id="1" xr3:uid="{778446C3-9843-4D9A-A774-40D8AC082355}" name="Unidades" dataDxfId="1854" totalsRowDxfId="1853"/>
    <tableColumn id="5" xr3:uid="{5DC06206-5B31-4B39-9A4A-D5FBA88CE57F}" name="Costo" dataDxfId="1852" totalsRowDxfId="1851" dataCellStyle="Moneda">
      <calculatedColumnFormula>+VLOOKUP(Tabla1103453454455456479108129136118384250[[#This Row],[Ingrediente]],Tabla34[#All],3,0)</calculatedColumnFormula>
    </tableColumn>
    <tableColumn id="6" xr3:uid="{94FE0AF7-F6A3-4AE2-A1D4-54AB6C627458}" name="Total costo" totalsRowFunction="sum" dataDxfId="1850" totalsRowDxfId="1849" dataCellStyle="Moneda">
      <calculatedColumnFormula>+Tabla1103453454455456479108129136118384250[[#This Row],[Costo]]*Tabla1103453454455456479108129136118384250[[#This Row],[Unidades]]</calculatedColumnFormula>
    </tableColumn>
  </tableColumns>
  <tableStyleInfo name="TableStyleLight8" showFirstColumn="0" showLastColumn="0" showRowStripes="1" showColumnStripes="0"/>
</table>
</file>

<file path=xl/tables/table2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1D06FD0C-684E-4B5B-A53D-7C81A5DA319D}" name="Tabla1103453454455456479108129136118384251" displayName="Tabla1103453454455456479108129136118384251" ref="A102:G104" totalsRowCount="1" headerRowDxfId="1848" dataDxfId="1846" totalsRowDxfId="1844" headerRowBorderDxfId="1847" tableBorderDxfId="1845" totalsRowBorderDxfId="1843">
  <autoFilter ref="A102:G103" xr:uid="{1D06FD0C-684E-4B5B-A53D-7C81A5DA319D}"/>
  <tableColumns count="7">
    <tableColumn id="2" xr3:uid="{B143FCFB-2CF3-4944-8ABB-64265C60CCE8}" name="Ingrediente" dataDxfId="1842" totalsRowDxfId="1841"/>
    <tableColumn id="3" xr3:uid="{6689C056-47B0-4896-8AB6-0067DAB8C756}" name="Und" dataDxfId="1840" totalsRowDxfId="1839"/>
    <tableColumn id="4" xr3:uid="{4E0F07C6-863B-4FF6-939D-A084ABB13EA1}" name="Unidades Netas" dataDxfId="1838" totalsRowDxfId="1837"/>
    <tableColumn id="7" xr3:uid="{A3FE0AD7-BD1C-4367-B928-EEADC03E05FB}" name="% Merma" dataDxfId="1836" totalsRowDxfId="1835"/>
    <tableColumn id="1" xr3:uid="{A6C53D5E-7AAD-4AAD-983A-D47E8ED3A165}" name="Unidades" dataDxfId="1834" totalsRowDxfId="1833"/>
    <tableColumn id="5" xr3:uid="{7F8FCFEC-191F-4319-9A45-74C2A2462146}" name="Costo" dataDxfId="1832" totalsRowDxfId="1831" dataCellStyle="Moneda">
      <calculatedColumnFormula>+VLOOKUP(Tabla1103453454455456479108129136118384251[[#This Row],[Ingrediente]],Tabla34[#All],3,0)</calculatedColumnFormula>
    </tableColumn>
    <tableColumn id="6" xr3:uid="{50B0AC16-6858-4A56-962A-F4B7F1BE22A9}" name="Total costo" totalsRowFunction="sum" dataDxfId="1830" totalsRowDxfId="1829" dataCellStyle="Moneda">
      <calculatedColumnFormula>+Tabla1103453454455456479108129136118384251[[#This Row],[Costo]]*Tabla1103453454455456479108129136118384251[[#This Row],[Unidades]]</calculatedColumnFormula>
    </tableColumn>
  </tableColumns>
  <tableStyleInfo name="TableStyleLight8" showFirstColumn="0" showLastColumn="0" showRowStripes="1" showColumnStripes="0"/>
</table>
</file>

<file path=xl/tables/table2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A52F90FC-74D4-4BFF-9A51-8EEAB963E1CB}" name="Tabla1103453454455456479108129136118384253" displayName="Tabla1103453454455456479108129136118384253" ref="A114:G116" totalsRowCount="1" headerRowDxfId="1828" dataDxfId="1826" totalsRowDxfId="1824" headerRowBorderDxfId="1827" tableBorderDxfId="1825" totalsRowBorderDxfId="1823">
  <autoFilter ref="A114:G115" xr:uid="{A52F90FC-74D4-4BFF-9A51-8EEAB963E1CB}"/>
  <tableColumns count="7">
    <tableColumn id="2" xr3:uid="{AF565340-BEB1-48ED-86B3-A22F5B1480C1}" name="Ingrediente" dataDxfId="1822" totalsRowDxfId="1821"/>
    <tableColumn id="3" xr3:uid="{F45D8451-478D-4886-A607-DAEE58C899D1}" name="Und" dataDxfId="1820" totalsRowDxfId="1819"/>
    <tableColumn id="4" xr3:uid="{FBC149D1-5B91-401E-B717-40BE282A7544}" name="Unidades Netas" dataDxfId="1818" totalsRowDxfId="1817"/>
    <tableColumn id="7" xr3:uid="{934F2833-04E1-4A25-AD64-E486E9E145A5}" name="% Merma" dataDxfId="1816" totalsRowDxfId="1815"/>
    <tableColumn id="1" xr3:uid="{7E16E08A-F626-4621-B22E-C12309557414}" name="Unidades" dataDxfId="1814" totalsRowDxfId="1813"/>
    <tableColumn id="5" xr3:uid="{3FD81F08-DBF3-497F-8A81-29C81E1C03F0}" name="Costo" dataDxfId="1812" totalsRowDxfId="1811" dataCellStyle="Moneda">
      <calculatedColumnFormula>+VLOOKUP(Tabla1103453454455456479108129136118384253[[#This Row],[Ingrediente]],Tabla34[#All],3,0)</calculatedColumnFormula>
    </tableColumn>
    <tableColumn id="6" xr3:uid="{AE06CEB7-DEF7-4F68-813B-A0907D1FC19C}" name="Total costo" totalsRowFunction="sum" dataDxfId="1810" totalsRowDxfId="1809" dataCellStyle="Moneda">
      <calculatedColumnFormula>+Tabla1103453454455456479108129136118384253[[#This Row],[Costo]]*Tabla1103453454455456479108129136118384253[[#This Row],[Unidades]]</calculatedColumnFormula>
    </tableColumn>
  </tableColumns>
  <tableStyleInfo name="TableStyleLight8" showFirstColumn="0" showLastColumn="0" showRowStripes="1" showColumnStripes="0"/>
</table>
</file>

<file path=xl/tables/table2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A66E6EDF-29F3-4190-925B-41F5A69D3726}" name="Tabla1103453454455456479108129136118384254" displayName="Tabla1103453454455456479108129136118384254" ref="A127:G129" totalsRowCount="1" headerRowDxfId="1808" dataDxfId="1806" totalsRowDxfId="1804" headerRowBorderDxfId="1807" tableBorderDxfId="1805" totalsRowBorderDxfId="1803">
  <autoFilter ref="A127:G128" xr:uid="{A66E6EDF-29F3-4190-925B-41F5A69D3726}"/>
  <tableColumns count="7">
    <tableColumn id="2" xr3:uid="{66164736-90F7-4749-B87D-562A92D7D1BD}" name="Ingrediente" dataDxfId="1802" totalsRowDxfId="1801"/>
    <tableColumn id="3" xr3:uid="{5EBFDB28-4516-49D9-B1E5-36D923FD144B}" name="Und" dataDxfId="1800" totalsRowDxfId="1799"/>
    <tableColumn id="4" xr3:uid="{BCF44883-E4E3-41A6-B905-A5268595E039}" name="Unidades Netas" dataDxfId="1798" totalsRowDxfId="1797"/>
    <tableColumn id="7" xr3:uid="{44F32DE8-10BC-4407-8601-63D7A8E79D6C}" name="% Merma" dataDxfId="1796" totalsRowDxfId="1795"/>
    <tableColumn id="1" xr3:uid="{573C0053-5323-42C3-A6BD-971A18615209}" name="Unidades" dataDxfId="1794" totalsRowDxfId="1793"/>
    <tableColumn id="5" xr3:uid="{E85B9B09-CCD5-4AC1-B08E-3A9BECE44487}" name="Costo" dataDxfId="1792" totalsRowDxfId="1791" dataCellStyle="Moneda">
      <calculatedColumnFormula>+VLOOKUP(Tabla1103453454455456479108129136118384254[[#This Row],[Ingrediente]],Tabla34[#All],3,0)</calculatedColumnFormula>
    </tableColumn>
    <tableColumn id="6" xr3:uid="{BAB9AED1-4538-4631-9136-BC0EF53497DF}" name="Total costo" totalsRowFunction="sum" dataDxfId="1790" totalsRowDxfId="1789" dataCellStyle="Moneda">
      <calculatedColumnFormula>+Tabla1103453454455456479108129136118384254[[#This Row],[Costo]]*Tabla1103453454455456479108129136118384254[[#This Row],[Unidades]]</calculatedColumnFormula>
    </tableColumn>
  </tableColumns>
  <tableStyleInfo name="TableStyleLight8" showFirstColumn="0" showLastColumn="0" showRowStripes="1" showColumnStripes="0"/>
</table>
</file>

<file path=xl/tables/table2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41DA9644-AEF2-4149-8239-F7A13E7AC3C6}" name="Tabla1103453454455456479108129136118384258" displayName="Tabla1103453454455456479108129136118384258" ref="A140:G142" totalsRowCount="1" headerRowDxfId="1788" dataDxfId="1786" totalsRowDxfId="1784" headerRowBorderDxfId="1787" tableBorderDxfId="1785" totalsRowBorderDxfId="1783">
  <autoFilter ref="A140:G141" xr:uid="{41DA9644-AEF2-4149-8239-F7A13E7AC3C6}"/>
  <tableColumns count="7">
    <tableColumn id="2" xr3:uid="{AE8DCA34-9427-4BDC-90B4-EDB9E3319DDA}" name="Ingrediente" dataDxfId="1782" totalsRowDxfId="1781"/>
    <tableColumn id="3" xr3:uid="{D843BBFA-80DB-40B7-97E2-90C229BF83E4}" name="Und" dataDxfId="1780" totalsRowDxfId="1779"/>
    <tableColumn id="4" xr3:uid="{4BF7DB4F-C6D3-4549-85B9-A43C0D229A60}" name="Unidades Netas" dataDxfId="1778" totalsRowDxfId="1777"/>
    <tableColumn id="7" xr3:uid="{62F48AF1-AC50-4F39-B124-B0C4C7723B7B}" name="% Merma" dataDxfId="1776" totalsRowDxfId="1775"/>
    <tableColumn id="1" xr3:uid="{FF574539-7119-45D4-AE73-139C6A2C275B}" name="Unidades" dataDxfId="1774" totalsRowDxfId="1773"/>
    <tableColumn id="5" xr3:uid="{59838B17-62CB-409C-BF9A-39708E8DFE62}" name="Costo" dataDxfId="1772" totalsRowDxfId="1771" dataCellStyle="Moneda">
      <calculatedColumnFormula>+VLOOKUP(Tabla1103453454455456479108129136118384258[[#This Row],[Ingrediente]],Tabla34[#All],3,0)</calculatedColumnFormula>
    </tableColumn>
    <tableColumn id="6" xr3:uid="{E1970F88-C930-428F-8F8F-604571E4F339}" name="Total costo" totalsRowFunction="sum" dataDxfId="1770" totalsRowDxfId="1769" dataCellStyle="Moneda">
      <calculatedColumnFormula>+Tabla1103453454455456479108129136118384258[[#This Row],[Costo]]*Tabla1103453454455456479108129136118384258[[#This Row],[Unidades]]</calculatedColumnFormula>
    </tableColumn>
  </tableColumns>
  <tableStyleInfo name="TableStyleLight8" showFirstColumn="0" showLastColumn="0" showRowStripes="1" showColumnStripes="0"/>
</table>
</file>

<file path=xl/tables/table2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CB49147D-D8A3-4D7F-9664-BB8C987E67A2}" name="Tabla1103453454455456479108129136118384259" displayName="Tabla1103453454455456479108129136118384259" ref="A152:G154" totalsRowCount="1" headerRowDxfId="1768" dataDxfId="1766" totalsRowDxfId="1764" headerRowBorderDxfId="1767" tableBorderDxfId="1765" totalsRowBorderDxfId="1763">
  <autoFilter ref="A152:G153" xr:uid="{CB49147D-D8A3-4D7F-9664-BB8C987E67A2}"/>
  <tableColumns count="7">
    <tableColumn id="2" xr3:uid="{0B9BCD8A-F98F-4F74-A199-1A4C0E4DD90A}" name="Ingrediente" dataDxfId="1762" totalsRowDxfId="1761"/>
    <tableColumn id="3" xr3:uid="{39831C8B-5A47-4EDD-92D9-B48DCD8F531A}" name="Und" dataDxfId="1760" totalsRowDxfId="1759"/>
    <tableColumn id="4" xr3:uid="{C45260BE-B9E1-488C-80B4-0B31901AAD1F}" name="Unidades Netas" dataDxfId="1758" totalsRowDxfId="1757"/>
    <tableColumn id="7" xr3:uid="{387961DC-CB9C-4110-9DEE-6F9D0B4ACA58}" name="% Merma" dataDxfId="1756" totalsRowDxfId="1755"/>
    <tableColumn id="1" xr3:uid="{A5FD7DE2-8687-4D84-B7E6-D991CCB1B848}" name="Unidades" dataDxfId="1754" totalsRowDxfId="1753"/>
    <tableColumn id="5" xr3:uid="{812276CE-4B5D-4C5F-9658-F060B8924D47}" name="Costo" dataDxfId="1752" totalsRowDxfId="1751" dataCellStyle="Moneda">
      <calculatedColumnFormula>+VLOOKUP(Tabla1103453454455456479108129136118384259[[#This Row],[Ingrediente]],Tabla34[#All],3,0)</calculatedColumnFormula>
    </tableColumn>
    <tableColumn id="6" xr3:uid="{4A42D201-863B-4865-B34E-284B80C05E7D}" name="Total costo" totalsRowFunction="sum" dataDxfId="1750" totalsRowDxfId="1749" dataCellStyle="Moneda">
      <calculatedColumnFormula>+Tabla1103453454455456479108129136118384259[[#This Row],[Costo]]*Tabla1103453454455456479108129136118384259[[#This Row],[Unidades]]</calculatedColumnFormula>
    </tableColumn>
  </tableColumns>
  <tableStyleInfo name="TableStyleLight8" showFirstColumn="0" showLastColumn="0" showRowStripes="1" showColumnStripes="0"/>
</table>
</file>

<file path=xl/tables/table2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5E651D55-7B61-49A7-9568-44E807B5D5C4}" name="Tabla1103453454455456479108129136118384263" displayName="Tabla1103453454455456479108129136118384263" ref="A165:G167" totalsRowCount="1" headerRowDxfId="1748" dataDxfId="1746" totalsRowDxfId="1744" headerRowBorderDxfId="1747" tableBorderDxfId="1745" totalsRowBorderDxfId="1743">
  <autoFilter ref="A165:G166" xr:uid="{5E651D55-7B61-49A7-9568-44E807B5D5C4}"/>
  <tableColumns count="7">
    <tableColumn id="2" xr3:uid="{73D77CC1-E664-4BC8-AB29-2FAC7EE23FF7}" name="Ingrediente" dataDxfId="1742" totalsRowDxfId="1741"/>
    <tableColumn id="3" xr3:uid="{2D2EC656-3EB9-4B2F-B356-EFBEA6B2931D}" name="Und" dataDxfId="1740" totalsRowDxfId="1739"/>
    <tableColumn id="4" xr3:uid="{E06F8A96-A023-49C7-AA0A-9E209947920F}" name="Unidades Netas" dataDxfId="1738" totalsRowDxfId="1737"/>
    <tableColumn id="7" xr3:uid="{3A443609-A43C-4757-AB7F-53733DEA9FC2}" name="% Merma" dataDxfId="1736" totalsRowDxfId="1735"/>
    <tableColumn id="1" xr3:uid="{9E3A9D7E-6EE7-4FFF-8737-0CB36E93BA81}" name="Unidades" dataDxfId="1734" totalsRowDxfId="1733"/>
    <tableColumn id="5" xr3:uid="{89B0C405-789F-48F2-ABA1-CB6E4EB63ED3}" name="Costo" dataDxfId="1732" totalsRowDxfId="1731" dataCellStyle="Moneda">
      <calculatedColumnFormula>+VLOOKUP(Tabla1103453454455456479108129136118384263[[#This Row],[Ingrediente]],Tabla34[#All],3,0)</calculatedColumnFormula>
    </tableColumn>
    <tableColumn id="6" xr3:uid="{3B717A91-648A-40B7-BFD8-A1596100C5E2}" name="Total costo" totalsRowFunction="sum" dataDxfId="1730" totalsRowDxfId="1729" dataCellStyle="Moneda">
      <calculatedColumnFormula>+Tabla1103453454455456479108129136118384263[[#This Row],[Costo]]*Tabla1103453454455456479108129136118384263[[#This Row],[Unidades]]</calculatedColumnFormula>
    </tableColumn>
  </tableColumns>
  <tableStyleInfo name="TableStyleLight8" showFirstColumn="0" showLastColumn="0" showRowStripes="1" showColumnStripes="0"/>
</table>
</file>

<file path=xl/tables/table2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B4F7A8C9-6EB0-4B71-B2D4-324268EE0AA7}" name="Tabla1103453454455456479108129136118384264" displayName="Tabla1103453454455456479108129136118384264" ref="A177:G179" totalsRowCount="1" headerRowDxfId="1728" dataDxfId="1726" totalsRowDxfId="1724" headerRowBorderDxfId="1727" tableBorderDxfId="1725" totalsRowBorderDxfId="1723">
  <autoFilter ref="A177:G178" xr:uid="{B4F7A8C9-6EB0-4B71-B2D4-324268EE0AA7}"/>
  <tableColumns count="7">
    <tableColumn id="2" xr3:uid="{1793BFE6-022A-4D7D-AED3-9B2B6E203653}" name="Ingrediente" dataDxfId="1722" totalsRowDxfId="1721"/>
    <tableColumn id="3" xr3:uid="{44DD4C5E-6AA5-41B1-B659-5B8439FD7993}" name="Und" dataDxfId="1720" totalsRowDxfId="1719"/>
    <tableColumn id="4" xr3:uid="{F91CBAF8-F5E0-408C-84EC-4D48C5C2CD7F}" name="Unidades Netas" dataDxfId="1718" totalsRowDxfId="1717"/>
    <tableColumn id="7" xr3:uid="{BA1A6A5E-245D-47E2-AB50-850D93250316}" name="% Merma" dataDxfId="1716" totalsRowDxfId="1715"/>
    <tableColumn id="1" xr3:uid="{80949D50-83C8-4933-A139-6A99CAF0DB7F}" name="Unidades" dataDxfId="1714" totalsRowDxfId="1713"/>
    <tableColumn id="5" xr3:uid="{7F90FC6A-1DDD-4923-9BAE-D76B52DCC919}" name="Costo" dataDxfId="1712" totalsRowDxfId="1711" dataCellStyle="Moneda">
      <calculatedColumnFormula>+VLOOKUP(Tabla1103453454455456479108129136118384264[[#This Row],[Ingrediente]],Tabla34[#All],3,0)</calculatedColumnFormula>
    </tableColumn>
    <tableColumn id="6" xr3:uid="{75F72DA6-772E-45F0-BC85-E29116039D89}" name="Total costo" totalsRowFunction="sum" dataDxfId="1710" totalsRowDxfId="1709" dataCellStyle="Moneda">
      <calculatedColumnFormula>+Tabla1103453454455456479108129136118384264[[#This Row],[Costo]]*Tabla1103453454455456479108129136118384264[[#This Row],[Unidades]]</calculatedColumnFormula>
    </tableColumn>
  </tableColumns>
  <tableStyleInfo name="TableStyleLight8" showFirstColumn="0" showLastColumn="0" showRowStripes="1" showColumnStripes="0"/>
</table>
</file>

<file path=xl/tables/table3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CDA4BCCB-72DA-4FC4-9904-78418F732E8B}" name="Tabla110345345445545647910812913611838426465" displayName="Tabla110345345445545647910812913611838426465" ref="A189:G191" totalsRowCount="1" headerRowDxfId="1708" dataDxfId="1706" totalsRowDxfId="1704" headerRowBorderDxfId="1707" tableBorderDxfId="1705" totalsRowBorderDxfId="1703">
  <autoFilter ref="A189:G190" xr:uid="{CDA4BCCB-72DA-4FC4-9904-78418F732E8B}"/>
  <tableColumns count="7">
    <tableColumn id="2" xr3:uid="{D8574116-1FB9-404E-A12E-738F28399DE8}" name="Ingrediente" dataDxfId="1702" totalsRowDxfId="1701"/>
    <tableColumn id="3" xr3:uid="{47EDB5BB-6500-4E88-BF1D-C193CE331A15}" name="Und" dataDxfId="1700" totalsRowDxfId="1699"/>
    <tableColumn id="4" xr3:uid="{37E3C0E8-3821-4355-97BC-740526F9BFB4}" name="Unidades Netas" dataDxfId="1698" totalsRowDxfId="1697"/>
    <tableColumn id="7" xr3:uid="{323162B7-8AE9-417F-8B9A-4CD8D8DE6A2E}" name="% Merma" dataDxfId="1696" totalsRowDxfId="1695"/>
    <tableColumn id="1" xr3:uid="{05DE6908-BAB5-4210-A2D0-288F5FCD03D3}" name="Unidades" dataDxfId="1694" totalsRowDxfId="1693"/>
    <tableColumn id="5" xr3:uid="{C262CC2F-23A7-471A-9F10-B3BAFF5CCB3E}" name="Costo" dataDxfId="1692" totalsRowDxfId="1691" dataCellStyle="Moneda">
      <calculatedColumnFormula>+VLOOKUP(Tabla110345345445545647910812913611838426465[[#This Row],[Ingrediente]],Tabla34[#All],3,0)</calculatedColumnFormula>
    </tableColumn>
    <tableColumn id="6" xr3:uid="{19C91C0E-7D29-4AA2-AC48-B423F594D25C}" name="Total costo" totalsRowFunction="sum" dataDxfId="1690" totalsRowDxfId="1689" dataCellStyle="Moneda">
      <calculatedColumnFormula>+Tabla110345345445545647910812913611838426465[[#This Row],[Costo]]*Tabla110345345445545647910812913611838426465[[#This Row],[Unidades]]</calculatedColumnFormula>
    </tableColumn>
  </tableColumns>
  <tableStyleInfo name="TableStyleLight8" showFirstColumn="0" showLastColumn="0" showRowStripes="1" showColumnStripes="0"/>
</table>
</file>

<file path=xl/tables/table3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2" xr:uid="{6412D738-2C3A-443B-B0B3-1A9A42C14F50}" name="Tabla1103453454455456479108130137157194203212218234313" displayName="Tabla1103453454455456479108130137157194203212218234313" ref="A4:E6" totalsRowCount="1" headerRowDxfId="1688" dataDxfId="1686" totalsRowDxfId="1684" headerRowBorderDxfId="1687" tableBorderDxfId="1685" totalsRowBorderDxfId="1683">
  <autoFilter ref="A4:E5" xr:uid="{270F72C1-302E-4FBC-819C-8297D106BE8B}"/>
  <sortState xmlns:xlrd2="http://schemas.microsoft.com/office/spreadsheetml/2017/richdata2" ref="A5:E5">
    <sortCondition descending="1" ref="E6"/>
  </sortState>
  <tableColumns count="5">
    <tableColumn id="2" xr3:uid="{9FD486DF-4EA5-4D7B-852E-0B8B293B95FE}" name="Ingrediente" dataDxfId="1682" totalsRowDxfId="1681"/>
    <tableColumn id="3" xr3:uid="{DCFCC3B4-C3E6-4429-9089-C2824929400B}" name="Und" dataDxfId="1680" totalsRowDxfId="1679"/>
    <tableColumn id="4" xr3:uid="{52C986F2-5AD8-4973-8970-0E828F901347}" name="Cant." dataDxfId="1678" totalsRowDxfId="1677"/>
    <tableColumn id="5" xr3:uid="{2FB9CAB1-0D07-4A7D-8FCA-EE4EF5C58838}" name="Costo" dataDxfId="1676" totalsRowDxfId="1675" dataCellStyle="Moneda">
      <calculatedColumnFormula>+VLOOKUP(Tabla1103453454455456479108130137157194203212218234313[[#This Row],[Ingrediente]],Tabla34[#All],3,0)</calculatedColumnFormula>
    </tableColumn>
    <tableColumn id="6" xr3:uid="{ED98D93A-7628-4092-BE11-7AAE701663F2}" name="Total costo" totalsRowFunction="sum" dataDxfId="1674" totalsRowDxfId="1673" dataCellStyle="Moneda">
      <calculatedColumnFormula>+Tabla1103453454455456479108130137157194203212218234313[[#This Row],[Costo]]*Tabla1103453454455456479108130137157194203212218234313[[#This Row],[Cant.]]</calculatedColumnFormula>
    </tableColumn>
  </tableColumns>
  <tableStyleInfo name="TableStyleLight8" showFirstColumn="0" showLastColumn="0" showRowStripes="1" showColumnStripes="0"/>
</table>
</file>

<file path=xl/tables/table3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3" xr:uid="{41D6B198-597B-41A6-A72B-5A9B8E2FA238}" name="Tabla1103453454455456479108130137157194203212218234235314" displayName="Tabla1103453454455456479108130137157194203212218234235314" ref="A17:E19" totalsRowCount="1" headerRowDxfId="1672" dataDxfId="1670" totalsRowDxfId="1668" headerRowBorderDxfId="1671" tableBorderDxfId="1669" totalsRowBorderDxfId="1667">
  <autoFilter ref="A17:E18" xr:uid="{525F40EC-0E1C-4AC0-9D40-52AB26539D8E}"/>
  <sortState xmlns:xlrd2="http://schemas.microsoft.com/office/spreadsheetml/2017/richdata2" ref="A18:E18">
    <sortCondition descending="1" ref="E6"/>
  </sortState>
  <tableColumns count="5">
    <tableColumn id="2" xr3:uid="{C6E9F2D6-DEB0-4942-A2C7-CFBC1FCC453A}" name="Ingrediente" dataDxfId="1666" totalsRowDxfId="1665"/>
    <tableColumn id="3" xr3:uid="{889B00E3-96B9-4170-84BF-7FB14CB545AE}" name="Und" dataDxfId="1664" totalsRowDxfId="1663"/>
    <tableColumn id="4" xr3:uid="{C5CB0084-675A-4647-ADDA-B5164E384A7B}" name="Cant." dataDxfId="1662" totalsRowDxfId="1661"/>
    <tableColumn id="5" xr3:uid="{644AF304-FD10-4903-AD35-30FC64E231CE}" name="Costo" dataDxfId="1660" totalsRowDxfId="1659" dataCellStyle="Moneda">
      <calculatedColumnFormula>+VLOOKUP(Tabla1103453454455456479108130137157194203212218234235314[[#This Row],[Ingrediente]],Tabla34[#All],3,0)</calculatedColumnFormula>
    </tableColumn>
    <tableColumn id="6" xr3:uid="{68FE0A8C-6D05-4F6C-8BD2-C611CA56A23A}" name="Total costo" totalsRowFunction="sum" dataDxfId="1658" totalsRowDxfId="1657" dataCellStyle="Moneda">
      <calculatedColumnFormula>+Tabla1103453454455456479108130137157194203212218234235314[[#This Row],[Costo]]*Tabla1103453454455456479108130137157194203212218234235314[[#This Row],[Cant.]]</calculatedColumnFormula>
    </tableColumn>
  </tableColumns>
  <tableStyleInfo name="TableStyleLight8" showFirstColumn="0" showLastColumn="0" showRowStripes="1" showColumnStripes="0"/>
</table>
</file>

<file path=xl/tables/table3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4" xr:uid="{F41FAD01-D398-4B5D-B8CA-DE894C6BCE5F}" name="Tabla1103453454455456479108130137157194203212218234235238315" displayName="Tabla1103453454455456479108130137157194203212218234235238315" ref="A28:E30" totalsRowCount="1" headerRowDxfId="1656" dataDxfId="1654" totalsRowDxfId="1652" headerRowBorderDxfId="1655" tableBorderDxfId="1653" totalsRowBorderDxfId="1651">
  <autoFilter ref="A28:E29" xr:uid="{E89FDA61-C035-4992-BA84-7670F65A8457}"/>
  <sortState xmlns:xlrd2="http://schemas.microsoft.com/office/spreadsheetml/2017/richdata2" ref="A29:E29">
    <sortCondition descending="1" ref="E6"/>
  </sortState>
  <tableColumns count="5">
    <tableColumn id="2" xr3:uid="{66587699-8DD9-4ABE-B9E8-72C9D2AE5A95}" name="Ingrediente" dataDxfId="1650" totalsRowDxfId="1649"/>
    <tableColumn id="3" xr3:uid="{92C26C4E-681D-4089-976F-364822E7269D}" name="Und" dataDxfId="1648" totalsRowDxfId="1647"/>
    <tableColumn id="4" xr3:uid="{1E4CCD92-1392-45F2-8FE2-7A71BBC612B2}" name="Cant." dataDxfId="1646" totalsRowDxfId="1645"/>
    <tableColumn id="5" xr3:uid="{F858E22B-3D91-4840-A397-7C27BE2535A2}" name="Costo" dataDxfId="1644" totalsRowDxfId="1643" dataCellStyle="Moneda">
      <calculatedColumnFormula>+VLOOKUP(Tabla1103453454455456479108130137157194203212218234235238315[[#This Row],[Ingrediente]],Tabla34[#All],3,0)</calculatedColumnFormula>
    </tableColumn>
    <tableColumn id="6" xr3:uid="{5000C356-905B-47A8-BCFA-3120AB0BC318}" name="Total costo" totalsRowFunction="sum" dataDxfId="1642" totalsRowDxfId="1641" dataCellStyle="Moneda">
      <calculatedColumnFormula>+Tabla1103453454455456479108130137157194203212218234235238315[[#This Row],[Costo]]*Tabla1103453454455456479108130137157194203212218234235238315[[#This Row],[Cant.]]</calculatedColumnFormula>
    </tableColumn>
  </tableColumns>
  <tableStyleInfo name="TableStyleLight8" showFirstColumn="0" showLastColumn="0" showRowStripes="1" showColumnStripes="0"/>
</table>
</file>

<file path=xl/tables/table3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13D825A4-7C93-416F-9A80-2B324EC0D701}" name="Tabla1103453454455456479108130137157194203212218234235238315193" displayName="Tabla1103453454455456479108130137157194203212218234235238315193" ref="A40:E42" totalsRowCount="1" headerRowDxfId="1640" dataDxfId="1638" totalsRowDxfId="1636" headerRowBorderDxfId="1639" tableBorderDxfId="1637" totalsRowBorderDxfId="1635">
  <autoFilter ref="A40:E41" xr:uid="{EBFF252E-BE2D-4C19-A4E6-7621E75EA41C}"/>
  <sortState xmlns:xlrd2="http://schemas.microsoft.com/office/spreadsheetml/2017/richdata2" ref="A41:E41">
    <sortCondition descending="1" ref="E6"/>
  </sortState>
  <tableColumns count="5">
    <tableColumn id="2" xr3:uid="{C1C0A9CA-4520-484E-860F-653D5F88181A}" name="Ingrediente" dataDxfId="1634" totalsRowDxfId="1633"/>
    <tableColumn id="3" xr3:uid="{0CCD6648-CA67-468F-8B1A-3CDAC5D64386}" name="Und" dataDxfId="1632" totalsRowDxfId="1631"/>
    <tableColumn id="4" xr3:uid="{682DC43C-3794-4467-A4B7-DE28005B2328}" name="Cant." dataDxfId="1630" totalsRowDxfId="1629"/>
    <tableColumn id="5" xr3:uid="{0469DC0C-057F-4B82-BF16-AF1F52BEAAC2}" name="Costo" dataDxfId="1628" totalsRowDxfId="1627" dataCellStyle="Moneda">
      <calculatedColumnFormula>+VLOOKUP(Tabla1103453454455456479108130137157194203212218234235238315193[[#This Row],[Ingrediente]],Tabla34[#All],3,0)</calculatedColumnFormula>
    </tableColumn>
    <tableColumn id="6" xr3:uid="{920DBEC4-CED9-4199-A7AC-11EF4CF4585E}" name="Total costo" totalsRowFunction="sum" dataDxfId="1626" totalsRowDxfId="1625" dataCellStyle="Moneda">
      <calculatedColumnFormula>+Tabla1103453454455456479108130137157194203212218234235238315193[[#This Row],[Costo]]*Tabla1103453454455456479108130137157194203212218234235238315193[[#This Row],[Cant.]]</calculatedColumnFormula>
    </tableColumn>
  </tableColumns>
  <tableStyleInfo name="TableStyleLight8" showFirstColumn="0" showLastColumn="0" showRowStripes="1" showColumnStripes="0"/>
</table>
</file>

<file path=xl/tables/table3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A6FC3C01-C44A-4E5E-8282-965B84FD1B86}" name="Tabla1103453454455456479108130137157194203212218234235238315195" displayName="Tabla1103453454455456479108130137157194203212218234235238315195" ref="A51:E53" totalsRowCount="1" headerRowDxfId="1624" dataDxfId="1622" totalsRowDxfId="1620" headerRowBorderDxfId="1623" tableBorderDxfId="1621" totalsRowBorderDxfId="1619">
  <autoFilter ref="A51:E52" xr:uid="{C3AEADBB-CC7C-40A3-AD7F-EB7209DAAB75}"/>
  <sortState xmlns:xlrd2="http://schemas.microsoft.com/office/spreadsheetml/2017/richdata2" ref="A52:E52">
    <sortCondition descending="1" ref="E6"/>
  </sortState>
  <tableColumns count="5">
    <tableColumn id="2" xr3:uid="{0F192751-BB4F-4843-B311-40483A15B17E}" name="Ingrediente" dataDxfId="1618" totalsRowDxfId="1617"/>
    <tableColumn id="3" xr3:uid="{BE6A5B86-F405-4013-BFBF-30B1C515DCC5}" name="Und" dataDxfId="1616" totalsRowDxfId="1615"/>
    <tableColumn id="4" xr3:uid="{41C37C26-1B95-47E8-BA5A-42B2C884146F}" name="Cant." dataDxfId="1614" totalsRowDxfId="1613"/>
    <tableColumn id="5" xr3:uid="{3277F526-C127-4C41-BFF1-9F04C26EEDE2}" name="Costo" dataDxfId="1612" totalsRowDxfId="1611" dataCellStyle="Moneda">
      <calculatedColumnFormula>+VLOOKUP(Tabla1103453454455456479108130137157194203212218234235238315195[[#This Row],[Ingrediente]],Tabla34[#All],3,0)</calculatedColumnFormula>
    </tableColumn>
    <tableColumn id="6" xr3:uid="{1F2B9FCB-EBC2-4203-A145-5610C59641AD}" name="Total costo" totalsRowFunction="sum" dataDxfId="1610" totalsRowDxfId="1609" dataCellStyle="Moneda">
      <calculatedColumnFormula>+Tabla1103453454455456479108130137157194203212218234235238315195[[#This Row],[Costo]]*Tabla1103453454455456479108130137157194203212218234235238315195[[#This Row],[Cant.]]</calculatedColumnFormula>
    </tableColumn>
  </tableColumns>
  <tableStyleInfo name="TableStyleLight8" showFirstColumn="0" showLastColumn="0" showRowStripes="1" showColumnStripes="0"/>
</table>
</file>

<file path=xl/tables/table3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1" xr:uid="{4E969723-2DB9-40EE-ACE6-39F3057D6B28}" name="Tabla1103453454455456479108130137157194203212218234235238315202" displayName="Tabla1103453454455456479108130137157194203212218234235238315202" ref="A63:E65" totalsRowCount="1" headerRowDxfId="1608" dataDxfId="1606" totalsRowDxfId="1604" headerRowBorderDxfId="1607" tableBorderDxfId="1605" totalsRowBorderDxfId="1603">
  <autoFilter ref="A63:E64" xr:uid="{F1459C22-0C89-4334-AAF2-739FC54BD3AE}"/>
  <sortState xmlns:xlrd2="http://schemas.microsoft.com/office/spreadsheetml/2017/richdata2" ref="A64:E64">
    <sortCondition descending="1" ref="E6"/>
  </sortState>
  <tableColumns count="5">
    <tableColumn id="2" xr3:uid="{FE316C64-71CD-4C66-9228-C94C41FE4F9D}" name="Ingrediente" dataDxfId="1602" totalsRowDxfId="1601"/>
    <tableColumn id="3" xr3:uid="{2D8DC69F-3ECC-4194-B211-01AD3189987F}" name="Und" dataDxfId="1600" totalsRowDxfId="1599"/>
    <tableColumn id="4" xr3:uid="{235FC35D-61BE-4875-BB77-6D7587E07FF4}" name="Cant." dataDxfId="1598" totalsRowDxfId="1597"/>
    <tableColumn id="5" xr3:uid="{12338FE5-41C5-4B54-A0CD-BC05F78BCD6A}" name="Costo" dataDxfId="1596" totalsRowDxfId="1595" dataCellStyle="Moneda">
      <calculatedColumnFormula>+VLOOKUP(Tabla1103453454455456479108130137157194203212218234235238315202[[#This Row],[Ingrediente]],Tabla34[#All],3,0)</calculatedColumnFormula>
    </tableColumn>
    <tableColumn id="6" xr3:uid="{FB9AF474-5AF0-402F-972D-CFDECF5AF417}" name="Total costo" totalsRowFunction="sum" dataDxfId="1594" totalsRowDxfId="1593" dataCellStyle="Moneda">
      <calculatedColumnFormula>+Tabla1103453454455456479108130137157194203212218234235238315202[[#This Row],[Costo]]*Tabla1103453454455456479108130137157194203212218234235238315202[[#This Row],[Cant.]]</calculatedColumnFormula>
    </tableColumn>
  </tableColumns>
  <tableStyleInfo name="TableStyleLight8" showFirstColumn="0" showLastColumn="0" showRowStripes="1" showColumnStripes="0"/>
</table>
</file>

<file path=xl/tables/table3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2" xr:uid="{EDB17A23-F01C-4F93-9E65-341075ECBD97}" name="Tabla1103453454455456479108130137157194203212218234235238315203" displayName="Tabla1103453454455456479108130137157194203212218234235238315203" ref="A74:E76" totalsRowCount="1" headerRowDxfId="1592" dataDxfId="1590" totalsRowDxfId="1588" headerRowBorderDxfId="1591" tableBorderDxfId="1589" totalsRowBorderDxfId="1587">
  <autoFilter ref="A74:E75" xr:uid="{26B0E87F-3DC2-4C5C-A4CB-F6BC9EA95614}"/>
  <sortState xmlns:xlrd2="http://schemas.microsoft.com/office/spreadsheetml/2017/richdata2" ref="A75:E75">
    <sortCondition descending="1" ref="E6"/>
  </sortState>
  <tableColumns count="5">
    <tableColumn id="2" xr3:uid="{CA9BC158-9AFD-4B69-B46B-C6F3EB4B7231}" name="Ingrediente" dataDxfId="1586" totalsRowDxfId="1585"/>
    <tableColumn id="3" xr3:uid="{53B5F2EA-534C-46F7-B3B8-716B6BF412E5}" name="Und" dataDxfId="1584" totalsRowDxfId="1583"/>
    <tableColumn id="4" xr3:uid="{F6B8E0F1-F8F6-44BC-B4E3-A3000E7D0999}" name="Cant." dataDxfId="1582" totalsRowDxfId="1581"/>
    <tableColumn id="5" xr3:uid="{AF291688-97A9-450F-BE38-AD48F99D38FD}" name="Costo" dataDxfId="1580" totalsRowDxfId="1579" dataCellStyle="Moneda">
      <calculatedColumnFormula>+VLOOKUP(Tabla1103453454455456479108130137157194203212218234235238315203[[#This Row],[Ingrediente]],Tabla34[#All],3,0)</calculatedColumnFormula>
    </tableColumn>
    <tableColumn id="6" xr3:uid="{173C35EF-7199-4763-99CC-CDF70EB21888}" name="Total costo" totalsRowFunction="sum" dataDxfId="1578" totalsRowDxfId="1577" dataCellStyle="Moneda">
      <calculatedColumnFormula>+Tabla1103453454455456479108130137157194203212218234235238315203[[#This Row],[Costo]]*Tabla1103453454455456479108130137157194203212218234235238315203[[#This Row],[Cant.]]</calculatedColumnFormula>
    </tableColumn>
  </tableColumns>
  <tableStyleInfo name="TableStyleLight8" showFirstColumn="0" showLastColumn="0" showRowStripes="1" showColumnStripes="0"/>
</table>
</file>

<file path=xl/tables/table3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4" xr:uid="{F192C28D-AB51-439F-9A2A-188BA258B570}" name="Tabla1103453454455456479108130137157194203212218234235238315203205" displayName="Tabla1103453454455456479108130137157194203212218234235238315203205" ref="A86:E88" totalsRowCount="1" headerRowDxfId="1576" dataDxfId="1574" totalsRowDxfId="1572" headerRowBorderDxfId="1575" tableBorderDxfId="1573" totalsRowBorderDxfId="1571">
  <autoFilter ref="A86:E87" xr:uid="{C95532FB-B54D-4966-BFF0-F4F117FB127B}"/>
  <sortState xmlns:xlrd2="http://schemas.microsoft.com/office/spreadsheetml/2017/richdata2" ref="A87:E87">
    <sortCondition descending="1" ref="E6"/>
  </sortState>
  <tableColumns count="5">
    <tableColumn id="2" xr3:uid="{69DAB8BB-2768-4CEA-A0F1-AECEDC4B8F9A}" name="Ingrediente" dataDxfId="1570" totalsRowDxfId="1569"/>
    <tableColumn id="3" xr3:uid="{C88F5E53-2B59-4B27-8406-8F248DA57566}" name="Und" dataDxfId="1568" totalsRowDxfId="1567"/>
    <tableColumn id="4" xr3:uid="{A00ED0E0-DE0A-4917-A5ED-E704EC93EF07}" name="Cant." dataDxfId="1566" totalsRowDxfId="1565"/>
    <tableColumn id="5" xr3:uid="{F9E3BEBD-04A5-431D-8BE0-3FF097E27257}" name="Costo" dataDxfId="1564" totalsRowDxfId="1563" dataCellStyle="Moneda">
      <calculatedColumnFormula>+VLOOKUP(Tabla1103453454455456479108130137157194203212218234235238315203205[[#This Row],[Ingrediente]],Tabla34[#All],3,0)</calculatedColumnFormula>
    </tableColumn>
    <tableColumn id="6" xr3:uid="{BB53325C-8885-4366-8B50-4F0A4C2FF81B}" name="Total costo" totalsRowFunction="sum" dataDxfId="1562" totalsRowDxfId="1561" dataCellStyle="Moneda">
      <calculatedColumnFormula>+Tabla1103453454455456479108130137157194203212218234235238315203205[[#This Row],[Costo]]*Tabla1103453454455456479108130137157194203212218234235238315203205[[#This Row],[Cant.]]</calculatedColumnFormula>
    </tableColumn>
  </tableColumns>
  <tableStyleInfo name="TableStyleLight8" showFirstColumn="0" showLastColumn="0" showRowStripes="1" showColumnStripes="0"/>
</table>
</file>

<file path=xl/tables/table3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F2C0733D-0E2B-484A-A840-D8471E9117A2}" name="Tabla1103453454455456479108130137157194203212218234235238315203205155" displayName="Tabla1103453454455456479108130137157194203212218234235238315203205155" ref="A100:E102" totalsRowCount="1" headerRowDxfId="1560" dataDxfId="1558" totalsRowDxfId="1556" headerRowBorderDxfId="1559" tableBorderDxfId="1557" totalsRowBorderDxfId="1555">
  <autoFilter ref="A100:E101" xr:uid="{F2C0733D-0E2B-484A-A840-D8471E9117A2}"/>
  <sortState xmlns:xlrd2="http://schemas.microsoft.com/office/spreadsheetml/2017/richdata2" ref="A101:E101">
    <sortCondition descending="1" ref="E6"/>
  </sortState>
  <tableColumns count="5">
    <tableColumn id="2" xr3:uid="{C2BD05EF-9E9B-4E96-AEC3-13B2F74106C4}" name="Ingrediente" dataDxfId="1554" totalsRowDxfId="1553"/>
    <tableColumn id="3" xr3:uid="{9F3441F7-73B9-4917-BFCD-45AC18B767D2}" name="Und" dataDxfId="1552" totalsRowDxfId="1551"/>
    <tableColumn id="4" xr3:uid="{187910CE-1EB2-4DFD-A555-5A4AA8E1059D}" name="Cant." dataDxfId="1550" totalsRowDxfId="1549"/>
    <tableColumn id="5" xr3:uid="{8E291673-08DA-4BF9-B2D0-4180FC846185}" name="Costo" dataDxfId="1548" totalsRowDxfId="1547" dataCellStyle="Moneda">
      <calculatedColumnFormula>+VLOOKUP(Tabla1103453454455456479108130137157194203212218234235238315203205155[[#This Row],[Ingrediente]],Tabla34[#All],3,0)</calculatedColumnFormula>
    </tableColumn>
    <tableColumn id="6" xr3:uid="{C92FE333-21AD-4C7A-88FE-5367071AC760}" name="Total costo" totalsRowFunction="sum" dataDxfId="1546" totalsRowDxfId="1545" dataCellStyle="Moneda">
      <calculatedColumnFormula>+Tabla1103453454455456479108130137157194203212218234235238315203205155[[#This Row],[Costo]]*Tabla1103453454455456479108130137157194203212218234235238315203205155[[#This Row],[Cant.]]</calculatedColumnFormula>
    </tableColumn>
  </tableColumns>
  <tableStyleInfo name="TableStyleLight8" showFirstColumn="0" showLastColumn="0" showRowStripes="1" showColumnStripes="0"/>
</table>
</file>

<file path=xl/tables/table3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3" xr:uid="{102FBA13-7905-4866-AA0E-1F3E0F3C991C}" name="Tabla1103453454455456479108135149219379380381394" displayName="Tabla1103453454455456479108135149219379380381394" ref="A7:E9" totalsRowCount="1" headerRowDxfId="1544" dataDxfId="1542" totalsRowDxfId="1540" headerRowBorderDxfId="1543" tableBorderDxfId="1541" totalsRowBorderDxfId="1539">
  <autoFilter ref="A7:E8" xr:uid="{39FC5A79-9CA1-4951-B76D-75E00818F26E}"/>
  <sortState xmlns:xlrd2="http://schemas.microsoft.com/office/spreadsheetml/2017/richdata2" ref="A8:E8">
    <sortCondition descending="1" ref="E8"/>
  </sortState>
  <tableColumns count="5">
    <tableColumn id="2" xr3:uid="{A70F5ED2-2866-4D9E-9787-8AADC326C1B0}" name="Ingrediente" dataDxfId="1538" totalsRowDxfId="1537"/>
    <tableColumn id="3" xr3:uid="{5269A9C0-017C-4AAA-BF57-855078B548BB}" name="Und" dataDxfId="1536" totalsRowDxfId="1535"/>
    <tableColumn id="4" xr3:uid="{BDB3770D-ADE6-4F7D-AB26-6C095425D587}" name="Cant." dataDxfId="1534" totalsRowDxfId="1533"/>
    <tableColumn id="5" xr3:uid="{B04CF32D-F1C6-4BB6-8998-892531256903}" name="Costo" dataDxfId="1532" totalsRowDxfId="1531" dataCellStyle="Moneda">
      <calculatedColumnFormula>+VLOOKUP(Tabla1103453454455456479108135149219379380381394[[#This Row],[Ingrediente]],Tabla34[#All],3,0)</calculatedColumnFormula>
    </tableColumn>
    <tableColumn id="6" xr3:uid="{23D83065-C167-44F4-9355-EBD237E76635}" name="Total costo" totalsRowFunction="sum" dataDxfId="1530" totalsRowDxfId="1529" dataCellStyle="Moneda">
      <calculatedColumnFormula>+Tabla1103453454455456479108135149219379380381394[[#This Row],[Costo]]*Tabla1103453454455456479108135149219379380381394[[#This Row],[Cant.]]</calculatedColumnFormula>
    </tableColumn>
  </tableColumns>
  <tableStyleInfo name="TableStyleLight8" showFirstColumn="0" showLastColumn="0" showRowStripes="1" showColumnStripes="0"/>
</table>
</file>

<file path=xl/tables/table3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2" xr:uid="{4973A061-767B-4457-A398-80437496A4BD}" name="Tabla1103453454455456479108135149219379380381394403" displayName="Tabla1103453454455456479108135149219379380381394403" ref="A19:E21" totalsRowCount="1" headerRowDxfId="1528" dataDxfId="1526" totalsRowDxfId="1524" headerRowBorderDxfId="1527" tableBorderDxfId="1525" totalsRowBorderDxfId="1523">
  <autoFilter ref="A19:E20" xr:uid="{B8534E1C-CBAE-4440-989C-E6E600F2F11D}"/>
  <sortState xmlns:xlrd2="http://schemas.microsoft.com/office/spreadsheetml/2017/richdata2" ref="A20:E20">
    <sortCondition descending="1" ref="E8"/>
  </sortState>
  <tableColumns count="5">
    <tableColumn id="2" xr3:uid="{DBD52A4E-80F5-4B6F-9D8A-9750D59E6C26}" name="Ingrediente" dataDxfId="1522" totalsRowDxfId="1521"/>
    <tableColumn id="3" xr3:uid="{8E7F2AE2-9260-4452-95B7-7170950E1697}" name="Und" dataDxfId="1520" totalsRowDxfId="1519"/>
    <tableColumn id="4" xr3:uid="{FE7F2AA5-1FAD-4896-8E4C-35D465C3D4B3}" name="Cant." dataDxfId="1518" totalsRowDxfId="1517"/>
    <tableColumn id="5" xr3:uid="{98E140F7-DA6C-434A-9FA0-B58AF9073D9A}" name="Costo" dataDxfId="1516" totalsRowDxfId="1515" dataCellStyle="Moneda">
      <calculatedColumnFormula>+VLOOKUP(Tabla1103453454455456479108135149219379380381394403[[#This Row],[Ingrediente]],Tabla34[#All],3,0)</calculatedColumnFormula>
    </tableColumn>
    <tableColumn id="6" xr3:uid="{58811AE4-9D92-492F-A5CD-4B0734BC03C6}" name="Total costo" totalsRowFunction="sum" dataDxfId="1514" totalsRowDxfId="1513" dataCellStyle="Moneda">
      <calculatedColumnFormula>+Tabla1103453454455456479108135149219379380381394403[[#This Row],[Costo]]*Tabla1103453454455456479108135149219379380381394403[[#This Row],[Cant.]]</calculatedColumnFormula>
    </tableColumn>
  </tableColumns>
  <tableStyleInfo name="TableStyleLight8" showFirstColumn="0" showLastColumn="0" showRowStripes="1" showColumnStripes="0"/>
</table>
</file>

<file path=xl/tables/table3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3" xr:uid="{081DB51B-F34F-4A03-804D-F8247D579F7F}" name="Tabla1103453454455456479108135149219379380381394404" displayName="Tabla1103453454455456479108135149219379380381394404" ref="A30:E32" totalsRowCount="1" headerRowDxfId="1512" dataDxfId="1510" totalsRowDxfId="1508" headerRowBorderDxfId="1511" tableBorderDxfId="1509" totalsRowBorderDxfId="1507">
  <autoFilter ref="A30:E31" xr:uid="{27AB0B28-201F-44CB-8A77-1A682595C748}"/>
  <sortState xmlns:xlrd2="http://schemas.microsoft.com/office/spreadsheetml/2017/richdata2" ref="A31:E31">
    <sortCondition descending="1" ref="E8"/>
  </sortState>
  <tableColumns count="5">
    <tableColumn id="2" xr3:uid="{FC837331-4068-46D9-B70A-47A2FA232554}" name="Ingrediente" dataDxfId="1506" totalsRowDxfId="1505"/>
    <tableColumn id="3" xr3:uid="{31F0DD1C-9294-4371-AC9D-C472FD90A7FF}" name="Und" dataDxfId="1504" totalsRowDxfId="1503"/>
    <tableColumn id="4" xr3:uid="{A48F1C0C-D07F-476C-8B77-43591BD96D3C}" name="Cant." dataDxfId="1502" totalsRowDxfId="1501"/>
    <tableColumn id="5" xr3:uid="{D1476C97-95FF-4525-843A-85F9A5679C28}" name="Costo" dataDxfId="1500" totalsRowDxfId="1499" dataCellStyle="Moneda">
      <calculatedColumnFormula>+VLOOKUP(Tabla1103453454455456479108135149219379380381394404[[#This Row],[Ingrediente]],Tabla34[#All],3,0)</calculatedColumnFormula>
    </tableColumn>
    <tableColumn id="6" xr3:uid="{9926C1CC-87AF-4E3E-A90E-79DEA55F82BD}" name="Total costo" totalsRowFunction="sum" dataDxfId="1498" totalsRowDxfId="1497" dataCellStyle="Moneda">
      <calculatedColumnFormula>+Tabla1103453454455456479108135149219379380381394404[[#This Row],[Costo]]*Tabla1103453454455456479108135149219379380381394404[[#This Row],[Cant.]]</calculatedColumnFormula>
    </tableColumn>
  </tableColumns>
  <tableStyleInfo name="TableStyleLight8" showFirstColumn="0" showLastColumn="0" showRowStripes="1" showColumnStripes="0"/>
</table>
</file>

<file path=xl/tables/table3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4" xr:uid="{C3B91038-47AC-4CBB-82D2-3BE76614C6F2}" name="Tabla1103453454455456479108135149219379380381394405" displayName="Tabla1103453454455456479108135149219379380381394405" ref="A42:E44" totalsRowCount="1" headerRowDxfId="1496" dataDxfId="1494" totalsRowDxfId="1492" headerRowBorderDxfId="1495" tableBorderDxfId="1493" totalsRowBorderDxfId="1491">
  <autoFilter ref="A42:E43" xr:uid="{FAF67982-2888-4769-99AA-9E95AAB1F6BD}"/>
  <sortState xmlns:xlrd2="http://schemas.microsoft.com/office/spreadsheetml/2017/richdata2" ref="A43:E43">
    <sortCondition descending="1" ref="E8"/>
  </sortState>
  <tableColumns count="5">
    <tableColumn id="2" xr3:uid="{6F6A7DE6-4083-4669-84BB-0079CFC70C90}" name="Ingrediente" dataDxfId="1490" totalsRowDxfId="1489"/>
    <tableColumn id="3" xr3:uid="{92886ABC-3085-4FD9-A2AA-B93CBACC85D3}" name="Und" dataDxfId="1488" totalsRowDxfId="1487"/>
    <tableColumn id="4" xr3:uid="{56A397CA-34F0-44EA-A89D-EA24B038569D}" name="Cant." dataDxfId="1486" totalsRowDxfId="1485"/>
    <tableColumn id="5" xr3:uid="{E09749E2-7C47-45E3-9195-5B815B6965BA}" name="Costo" dataDxfId="1484" totalsRowDxfId="1483" dataCellStyle="Moneda">
      <calculatedColumnFormula>+VLOOKUP(Tabla1103453454455456479108135149219379380381394405[[#This Row],[Ingrediente]],Tabla34[#All],3,0)</calculatedColumnFormula>
    </tableColumn>
    <tableColumn id="6" xr3:uid="{CAA720E4-792A-44FC-ADDB-35CF615FAC4C}" name="Total costo" totalsRowFunction="sum" dataDxfId="1482" totalsRowDxfId="1481" dataCellStyle="Moneda">
      <calculatedColumnFormula>+Tabla1103453454455456479108135149219379380381394405[[#This Row],[Costo]]*Tabla1103453454455456479108135149219379380381394405[[#This Row],[Cant.]]</calculatedColumnFormula>
    </tableColumn>
  </tableColumns>
  <tableStyleInfo name="TableStyleLight8" showFirstColumn="0" showLastColumn="0" showRowStripes="1" showColumnStripes="0"/>
</table>
</file>

<file path=xl/tables/table3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5" xr:uid="{064F1F94-87BB-4633-8869-A334D08CF527}" name="Tabla1103453454455456479108135149219379380381394406" displayName="Tabla1103453454455456479108135149219379380381394406" ref="A54:E56" totalsRowCount="1" headerRowDxfId="1480" dataDxfId="1478" totalsRowDxfId="1476" headerRowBorderDxfId="1479" tableBorderDxfId="1477" totalsRowBorderDxfId="1475">
  <autoFilter ref="A54:E55" xr:uid="{AE6B37EB-9215-4D58-A283-237070EF7BE6}"/>
  <sortState xmlns:xlrd2="http://schemas.microsoft.com/office/spreadsheetml/2017/richdata2" ref="A55:E55">
    <sortCondition descending="1" ref="E8"/>
  </sortState>
  <tableColumns count="5">
    <tableColumn id="2" xr3:uid="{2079BCBC-18B3-43B8-B9EB-73D033EDE12B}" name="Ingrediente" dataDxfId="1474" totalsRowDxfId="1473"/>
    <tableColumn id="3" xr3:uid="{553DBC2E-B943-47AD-942D-C549B12250ED}" name="Und" dataDxfId="1472" totalsRowDxfId="1471"/>
    <tableColumn id="4" xr3:uid="{4566710D-5484-47EE-B864-C68A961BC142}" name="Cant." dataDxfId="1470" totalsRowDxfId="1469"/>
    <tableColumn id="5" xr3:uid="{5147FFE0-59D0-4689-99F1-CFE10A6A1013}" name="Costo" dataDxfId="1468" totalsRowDxfId="1467" dataCellStyle="Moneda">
      <calculatedColumnFormula>+VLOOKUP(Tabla1103453454455456479108135149219379380381394406[[#This Row],[Ingrediente]],Tabla34[#All],3,0)</calculatedColumnFormula>
    </tableColumn>
    <tableColumn id="6" xr3:uid="{EF2B3681-7FF4-40B1-B30B-68270AFBDD65}" name="Total costo" totalsRowFunction="sum" dataDxfId="1466" totalsRowDxfId="1465" dataCellStyle="Moneda">
      <calculatedColumnFormula>+Tabla1103453454455456479108135149219379380381394406[[#This Row],[Costo]]*Tabla1103453454455456479108135149219379380381394406[[#This Row],[Cant.]]</calculatedColumnFormula>
    </tableColumn>
  </tableColumns>
  <tableStyleInfo name="TableStyleLight8" showFirstColumn="0" showLastColumn="0" showRowStripes="1" showColumnStripes="0"/>
</table>
</file>

<file path=xl/tables/table3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29786C27-468C-4605-A2E9-AF3200B60055}" name="Tabla110345345445545647910813514921937938038139440666" displayName="Tabla110345345445545647910813514921937938038139440666" ref="A67:E69" totalsRowCount="1" headerRowDxfId="1464" dataDxfId="1462" totalsRowDxfId="1460" headerRowBorderDxfId="1463" tableBorderDxfId="1461" totalsRowBorderDxfId="1459">
  <autoFilter ref="A67:E68" xr:uid="{29786C27-468C-4605-A2E9-AF3200B60055}"/>
  <sortState xmlns:xlrd2="http://schemas.microsoft.com/office/spreadsheetml/2017/richdata2" ref="A68:E68">
    <sortCondition descending="1" ref="E8"/>
  </sortState>
  <tableColumns count="5">
    <tableColumn id="2" xr3:uid="{89DE7CFD-4C70-4D5D-AE71-5CED55777B29}" name="Ingrediente" dataDxfId="1458" totalsRowDxfId="1457"/>
    <tableColumn id="3" xr3:uid="{21D74425-7E56-411A-ABD5-24B4CEA50267}" name="Und" dataDxfId="1456" totalsRowDxfId="1455"/>
    <tableColumn id="4" xr3:uid="{DA8CF555-27C8-479F-B627-26F17412CA32}" name="Cant." dataDxfId="1454" totalsRowDxfId="1453"/>
    <tableColumn id="5" xr3:uid="{1D06396F-95C2-4024-87A9-E51873CDDE11}" name="Costo" dataDxfId="1452" totalsRowDxfId="1451" dataCellStyle="Moneda">
      <calculatedColumnFormula>+VLOOKUP(Tabla110345345445545647910813514921937938038139440666[[#This Row],[Ingrediente]],Tabla34[#All],3,0)</calculatedColumnFormula>
    </tableColumn>
    <tableColumn id="6" xr3:uid="{787030AC-6F33-4B41-B4E1-5841739BE1D9}" name="Total costo" totalsRowFunction="sum" dataDxfId="1450" totalsRowDxfId="1449" dataCellStyle="Moneda">
      <calculatedColumnFormula>+Tabla110345345445545647910813514921937938038139440666[[#This Row],[Costo]]*Tabla110345345445545647910813514921937938038139440666[[#This Row],[Cant.]]</calculatedColumnFormula>
    </tableColumn>
  </tableColumns>
  <tableStyleInfo name="TableStyleLight8" showFirstColumn="0" showLastColumn="0" showRowStripes="1" showColumnStripes="0"/>
</table>
</file>

<file path=xl/tables/table3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81D18605-DF52-4769-A60C-48021279DB10}" name="Tabla11034534544554564791081351492193793803813944066667" displayName="Tabla11034534544554564791081351492193793803813944066667" ref="A78:E80" totalsRowCount="1" headerRowDxfId="1448" dataDxfId="1446" totalsRowDxfId="1444" headerRowBorderDxfId="1447" tableBorderDxfId="1445" totalsRowBorderDxfId="1443">
  <autoFilter ref="A78:E79" xr:uid="{81D18605-DF52-4769-A60C-48021279DB10}"/>
  <sortState xmlns:xlrd2="http://schemas.microsoft.com/office/spreadsheetml/2017/richdata2" ref="A79:E79">
    <sortCondition descending="1" ref="E8"/>
  </sortState>
  <tableColumns count="5">
    <tableColumn id="2" xr3:uid="{100133A6-436D-47E1-A1F2-303D2B8B5659}" name="Ingrediente" dataDxfId="1442" totalsRowDxfId="1441"/>
    <tableColumn id="3" xr3:uid="{F6800DF4-BC14-487C-B480-7A3519AE1350}" name="Und" dataDxfId="1440" totalsRowDxfId="1439"/>
    <tableColumn id="4" xr3:uid="{6981757B-F96E-4ED7-AD3D-A601AAE432FC}" name="Cant." dataDxfId="1438" totalsRowDxfId="1437"/>
    <tableColumn id="5" xr3:uid="{8A4D9547-8A8B-4951-BABD-8DE4BE1F8DA2}" name="Costo" dataDxfId="1436" totalsRowDxfId="1435" dataCellStyle="Moneda">
      <calculatedColumnFormula>+VLOOKUP(Tabla11034534544554564791081351492193793803813944066667[[#This Row],[Ingrediente]],Tabla34[#All],3,0)</calculatedColumnFormula>
    </tableColumn>
    <tableColumn id="6" xr3:uid="{EC999CD2-F997-4DE5-A9B7-0D24EBEC27D6}" name="Total costo" totalsRowFunction="sum" dataDxfId="1434" totalsRowDxfId="1433" dataCellStyle="Moneda">
      <calculatedColumnFormula>+Tabla11034534544554564791081351492193793803813944066667[[#This Row],[Costo]]*Tabla11034534544554564791081351492193793803813944066667[[#This Row],[Cant.]]</calculatedColumnFormula>
    </tableColumn>
  </tableColumns>
  <tableStyleInfo name="TableStyleLight8" showFirstColumn="0" showLastColumn="0" showRowStripes="1" showColumnStripes="0"/>
</table>
</file>

<file path=xl/tables/table3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92CB0F2E-742B-4D2A-8286-138D5666C7F4}" name="Tabla1103453454455456479108135149219379380381394406666768" displayName="Tabla1103453454455456479108135149219379380381394406666768" ref="A93:E95" totalsRowCount="1" headerRowDxfId="1432" dataDxfId="1430" totalsRowDxfId="1428" headerRowBorderDxfId="1431" tableBorderDxfId="1429" totalsRowBorderDxfId="1427">
  <autoFilter ref="A93:E94" xr:uid="{92CB0F2E-742B-4D2A-8286-138D5666C7F4}"/>
  <sortState xmlns:xlrd2="http://schemas.microsoft.com/office/spreadsheetml/2017/richdata2" ref="A94:E94">
    <sortCondition descending="1" ref="E8"/>
  </sortState>
  <tableColumns count="5">
    <tableColumn id="2" xr3:uid="{D92687E6-B2FC-415F-BE3C-FF7542D2BEE7}" name="Ingrediente" dataDxfId="1426" totalsRowDxfId="1425"/>
    <tableColumn id="3" xr3:uid="{9F7BAAB0-AD7B-4101-B432-DF9B6A5B6B15}" name="Und" dataDxfId="1424" totalsRowDxfId="1423"/>
    <tableColumn id="4" xr3:uid="{D20FBCBF-CF30-453D-97F6-F2AA9DA5E021}" name="Cant." dataDxfId="1422" totalsRowDxfId="1421"/>
    <tableColumn id="5" xr3:uid="{73FBDCC1-B5EA-47E0-9881-F8841F5DE91B}" name="Costo" dataDxfId="1420" totalsRowDxfId="1419" dataCellStyle="Moneda">
      <calculatedColumnFormula>+VLOOKUP(Tabla1103453454455456479108135149219379380381394406666768[[#This Row],[Ingrediente]],Tabla34[#All],3,0)</calculatedColumnFormula>
    </tableColumn>
    <tableColumn id="6" xr3:uid="{516EFB9B-D0D3-4E0F-9E55-63E2D7194732}" name="Total costo" totalsRowFunction="sum" dataDxfId="1418" totalsRowDxfId="1417" dataCellStyle="Moneda">
      <calculatedColumnFormula>+Tabla1103453454455456479108135149219379380381394406666768[[#This Row],[Costo]]*Tabla1103453454455456479108135149219379380381394406666768[[#This Row],[Cant.]]</calculatedColumnFormula>
    </tableColumn>
  </tableColumns>
  <tableStyleInfo name="TableStyleLight8" showFirstColumn="0" showLastColumn="0" showRowStripes="1" showColumnStripes="0"/>
</table>
</file>

<file path=xl/tables/table3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9DD51FBB-878C-4278-9470-2D467971F8F0}" name="Tabla1103453454455456479108135149219379380381394406666769" displayName="Tabla1103453454455456479108135149219379380381394406666769" ref="A104:E106" totalsRowCount="1" headerRowDxfId="1416" dataDxfId="1414" totalsRowDxfId="1412" headerRowBorderDxfId="1415" tableBorderDxfId="1413" totalsRowBorderDxfId="1411">
  <autoFilter ref="A104:E105" xr:uid="{9DD51FBB-878C-4278-9470-2D467971F8F0}"/>
  <sortState xmlns:xlrd2="http://schemas.microsoft.com/office/spreadsheetml/2017/richdata2" ref="A105:E105">
    <sortCondition descending="1" ref="E8"/>
  </sortState>
  <tableColumns count="5">
    <tableColumn id="2" xr3:uid="{D31F6F02-74C8-4D73-AADC-00A7325D635C}" name="Ingrediente" dataDxfId="1410" totalsRowDxfId="1409"/>
    <tableColumn id="3" xr3:uid="{4F91C867-873D-4559-814D-53BFFA7BBC8C}" name="Und" dataDxfId="1408" totalsRowDxfId="1407"/>
    <tableColumn id="4" xr3:uid="{2C7C8899-E525-4EB6-8753-B1AD16095CFC}" name="Cant." dataDxfId="1406" totalsRowDxfId="1405"/>
    <tableColumn id="5" xr3:uid="{0ABCD9B4-C62D-4527-AB4A-0B61C897AF0B}" name="Costo" dataDxfId="1404" totalsRowDxfId="1403" dataCellStyle="Moneda">
      <calculatedColumnFormula>+VLOOKUP(Tabla1103453454455456479108135149219379380381394406666769[[#This Row],[Ingrediente]],Tabla34[#All],3,0)</calculatedColumnFormula>
    </tableColumn>
    <tableColumn id="6" xr3:uid="{31C37293-9EFB-4ECF-A569-502F94386492}" name="Total costo" totalsRowFunction="sum" dataDxfId="1402" totalsRowDxfId="1401" dataCellStyle="Moneda">
      <calculatedColumnFormula>+Tabla1103453454455456479108135149219379380381394406666769[[#This Row],[Costo]]*Tabla1103453454455456479108135149219379380381394406666769[[#This Row],[Cant.]]</calculatedColumnFormula>
    </tableColumn>
  </tableColumns>
  <tableStyleInfo name="TableStyleLight8" showFirstColumn="0" showLastColumn="0" showRowStripes="1" showColumnStripes="0"/>
</table>
</file>

<file path=xl/tables/table3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91582893-E8D4-4C3E-A8DB-4A2DADECC19A}" name="Tabla110345345445545647910813113816290" displayName="Tabla110345345445545647910813113816290" ref="B7:F9" totalsRowCount="1" headerRowDxfId="1400" dataDxfId="1398" totalsRowDxfId="1396" headerRowBorderDxfId="1399" tableBorderDxfId="1397" totalsRowBorderDxfId="1395">
  <autoFilter ref="B7:F8" xr:uid="{CF56C718-E741-47C6-B3F9-87B5E98E7BBC}"/>
  <sortState xmlns:xlrd2="http://schemas.microsoft.com/office/spreadsheetml/2017/richdata2" ref="B8:F8">
    <sortCondition ref="B49"/>
  </sortState>
  <tableColumns count="5">
    <tableColumn id="2" xr3:uid="{B82D56E3-8872-40EA-88D0-8D33DAC5EF8D}" name="Ingrediente" dataDxfId="1394" totalsRowDxfId="1393"/>
    <tableColumn id="3" xr3:uid="{F8A53F8B-D52A-48A1-A6C1-E1C2D0E12648}" name="Und" dataDxfId="1392" totalsRowDxfId="1391"/>
    <tableColumn id="4" xr3:uid="{923878F9-DC26-4FE9-808B-1AB8CD20F198}" name="Cant." dataDxfId="1390" totalsRowDxfId="1389"/>
    <tableColumn id="5" xr3:uid="{1425AC7D-5576-4A8C-9328-CC7AACF40E59}" name="Costo" dataDxfId="1388" totalsRowDxfId="1387" dataCellStyle="Moneda">
      <calculatedColumnFormula>+VLOOKUP(Tabla110345345445545647910813113816290[[#This Row],[Ingrediente]],INSUMOS!A31:C424,3,0)</calculatedColumnFormula>
    </tableColumn>
    <tableColumn id="6" xr3:uid="{12121593-7B15-4744-A004-39FF8DBCBD55}" name="Total costo" totalsRowFunction="sum" dataDxfId="1386" totalsRowDxfId="1385" dataCellStyle="Moneda">
      <calculatedColumnFormula>+Tabla110345345445545647910813113816290[[#This Row],[Costo]]*Tabla110345345445545647910813113816290[[#This Row],[Cant.]]</calculatedColumnFormula>
    </tableColumn>
  </tableColumns>
  <tableStyleInfo name="TableStyleLight8" showFirstColumn="0" showLastColumn="0" showRowStripes="1" showColumnStripes="0"/>
</table>
</file>

<file path=xl/tables/table3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E50E27EC-2422-47BA-B342-41B5AD0D0F17}" name="Tabla11034534544554564791081311381629091" displayName="Tabla11034534544554564791081311381629091" ref="B20:F22" totalsRowCount="1" headerRowDxfId="1384" dataDxfId="1382" totalsRowDxfId="1380" headerRowBorderDxfId="1383" tableBorderDxfId="1381" totalsRowBorderDxfId="1379">
  <autoFilter ref="B20:F21" xr:uid="{0DF9E4BA-E14F-4026-B026-5D131F0CC77C}"/>
  <sortState xmlns:xlrd2="http://schemas.microsoft.com/office/spreadsheetml/2017/richdata2" ref="B21:F21">
    <sortCondition ref="B49"/>
  </sortState>
  <tableColumns count="5">
    <tableColumn id="2" xr3:uid="{C26CFF07-F267-41FE-A83B-16DF7C186151}" name="Ingrediente" dataDxfId="1378" totalsRowDxfId="1377"/>
    <tableColumn id="3" xr3:uid="{737925AE-10BA-4B0E-A043-C096A0B77584}" name="Und" dataDxfId="1376" totalsRowDxfId="1375"/>
    <tableColumn id="4" xr3:uid="{EF820A6F-746D-4ED0-96D0-0CEACDC218A6}" name="Cant." dataDxfId="1374" totalsRowDxfId="1373"/>
    <tableColumn id="5" xr3:uid="{DD78392E-70A3-4C53-9A7A-95DDF30476C3}" name="Costo" dataDxfId="1372" totalsRowDxfId="1371" dataCellStyle="Moneda">
      <calculatedColumnFormula>+VLOOKUP(Tabla11034534544554564791081311381629091[[#This Row],[Ingrediente]],INSUMOS!A31:C424,3,0)</calculatedColumnFormula>
    </tableColumn>
    <tableColumn id="6" xr3:uid="{F2052D6A-599E-4693-979A-0F506E995091}" name="Total costo" totalsRowFunction="sum" dataDxfId="1370" totalsRowDxfId="1369" dataCellStyle="Moneda">
      <calculatedColumnFormula>+Tabla11034534544554564791081311381629091[[#This Row],[Costo]]*Tabla11034534544554564791081311381629091[[#This Row],[Cant.]]</calculatedColumnFormula>
    </tableColumn>
  </tableColumns>
  <tableStyleInfo name="TableStyleLight8" showFirstColumn="0" showLastColumn="0" showRowStripes="1" showColumnStripes="0"/>
</table>
</file>

<file path=xl/tables/table3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ABF34B98-A803-4D71-9AD6-C37317E693A0}" name="Tabla1103453454455456479108131138162909194" displayName="Tabla1103453454455456479108131138162909194" ref="B33:F35" totalsRowCount="1" headerRowDxfId="1368" dataDxfId="1366" totalsRowDxfId="1364" headerRowBorderDxfId="1367" tableBorderDxfId="1365" totalsRowBorderDxfId="1363">
  <autoFilter ref="B33:F34" xr:uid="{7781F3B6-0E09-4C18-8521-943E4F8A7367}"/>
  <sortState xmlns:xlrd2="http://schemas.microsoft.com/office/spreadsheetml/2017/richdata2" ref="B34:F34">
    <sortCondition ref="B49"/>
  </sortState>
  <tableColumns count="5">
    <tableColumn id="2" xr3:uid="{07F07A39-9B30-43B9-9595-8F2427217322}" name="Ingrediente" dataDxfId="1362" totalsRowDxfId="1361"/>
    <tableColumn id="3" xr3:uid="{F8443B06-ABA1-418C-81B7-9ED32AA192A3}" name="Und" dataDxfId="1360" totalsRowDxfId="1359"/>
    <tableColumn id="4" xr3:uid="{66D23110-8F3C-497B-9AE1-2399E3C491DF}" name="Cant." dataDxfId="1358" totalsRowDxfId="1357"/>
    <tableColumn id="5" xr3:uid="{BEE074A4-141F-4A22-ADD6-1E2EBE7FAE5F}" name="Costo" dataDxfId="1356" totalsRowDxfId="1355" dataCellStyle="Moneda">
      <calculatedColumnFormula>+VLOOKUP(Tabla1103453454455456479108131138162909194[[#This Row],[Ingrediente]],INSUMOS!A31:C424,3,0)</calculatedColumnFormula>
    </tableColumn>
    <tableColumn id="6" xr3:uid="{D488EA27-BDC0-4746-8286-091992F4AE84}" name="Total costo" totalsRowFunction="sum" dataDxfId="1354" totalsRowDxfId="1353" dataCellStyle="Moneda">
      <calculatedColumnFormula>+Tabla1103453454455456479108131138162909194[[#This Row],[Costo]]*Tabla1103453454455456479108131138162909194[[#This Row],[Cant.]]</calculatedColumnFormula>
    </tableColumn>
  </tableColumns>
  <tableStyleInfo name="TableStyleLight8" showFirstColumn="0" showLastColumn="0" showRowStripes="1" showColumnStripes="0"/>
</table>
</file>

<file path=xl/tables/table3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D43EB4BC-C215-450A-940E-54008219CA0C}" name="Tabla1103453454455456479108131138162909195" displayName="Tabla1103453454455456479108131138162909195" ref="B45:F47" totalsRowCount="1" headerRowDxfId="1352" dataDxfId="1350" totalsRowDxfId="1348" headerRowBorderDxfId="1351" tableBorderDxfId="1349" totalsRowBorderDxfId="1347">
  <autoFilter ref="B45:F46" xr:uid="{7FA9FD06-5C57-4CB2-AE67-64DF4F5CED14}"/>
  <sortState xmlns:xlrd2="http://schemas.microsoft.com/office/spreadsheetml/2017/richdata2" ref="B46:F46">
    <sortCondition ref="B49"/>
  </sortState>
  <tableColumns count="5">
    <tableColumn id="2" xr3:uid="{767EBC0D-72D8-4D9F-8C8E-772139D3E93A}" name="Ingrediente" dataDxfId="1346" totalsRowDxfId="1345"/>
    <tableColumn id="3" xr3:uid="{5057794F-9D58-4F36-8FCB-5E0312014952}" name="Und" dataDxfId="1344" totalsRowDxfId="1343"/>
    <tableColumn id="4" xr3:uid="{137DE8A3-6961-407D-BD39-90C86D3810C6}" name="Cant." dataDxfId="1342" totalsRowDxfId="1341"/>
    <tableColumn id="5" xr3:uid="{8D944263-5E7D-4426-9C64-1265E6F3CF22}" name="Costo" dataDxfId="1340" totalsRowDxfId="1339" dataCellStyle="Moneda">
      <calculatedColumnFormula>+VLOOKUP(Tabla1103453454455456479108131138162909195[[#This Row],[Ingrediente]],Tabla34[#All],3,0)</calculatedColumnFormula>
    </tableColumn>
    <tableColumn id="6" xr3:uid="{440BB295-9C0B-4E4B-877A-19A848BC4724}" name="Total costo" totalsRowFunction="sum" dataDxfId="1338" totalsRowDxfId="1337" dataCellStyle="Moneda">
      <calculatedColumnFormula>+Tabla1103453454455456479108131138162909195[[#This Row],[Costo]]*Tabla1103453454455456479108131138162909195[[#This Row],[Cant.]]</calculatedColumnFormula>
    </tableColumn>
  </tableColumns>
  <tableStyleInfo name="TableStyleLight8" showFirstColumn="0" showLastColumn="0" showRowStripes="1" showColumnStripes="0"/>
</table>
</file>

<file path=xl/tables/table3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ACF90CF3-7CC4-49AC-A1EE-9639F9E6CE55}" name="Tabla11034534544554564791081311381629091115" displayName="Tabla11034534544554564791081311381629091115" ref="B58:F60" totalsRowCount="1" headerRowDxfId="1336" dataDxfId="1334" totalsRowDxfId="1332" headerRowBorderDxfId="1335" tableBorderDxfId="1333" totalsRowBorderDxfId="1331">
  <autoFilter ref="B58:F59" xr:uid="{07A8F57E-7C34-4E3C-B061-B5FE1F177E4F}"/>
  <sortState xmlns:xlrd2="http://schemas.microsoft.com/office/spreadsheetml/2017/richdata2" ref="B59:F59">
    <sortCondition ref="B49"/>
  </sortState>
  <tableColumns count="5">
    <tableColumn id="2" xr3:uid="{60B17AEB-E757-4FA5-A3E2-D600B924BDCA}" name="Ingrediente" dataDxfId="1330" totalsRowDxfId="1329"/>
    <tableColumn id="3" xr3:uid="{025BA4D0-7539-4651-A204-AC44FEBC1337}" name="Und" dataDxfId="1328" totalsRowDxfId="1327"/>
    <tableColumn id="4" xr3:uid="{EBAF8847-18F6-4B3D-8B30-41BCD681C447}" name="Cant." dataDxfId="1326" totalsRowDxfId="1325"/>
    <tableColumn id="5" xr3:uid="{263DACF7-45ED-4C49-96DB-2EB830C3AFA9}" name="Costo" dataDxfId="1324" totalsRowDxfId="1323" dataCellStyle="Moneda">
      <calculatedColumnFormula>+VLOOKUP(Tabla11034534544554564791081311381629091115[[#This Row],[Ingrediente]],INSUMOS!A31:C424,3,0)</calculatedColumnFormula>
    </tableColumn>
    <tableColumn id="6" xr3:uid="{D9296C00-5C3C-4629-A6EC-7357B36E8FF3}" name="Total costo" totalsRowFunction="sum" dataDxfId="1322" totalsRowDxfId="1321" dataCellStyle="Moneda">
      <calculatedColumnFormula>+Tabla11034534544554564791081311381629091115[[#This Row],[Costo]]*Tabla11034534544554564791081311381629091115[[#This Row],[Cant.]]</calculatedColumnFormula>
    </tableColumn>
  </tableColumns>
  <tableStyleInfo name="TableStyleLight8" showFirstColumn="0" showLastColumn="0" showRowStripes="1" showColumnStripes="0"/>
</table>
</file>

<file path=xl/tables/table3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D0BEAF8B-841D-4D92-BC4F-3E7CEDBE7A25}" name="Tabla11034534544554564791081311381629091121" displayName="Tabla11034534544554564791081311381629091121" ref="B69:F71" totalsRowCount="1" headerRowDxfId="1320" dataDxfId="1318" totalsRowDxfId="1316" headerRowBorderDxfId="1319" tableBorderDxfId="1317" totalsRowBorderDxfId="1315">
  <autoFilter ref="B69:F70" xr:uid="{C0DD3049-EA8E-4B57-B99A-3D605430988F}"/>
  <sortState xmlns:xlrd2="http://schemas.microsoft.com/office/spreadsheetml/2017/richdata2" ref="B70:F70">
    <sortCondition ref="B49"/>
  </sortState>
  <tableColumns count="5">
    <tableColumn id="2" xr3:uid="{4361C5FF-F310-42CA-959D-759765A5A5BA}" name="Ingrediente" dataDxfId="1314" totalsRowDxfId="1313"/>
    <tableColumn id="3" xr3:uid="{2D44B714-1917-4E10-95B7-EA3A7BB36E43}" name="Und" dataDxfId="1312" totalsRowDxfId="1311"/>
    <tableColumn id="4" xr3:uid="{1229016D-6F0D-4B47-ADAE-A666369B8A06}" name="Cant." dataDxfId="1310" totalsRowDxfId="1309"/>
    <tableColumn id="5" xr3:uid="{0B0AC4EB-6D95-456D-96BF-E5A26EAD67A6}" name="Costo" dataDxfId="1308" totalsRowDxfId="1307" dataCellStyle="Moneda">
      <calculatedColumnFormula>+VLOOKUP(Tabla11034534544554564791081311381629091121[[#This Row],[Ingrediente]],Tabla34[#All],3,0)</calculatedColumnFormula>
    </tableColumn>
    <tableColumn id="6" xr3:uid="{F2DA4D1C-98F7-46AF-B97E-F88A9AFC12D5}" name="Total costo" totalsRowFunction="sum" dataDxfId="1306" totalsRowDxfId="1305" dataCellStyle="Moneda">
      <calculatedColumnFormula>+Tabla11034534544554564791081311381629091121[[#This Row],[Costo]]*Tabla11034534544554564791081311381629091121[[#This Row],[Cant.]]</calculatedColumnFormula>
    </tableColumn>
  </tableColumns>
  <tableStyleInfo name="TableStyleLight8" showFirstColumn="0" showLastColumn="0" showRowStripes="1" showColumnStripes="0"/>
</table>
</file>

<file path=xl/tables/table3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5" xr:uid="{6E356EA0-3BFF-4B43-9408-71B0A1531301}" name="Tabla11034534544554564791081311381629091206" displayName="Tabla11034534544554564791081311381629091206" ref="B80:F82" totalsRowCount="1" headerRowDxfId="1304" dataDxfId="1302" totalsRowDxfId="1300" headerRowBorderDxfId="1303" tableBorderDxfId="1301" totalsRowBorderDxfId="1299">
  <autoFilter ref="B80:F81" xr:uid="{3BCF8138-F9ED-4DEC-BDB8-612E94EA77E9}"/>
  <sortState xmlns:xlrd2="http://schemas.microsoft.com/office/spreadsheetml/2017/richdata2" ref="B81:F81">
    <sortCondition ref="B49"/>
  </sortState>
  <tableColumns count="5">
    <tableColumn id="2" xr3:uid="{AE616607-16D6-4556-87B2-675360D8648B}" name="Ingrediente" dataDxfId="1298" totalsRowDxfId="1297"/>
    <tableColumn id="3" xr3:uid="{445D147B-B4D5-4429-853C-7A2B33372D62}" name="Und" dataDxfId="1296" totalsRowDxfId="1295"/>
    <tableColumn id="4" xr3:uid="{E1763FB5-9F18-4152-B68E-9743A94C188F}" name="Cant." dataDxfId="1294" totalsRowDxfId="1293"/>
    <tableColumn id="5" xr3:uid="{0669A565-085A-4683-AEBB-4D5562B89692}" name="Costo" dataDxfId="1292" totalsRowDxfId="1291" dataCellStyle="Moneda">
      <calculatedColumnFormula>+VLOOKUP(Tabla11034534544554564791081311381629091206[[#This Row],[Ingrediente]],Tabla34[#All],3,0)</calculatedColumnFormula>
    </tableColumn>
    <tableColumn id="6" xr3:uid="{4BCE047F-547B-46E3-8999-46F8EBAC3354}" name="Total costo" totalsRowFunction="sum" dataDxfId="1290" totalsRowDxfId="1289" dataCellStyle="Moneda">
      <calculatedColumnFormula>+Tabla11034534544554564791081311381629091206[[#This Row],[Costo]]*Tabla11034534544554564791081311381629091206[[#This Row],[Cant.]]</calculatedColumnFormula>
    </tableColumn>
  </tableColumns>
  <tableStyleInfo name="TableStyleLight8" showFirstColumn="0" showLastColumn="0" showRowStripes="1" showColumnStripes="0"/>
</table>
</file>

<file path=xl/tables/table3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5" xr:uid="{3FE1A52E-D2B8-44FE-8EDF-921678C76ED8}" name="Tabla11034534544554564791081351121722993063164246" displayName="Tabla11034534544554564791081351121722993063164246" ref="B7:F9" totalsRowCount="1" headerRowDxfId="1288" dataDxfId="1286" totalsRowDxfId="1284" headerRowBorderDxfId="1287" tableBorderDxfId="1285" totalsRowBorderDxfId="1283">
  <autoFilter ref="B7:F8" xr:uid="{78BE3A0D-ECA7-47BB-B29F-2C3C5A2344BE}"/>
  <sortState xmlns:xlrd2="http://schemas.microsoft.com/office/spreadsheetml/2017/richdata2" ref="B8:F8">
    <sortCondition descending="1" ref="F8"/>
  </sortState>
  <tableColumns count="5">
    <tableColumn id="2" xr3:uid="{F77F1ACE-5728-40D5-A258-4BC66B05633D}" name="Ingrediente" dataDxfId="1282" totalsRowDxfId="1281"/>
    <tableColumn id="3" xr3:uid="{85988711-5C93-4045-B9BB-B0BB2E5655B7}" name="Und" dataDxfId="1280" totalsRowDxfId="1279"/>
    <tableColumn id="4" xr3:uid="{6A1B1214-26FD-4593-A2AC-E58BD706BFC2}" name="Cant." dataDxfId="1278" totalsRowDxfId="1277"/>
    <tableColumn id="5" xr3:uid="{71323FB0-92A0-4902-9F24-5E48C29AFF0F}" name="Costo" dataDxfId="1276" totalsRowDxfId="1275" dataCellStyle="Moneda">
      <calculatedColumnFormula>+VLOOKUP(Tabla11034534544554564791081351121722993063164246[[#This Row],[Ingrediente]],Tabla34[#All],3,0)</calculatedColumnFormula>
    </tableColumn>
    <tableColumn id="6" xr3:uid="{5F853F00-F0AC-49E8-9633-6BD8088E484B}" name="Total costo" totalsRowFunction="sum" dataDxfId="1274" totalsRowDxfId="1273" dataCellStyle="Moneda">
      <calculatedColumnFormula>+Tabla11034534544554564791081351121722993063164246[[#This Row],[Costo]]*Tabla11034534544554564791081351121722993063164246[[#This Row],[Cant.]]</calculatedColumnFormula>
    </tableColumn>
  </tableColumns>
  <tableStyleInfo name="TableStyleLight8" showFirstColumn="0" showLastColumn="0" showRowStripes="1" showColumnStripes="0"/>
</table>
</file>

<file path=xl/tables/table3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733C6C5-B684-487A-8972-DB54CB2F9090}" name="Tabla1103453454455456479108135112172299306316424661" displayName="Tabla1103453454455456479108135112172299306316424661" ref="B19:F21" totalsRowCount="1" headerRowDxfId="1272" dataDxfId="1270" totalsRowDxfId="1268" headerRowBorderDxfId="1271" tableBorderDxfId="1269" totalsRowBorderDxfId="1267">
  <autoFilter ref="B19:F20" xr:uid="{10AEC243-1118-4FFC-B183-C98A7B46BE90}"/>
  <sortState xmlns:xlrd2="http://schemas.microsoft.com/office/spreadsheetml/2017/richdata2" ref="B20:F20">
    <sortCondition descending="1" ref="F8"/>
  </sortState>
  <tableColumns count="5">
    <tableColumn id="2" xr3:uid="{4B4464D3-3C0D-4461-8010-5B97E8F07A0C}" name="Ingrediente" dataDxfId="1266" totalsRowDxfId="1265"/>
    <tableColumn id="3" xr3:uid="{2972BCED-BC28-4EF6-9D44-6DBC2D0AC25D}" name="Und" dataDxfId="1264" totalsRowDxfId="1263"/>
    <tableColumn id="4" xr3:uid="{87DDA909-7D45-423E-976A-700D4F0B9680}" name="Cant." dataDxfId="1262" totalsRowDxfId="1261"/>
    <tableColumn id="5" xr3:uid="{17272B87-7709-400F-B7D8-7CFD789FCFD8}" name="Costo" dataDxfId="1260" totalsRowDxfId="1259" dataCellStyle="Moneda">
      <calculatedColumnFormula>+VLOOKUP(Tabla1103453454455456479108135112172299306316424661[[#This Row],[Ingrediente]],Tabla34[#All],3,0)</calculatedColumnFormula>
    </tableColumn>
    <tableColumn id="6" xr3:uid="{EFC39196-F99B-400E-AAB5-2B4DBF0D9D6C}" name="Total costo" totalsRowFunction="sum" dataDxfId="1258" totalsRowDxfId="1257" dataCellStyle="Moneda">
      <calculatedColumnFormula>+Tabla1103453454455456479108135112172299306316424661[[#This Row],[Costo]]*Tabla1103453454455456479108135112172299306316424661[[#This Row],[Cant.]]</calculatedColumnFormula>
    </tableColumn>
  </tableColumns>
  <tableStyleInfo name="TableStyleLight8" showFirstColumn="0" showLastColumn="0" showRowStripes="1" showColumnStripes="0"/>
</table>
</file>

<file path=xl/tables/table3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56D28BFF-8C7F-4BAC-BBB8-6AF1792D6BA7}" name="Tabla1103453454455456479108135112172299306316424662" displayName="Tabla1103453454455456479108135112172299306316424662" ref="B31:F33" totalsRowCount="1" headerRowDxfId="1256" dataDxfId="1254" totalsRowDxfId="1252" headerRowBorderDxfId="1255" tableBorderDxfId="1253" totalsRowBorderDxfId="1251">
  <autoFilter ref="B31:F32" xr:uid="{FB08D6F9-51C3-4122-8FA6-8D67B5227642}"/>
  <sortState xmlns:xlrd2="http://schemas.microsoft.com/office/spreadsheetml/2017/richdata2" ref="B32:F32">
    <sortCondition descending="1" ref="F8"/>
  </sortState>
  <tableColumns count="5">
    <tableColumn id="2" xr3:uid="{8D092BB4-4E70-43C9-87C7-69560E19092A}" name="Ingrediente" dataDxfId="1250" totalsRowDxfId="1249"/>
    <tableColumn id="3" xr3:uid="{18E031BC-3C37-4958-9008-E586C9E33F6D}" name="Und" dataDxfId="1248" totalsRowDxfId="1247"/>
    <tableColumn id="4" xr3:uid="{1B847284-1AC7-4D98-B7A9-E71C2DC100A9}" name="Cant." dataDxfId="1246" totalsRowDxfId="1245"/>
    <tableColumn id="5" xr3:uid="{34B3E5B5-766B-4B8E-83BA-F2722A19DA7B}" name="Costo" dataDxfId="1244" totalsRowDxfId="1243" dataCellStyle="Moneda">
      <calculatedColumnFormula>+VLOOKUP(Tabla1103453454455456479108135112172299306316424662[[#This Row],[Ingrediente]],Tabla34[#All],3,0)</calculatedColumnFormula>
    </tableColumn>
    <tableColumn id="6" xr3:uid="{40695990-9F8C-46CD-84F2-65583908C157}" name="Total costo" totalsRowFunction="sum" dataDxfId="1242" totalsRowDxfId="1241" dataCellStyle="Moneda">
      <calculatedColumnFormula>+Tabla1103453454455456479108135112172299306316424662[[#This Row],[Costo]]*Tabla1103453454455456479108135112172299306316424662[[#This Row],[Cant.]]</calculatedColumnFormula>
    </tableColumn>
  </tableColumns>
  <tableStyleInfo name="TableStyleLight8" showFirstColumn="0" showLastColumn="0" showRowStripes="1" showColumnStripes="0"/>
</table>
</file>

<file path=xl/tables/table3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B076ED0B-08E0-4028-96A3-C61F2D787D14}" name="Tabla1103453454455456479108135112172299306316424673" displayName="Tabla1103453454455456479108135112172299306316424673" ref="B44:F46" totalsRowCount="1" headerRowDxfId="1240" dataDxfId="1238" totalsRowDxfId="1236" headerRowBorderDxfId="1239" tableBorderDxfId="1237" totalsRowBorderDxfId="1235">
  <autoFilter ref="B44:F45" xr:uid="{622BCD61-5B0D-4405-B205-0049EC95BB5C}"/>
  <sortState xmlns:xlrd2="http://schemas.microsoft.com/office/spreadsheetml/2017/richdata2" ref="B45:F45">
    <sortCondition descending="1" ref="F8"/>
  </sortState>
  <tableColumns count="5">
    <tableColumn id="2" xr3:uid="{D37150E1-D07A-45A4-83D2-7B550BDD3907}" name="Ingrediente" dataDxfId="1234" totalsRowDxfId="1233"/>
    <tableColumn id="3" xr3:uid="{3AC920C2-1C19-4BDE-8AC1-C117ED09FDE5}" name="Und" dataDxfId="1232" totalsRowDxfId="1231"/>
    <tableColumn id="4" xr3:uid="{D2AC6093-F358-4F31-97BE-782320B57F84}" name="Cant." dataDxfId="1230" totalsRowDxfId="1229"/>
    <tableColumn id="5" xr3:uid="{0517A193-8E3C-4EE6-AEAB-91F9F9CC65C9}" name="Costo" dataDxfId="1228" totalsRowDxfId="1227" dataCellStyle="Moneda">
      <calculatedColumnFormula>+VLOOKUP(Tabla1103453454455456479108135112172299306316424673[[#This Row],[Ingrediente]],Tabla34[#All],3,0)</calculatedColumnFormula>
    </tableColumn>
    <tableColumn id="6" xr3:uid="{DD0CA6A7-C9FC-48BC-852F-56AEEB12AEB3}" name="Total costo" totalsRowFunction="sum" dataDxfId="1226" totalsRowDxfId="1225" dataCellStyle="Moneda">
      <calculatedColumnFormula>+Tabla1103453454455456479108135112172299306316424673[[#This Row],[Costo]]*Tabla1103453454455456479108135112172299306316424673[[#This Row],[Cant.]]</calculatedColumnFormula>
    </tableColumn>
  </tableColumns>
  <tableStyleInfo name="TableStyleLight8" showFirstColumn="0" showLastColumn="0" showRowStripes="1" showColumnStripes="0"/>
</table>
</file>

<file path=xl/tables/table3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11553E3E-AEF6-46EB-BC17-B7705076DC1E}" name="Tabla1103453454455456479108135112172299306316424674" displayName="Tabla1103453454455456479108135112172299306316424674" ref="B57:F59" totalsRowCount="1" headerRowDxfId="1224" dataDxfId="1222" totalsRowDxfId="1220" headerRowBorderDxfId="1223" tableBorderDxfId="1221" totalsRowBorderDxfId="1219">
  <autoFilter ref="B57:F58" xr:uid="{EA2B194B-1B9F-423F-AF1D-85EC14AF72E9}"/>
  <sortState xmlns:xlrd2="http://schemas.microsoft.com/office/spreadsheetml/2017/richdata2" ref="B58:F58">
    <sortCondition descending="1" ref="F8"/>
  </sortState>
  <tableColumns count="5">
    <tableColumn id="2" xr3:uid="{37F8B6A6-D131-4C45-9E6E-CDEC37F17BC2}" name="Ingrediente" dataDxfId="1218" totalsRowDxfId="1217"/>
    <tableColumn id="3" xr3:uid="{768C0B7F-F892-4FB9-A737-71D817114208}" name="Und" dataDxfId="1216" totalsRowDxfId="1215"/>
    <tableColumn id="4" xr3:uid="{A79ACDA9-297D-45AB-8A6B-C1FF3E6D637D}" name="Cant." dataDxfId="1214" totalsRowDxfId="1213"/>
    <tableColumn id="5" xr3:uid="{83C8B6FA-BF0C-4D7C-AD37-A5E82F7D33EF}" name="Costo" dataDxfId="1212" totalsRowDxfId="1211" dataCellStyle="Moneda">
      <calculatedColumnFormula>+VLOOKUP(Tabla1103453454455456479108135112172299306316424674[[#This Row],[Ingrediente]],Tabla34[#All],3,0)</calculatedColumnFormula>
    </tableColumn>
    <tableColumn id="6" xr3:uid="{ACF945AC-8C2C-45D2-B732-6E89996D301C}" name="Total costo" totalsRowFunction="sum" dataDxfId="1210" totalsRowDxfId="1209" dataCellStyle="Moneda">
      <calculatedColumnFormula>+Tabla1103453454455456479108135112172299306316424674[[#This Row],[Costo]]*Tabla1103453454455456479108135112172299306316424674[[#This Row],[Cant.]]</calculatedColumnFormula>
    </tableColumn>
  </tableColumns>
  <tableStyleInfo name="TableStyleLight8" showFirstColumn="0" showLastColumn="0" showRowStripes="1" showColumnStripes="0"/>
</table>
</file>

<file path=xl/tables/table3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0801D724-7BD2-4F44-AD70-CBE017C866BE}" name="Tabla1103453454455456479108135112172299306316424684" displayName="Tabla1103453454455456479108135112172299306316424684" ref="B70:F72" totalsRowCount="1" headerRowDxfId="1208" dataDxfId="1206" totalsRowDxfId="1204" headerRowBorderDxfId="1207" tableBorderDxfId="1205" totalsRowBorderDxfId="1203">
  <autoFilter ref="B70:F71" xr:uid="{6D1235A0-2DC2-4A67-8835-0623E2A94EF5}"/>
  <sortState xmlns:xlrd2="http://schemas.microsoft.com/office/spreadsheetml/2017/richdata2" ref="B71:F71">
    <sortCondition descending="1" ref="F8"/>
  </sortState>
  <tableColumns count="5">
    <tableColumn id="2" xr3:uid="{0CE3F1C9-546E-475D-AA5F-565BF3A8F616}" name="Ingrediente" dataDxfId="1202" totalsRowDxfId="1201"/>
    <tableColumn id="3" xr3:uid="{CA01BA74-9588-4365-8EFC-DECBEC78FFA6}" name="Und" dataDxfId="1200" totalsRowDxfId="1199"/>
    <tableColumn id="4" xr3:uid="{469B9CD3-5714-4568-A8F1-3787EAC3CD2A}" name="Cant." dataDxfId="1198" totalsRowDxfId="1197"/>
    <tableColumn id="5" xr3:uid="{7F91F6F3-7400-4B0D-B522-3CF233A6E09D}" name="Costo" dataDxfId="1196" totalsRowDxfId="1195" dataCellStyle="Moneda">
      <calculatedColumnFormula>+VLOOKUP(Tabla1103453454455456479108135112172299306316424684[[#This Row],[Ingrediente]],Tabla34[#All],3,0)</calculatedColumnFormula>
    </tableColumn>
    <tableColumn id="6" xr3:uid="{1369AB23-05F2-4613-88FF-4EE5F1E48EE5}" name="Total costo" totalsRowFunction="sum" dataDxfId="1194" totalsRowDxfId="1193" dataCellStyle="Moneda">
      <calculatedColumnFormula>+Tabla1103453454455456479108135112172299306316424684[[#This Row],[Costo]]*Tabla1103453454455456479108135112172299306316424684[[#This Row],[Cant.]]</calculatedColumnFormula>
    </tableColumn>
  </tableColumns>
  <tableStyleInfo name="TableStyleLight8" showFirstColumn="0" showLastColumn="0" showRowStripes="1" showColumnStripes="0"/>
</table>
</file>

<file path=xl/tables/table3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AA42EE82-44E3-450F-99B5-0B96B7A00857}" name="Tabla1103453454455456479108130137161" displayName="Tabla1103453454455456479108130137161" ref="B8:H23" totalsRowCount="1" headerRowDxfId="1192" dataDxfId="1190" totalsRowDxfId="1188" headerRowBorderDxfId="1191" tableBorderDxfId="1189" totalsRowBorderDxfId="1187">
  <autoFilter ref="B8:H22" xr:uid="{13FBCEAD-C7B8-4FC5-957B-A5E5AEE709E4}"/>
  <sortState xmlns:xlrd2="http://schemas.microsoft.com/office/spreadsheetml/2017/richdata2" ref="B9:H22">
    <sortCondition ref="B14"/>
  </sortState>
  <tableColumns count="7">
    <tableColumn id="2" xr3:uid="{2E3A9E65-FE26-41E5-B133-CF6C69ED9DFC}" name="Ingrediente" dataDxfId="1186" totalsRowDxfId="1185"/>
    <tableColumn id="3" xr3:uid="{F2252977-2175-42B6-9221-03804EACA915}" name="Und" dataDxfId="1184" totalsRowDxfId="1183"/>
    <tableColumn id="4" xr3:uid="{38F73234-42C6-431C-B743-2402D5678EDD}" name="Unidades Netas" dataDxfId="1182" totalsRowDxfId="1181"/>
    <tableColumn id="7" xr3:uid="{41468014-9D9D-4EE4-AA1D-52C25419C195}" name="% Merma" dataDxfId="1180" totalsRowDxfId="1179"/>
    <tableColumn id="1" xr3:uid="{CFE9074A-A41B-449D-9CB3-9C70D0C0A7D5}" name="Unidades" dataDxfId="1178" totalsRowDxfId="1177"/>
    <tableColumn id="5" xr3:uid="{3E3E2488-2139-4B56-8CE6-89A77DD2A32F}" name="Costo" dataDxfId="1176" totalsRowDxfId="1175" dataCellStyle="Moneda">
      <calculatedColumnFormula>+VLOOKUP(Tabla1103453454455456479108130137161[[#This Row],[Ingrediente]],Tabla34[#All],3,0)</calculatedColumnFormula>
    </tableColumn>
    <tableColumn id="6" xr3:uid="{1434E815-AB4D-467F-96FC-181D7F2F2389}" name="Total costo" totalsRowFunction="sum" dataDxfId="1174" totalsRowDxfId="1173" dataCellStyle="Moneda">
      <calculatedColumnFormula>+Tabla1103453454455456479108130137161[[#This Row],[Costo]]*Tabla1103453454455456479108130137161[[#This Row],[Unidades]]</calculatedColumnFormula>
    </tableColumn>
  </tableColumns>
  <tableStyleInfo name="TableStyleLight8" showFirstColumn="0" showLastColumn="0" showRowStripes="1" showColumnStripes="0"/>
</table>
</file>

<file path=xl/tables/table3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4921E396-C3A6-4074-A1F5-92C13E9BA40D}" name="Tabla1103453454455456479108131138162" displayName="Tabla1103453454455456479108131138162" ref="B26:H44" totalsRowCount="1" headerRowDxfId="1172" dataDxfId="1170" totalsRowDxfId="1168" headerRowBorderDxfId="1171" tableBorderDxfId="1169" totalsRowBorderDxfId="1167">
  <autoFilter ref="B26:H43" xr:uid="{A8736C73-67AA-48C5-B2F7-655C1CC0BBBD}"/>
  <sortState xmlns:xlrd2="http://schemas.microsoft.com/office/spreadsheetml/2017/richdata2" ref="B27:H42">
    <sortCondition ref="B31"/>
  </sortState>
  <tableColumns count="7">
    <tableColumn id="2" xr3:uid="{A51826CF-5C17-4477-9F88-BCD3C8C9FC36}" name="Ingrediente" dataDxfId="1166" totalsRowDxfId="1165"/>
    <tableColumn id="3" xr3:uid="{E8FB9A4F-BB49-45F8-AC89-3ACB09114CCD}" name="Und" dataDxfId="1164" totalsRowDxfId="1163"/>
    <tableColumn id="4" xr3:uid="{298BF917-9EF0-422F-BC6C-EBCE6C26D8F6}" name="Unidades Netas" dataDxfId="1162" totalsRowDxfId="1161"/>
    <tableColumn id="7" xr3:uid="{4030EB11-BACD-4022-88DD-42C33801F435}" name="% Merma" dataDxfId="1160" totalsRowDxfId="1159"/>
    <tableColumn id="1" xr3:uid="{F97A9B73-3C4F-41BC-BA54-2A83463B3775}" name="Unidades" dataDxfId="1158" totalsRowDxfId="1157"/>
    <tableColumn id="5" xr3:uid="{0430AC85-EF0A-4F86-9738-BB9FA516FF6A}" name="Costo" dataDxfId="1156" totalsRowDxfId="1155" dataCellStyle="Moneda">
      <calculatedColumnFormula>+VLOOKUP(Tabla1103453454455456479108131138162[[#This Row],[Ingrediente]],Tabla34[#All],3,0)</calculatedColumnFormula>
    </tableColumn>
    <tableColumn id="6" xr3:uid="{F0A5BA40-47FC-458A-9EA9-D7D7F27D82BA}" name="Total costo" totalsRowFunction="sum" dataDxfId="1154" totalsRowDxfId="1153" dataCellStyle="Moneda">
      <calculatedColumnFormula>+Tabla1103453454455456479108131138162[[#This Row],[Costo]]*Tabla1103453454455456479108131138162[[#This Row],[Unidades]]</calculatedColumnFormula>
    </tableColumn>
  </tableColumns>
  <tableStyleInfo name="TableStyleLight8" showFirstColumn="0" showLastColumn="0" showRowStripes="1" showColumnStripes="0"/>
</table>
</file>

<file path=xl/tables/table3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5" xr:uid="{A2AFF866-E0A2-465B-915A-D29F55B6012E}" name="Tabla1103453454455456479108131138162426" displayName="Tabla1103453454455456479108131138162426" ref="B50:H59" totalsRowCount="1" headerRowDxfId="1152" dataDxfId="1150" totalsRowDxfId="1148" headerRowBorderDxfId="1151" tableBorderDxfId="1149" totalsRowBorderDxfId="1147">
  <autoFilter ref="B50:H58" xr:uid="{A2AFF866-E0A2-465B-915A-D29F55B6012E}"/>
  <sortState xmlns:xlrd2="http://schemas.microsoft.com/office/spreadsheetml/2017/richdata2" ref="B51:H58">
    <sortCondition ref="B31"/>
  </sortState>
  <tableColumns count="7">
    <tableColumn id="2" xr3:uid="{0B753391-7D9F-487C-8E53-AF08A4C1CBE4}" name="Ingrediente" dataDxfId="1146" totalsRowDxfId="1145"/>
    <tableColumn id="3" xr3:uid="{CDCF1DED-1CD7-409A-87F3-BC329ECCF01B}" name="Und" dataDxfId="1144" totalsRowDxfId="1143"/>
    <tableColumn id="4" xr3:uid="{B58B835B-9B07-4964-8EA4-A3D6DC23DB89}" name="Unidades Netas" dataDxfId="1142" totalsRowDxfId="1141"/>
    <tableColumn id="7" xr3:uid="{363DF34B-B281-457E-ABE4-7F774D8F5304}" name="% Merma" dataDxfId="1140" totalsRowDxfId="1139"/>
    <tableColumn id="1" xr3:uid="{CFA05B15-B0D0-47DB-A2A7-DF31DD2C5E8D}" name="Unidades" dataDxfId="1138" totalsRowDxfId="1137"/>
    <tableColumn id="5" xr3:uid="{43751576-24D9-4B02-A9C8-1BE0A7EADD34}" name="Costo" dataDxfId="1136" totalsRowDxfId="1135" dataCellStyle="Moneda">
      <calculatedColumnFormula>+VLOOKUP(Tabla1103453454455456479108131138162426[[#This Row],[Ingrediente]],Tabla34[#All],3,0)</calculatedColumnFormula>
    </tableColumn>
    <tableColumn id="6" xr3:uid="{9BD685D7-511A-444A-A6F1-0FD454BF9F75}" name="Total costo" totalsRowFunction="custom" dataDxfId="1134" totalsRowDxfId="1133" dataCellStyle="Moneda">
      <calculatedColumnFormula>+Tabla1103453454455456479108131138162426[[#This Row],[Costo]]*Tabla1103453454455456479108131138162426[[#This Row],[Unidades]]</calculatedColumnFormula>
      <totalsRowFormula>4518+2600</totalsRowFormula>
    </tableColumn>
  </tableColumns>
  <tableStyleInfo name="TableStyleLight8" showFirstColumn="0" showLastColumn="0" showRowStripes="1" showColumnStripes="0"/>
</table>
</file>

<file path=xl/tables/table3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6" xr:uid="{935C227B-EE07-48F7-8552-2A1FCC2ECA12}" name="Tabla1103453454455456479108131138162426427" displayName="Tabla1103453454455456479108131138162426427" ref="B64:H70" totalsRowCount="1" headerRowDxfId="1132" dataDxfId="1130" totalsRowDxfId="1128" headerRowBorderDxfId="1131" tableBorderDxfId="1129" totalsRowBorderDxfId="1127">
  <autoFilter ref="B64:H69" xr:uid="{935C227B-EE07-48F7-8552-2A1FCC2ECA12}"/>
  <sortState xmlns:xlrd2="http://schemas.microsoft.com/office/spreadsheetml/2017/richdata2" ref="B65:H69">
    <sortCondition ref="B31"/>
  </sortState>
  <tableColumns count="7">
    <tableColumn id="2" xr3:uid="{B222C614-050C-47BD-9898-CE4CB48ABB22}" name="Ingrediente" dataDxfId="1126" totalsRowDxfId="1125"/>
    <tableColumn id="3" xr3:uid="{5CC4D78F-1772-46ED-A991-EDF6BEE38EBE}" name="Und" dataDxfId="1124" totalsRowDxfId="1123"/>
    <tableColumn id="4" xr3:uid="{684A2096-0F41-441C-9110-C7CB87800E7A}" name="Unidades Netas" dataDxfId="1122" totalsRowDxfId="1121"/>
    <tableColumn id="7" xr3:uid="{1877B4FD-AD46-44CD-B8A6-0A7555D741F1}" name="% Merma" dataDxfId="1120" totalsRowDxfId="1119"/>
    <tableColumn id="1" xr3:uid="{34E63F74-AF5E-432C-920C-FE291BF4EE79}" name="Unidades" dataDxfId="1118" totalsRowDxfId="1117"/>
    <tableColumn id="5" xr3:uid="{829FE08F-6B2A-4065-9E0B-982172CA536D}" name="Costo" dataDxfId="1116" totalsRowDxfId="1115" dataCellStyle="Moneda">
      <calculatedColumnFormula>+VLOOKUP(Tabla1103453454455456479108131138162426427[[#This Row],[Ingrediente]],Tabla34[#All],3,0)</calculatedColumnFormula>
    </tableColumn>
    <tableColumn id="6" xr3:uid="{B64AA41F-FB95-4774-B43A-E83F6ECD3317}" name="Total costo" totalsRowLabel=" $ 3.916 " dataDxfId="1114" totalsRowDxfId="1113" dataCellStyle="Moneda">
      <calculatedColumnFormula>+Tabla1103453454455456479108131138162426427[[#This Row],[Costo]]*Tabla1103453454455456479108131138162426427[[#This Row],[Unidades]]</calculatedColumnFormula>
    </tableColumn>
  </tableColumns>
  <tableStyleInfo name="TableStyleLight8" showFirstColumn="0" showLastColumn="0" showRowStripes="1" showColumnStripes="0"/>
</table>
</file>

<file path=xl/tables/table3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7" xr:uid="{DBBC013E-7912-406D-8BB0-7F260AE77A32}" name="Tabla1103453454455456479108131138162426427428" displayName="Tabla1103453454455456479108131138162426427428" ref="B76:H82" totalsRowCount="1" headerRowDxfId="1112" dataDxfId="1110" totalsRowDxfId="1108" headerRowBorderDxfId="1111" tableBorderDxfId="1109" totalsRowBorderDxfId="1107">
  <autoFilter ref="B76:H81" xr:uid="{DBBC013E-7912-406D-8BB0-7F260AE77A32}"/>
  <sortState xmlns:xlrd2="http://schemas.microsoft.com/office/spreadsheetml/2017/richdata2" ref="B77:H81">
    <sortCondition ref="B31"/>
  </sortState>
  <tableColumns count="7">
    <tableColumn id="2" xr3:uid="{97405048-031F-483B-BB09-6FBC187C5157}" name="Ingrediente" dataDxfId="1106" totalsRowDxfId="1105"/>
    <tableColumn id="3" xr3:uid="{7BED7AC3-131F-41AD-AC89-24EF33D431CE}" name="Und" dataDxfId="1104" totalsRowDxfId="1103"/>
    <tableColumn id="4" xr3:uid="{A49094F7-38C2-4C4F-AA96-36A560EB8AAB}" name="Unidades Netas" dataDxfId="1102" totalsRowDxfId="1101"/>
    <tableColumn id="7" xr3:uid="{72B70198-09B6-42AA-9E3C-0942777F0E3A}" name="% Merma" dataDxfId="1100" totalsRowDxfId="1099"/>
    <tableColumn id="1" xr3:uid="{8A4B5FE7-72E7-49F9-9943-AE96D5E280C7}" name="Unidades" dataDxfId="1098" totalsRowDxfId="1097"/>
    <tableColumn id="5" xr3:uid="{6C5B4D68-8240-446A-A03B-C29203443332}" name="Costo" dataDxfId="1096" totalsRowDxfId="1095" dataCellStyle="Moneda">
      <calculatedColumnFormula>+VLOOKUP(Tabla1103453454455456479108131138162426427428[[#This Row],[Ingrediente]],Tabla34[#All],3,0)</calculatedColumnFormula>
    </tableColumn>
    <tableColumn id="6" xr3:uid="{4715F705-4D22-4908-8B78-8EA782B1395A}" name="Total costo" totalsRowLabel=" $ 1.213 " dataDxfId="1094" totalsRowDxfId="1093" dataCellStyle="Moneda">
      <calculatedColumnFormula>+Tabla1103453454455456479108131138162426427428[[#This Row],[Costo]]*Tabla1103453454455456479108131138162426427428[[#This Row],[Unidades]]</calculatedColumnFormula>
    </tableColumn>
  </tableColumns>
  <tableStyleInfo name="TableStyleLight8" showFirstColumn="0" showLastColumn="0" showRowStripes="1" showColumnStripes="0"/>
</table>
</file>

<file path=xl/tables/table3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05FE44-711C-4833-9363-B1AD0A26CC0F}" name="Tabla11034534544554564791081351121722993063164" displayName="Tabla11034534544554564791081351121722993063164" ref="B7:F9" totalsRowCount="1" headerRowDxfId="1092" dataDxfId="1090" totalsRowDxfId="1088" headerRowBorderDxfId="1091" tableBorderDxfId="1089" totalsRowBorderDxfId="1087">
  <autoFilter ref="B7:F8" xr:uid="{78BE3A0D-ECA7-47BB-B29F-2C3C5A2344BE}"/>
  <sortState xmlns:xlrd2="http://schemas.microsoft.com/office/spreadsheetml/2017/richdata2" ref="B8:F8">
    <sortCondition descending="1" ref="F8"/>
  </sortState>
  <tableColumns count="5">
    <tableColumn id="2" xr3:uid="{E24E284A-7F5C-4F28-AD65-9E5456F58A0F}" name="Ingrediente" dataDxfId="1086" totalsRowDxfId="1085"/>
    <tableColumn id="3" xr3:uid="{F75250CB-DF92-4305-8396-9346FE026EE4}" name="Und" dataDxfId="1084" totalsRowDxfId="1083"/>
    <tableColumn id="4" xr3:uid="{252FED7B-08FB-42E3-A851-4786CA6FD42D}" name="Cant." dataDxfId="1082" totalsRowDxfId="1081"/>
    <tableColumn id="5" xr3:uid="{B8CF5FA1-001A-4C2A-8109-2892BF0A2E95}" name="Costo" dataDxfId="1080" totalsRowDxfId="1079" dataCellStyle="Moneda">
      <calculatedColumnFormula>+VLOOKUP(Tabla11034534544554564791081351121722993063164[[#This Row],[Ingrediente]],Tabla34[#All],3,0)</calculatedColumnFormula>
    </tableColumn>
    <tableColumn id="6" xr3:uid="{5D774015-1CCF-4263-AAD9-330900E01688}" name="Total costo" totalsRowFunction="sum" dataDxfId="1078" totalsRowDxfId="1077" dataCellStyle="Moneda">
      <calculatedColumnFormula>+Tabla11034534544554564791081351121722993063164[[#This Row],[Costo]]*Tabla11034534544554564791081351121722993063164[[#This Row],[Cant.]]</calculatedColumnFormula>
    </tableColumn>
  </tableColumns>
  <tableStyleInfo name="TableStyleLight8" showFirstColumn="0" showLastColumn="0" showRowStripes="1" showColumnStripes="0"/>
</table>
</file>

<file path=xl/tables/table3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2" xr:uid="{DBE10BE8-C13A-47BC-A4AB-06462C40F731}" name="Tabla11034534544554564791081351121722993063164283" displayName="Tabla11034534544554564791081351121722993063164283" ref="B20:F22" totalsRowCount="1" headerRowDxfId="1076" dataDxfId="1074" totalsRowDxfId="1072" headerRowBorderDxfId="1075" tableBorderDxfId="1073" totalsRowBorderDxfId="1071">
  <autoFilter ref="B20:F21" xr:uid="{755B1554-1135-4CED-A68B-171AA16D137B}"/>
  <sortState xmlns:xlrd2="http://schemas.microsoft.com/office/spreadsheetml/2017/richdata2" ref="B21:F21">
    <sortCondition descending="1" ref="F8"/>
  </sortState>
  <tableColumns count="5">
    <tableColumn id="2" xr3:uid="{57F7CEA3-5D92-42A2-90BF-010D73C6CEA8}" name="Ingrediente" dataDxfId="1070" totalsRowDxfId="1069"/>
    <tableColumn id="3" xr3:uid="{EC8D1196-06D8-484F-A33F-5AA3ED13454D}" name="Und" dataDxfId="1068" totalsRowDxfId="1067"/>
    <tableColumn id="4" xr3:uid="{BF51CCF1-CC45-4B24-9C46-EEFAEDCA3550}" name="Cant." dataDxfId="1066" totalsRowDxfId="1065"/>
    <tableColumn id="5" xr3:uid="{8F7A104A-9F5D-4CCE-A521-8E9735AFBC37}" name="Costo" dataDxfId="1064" totalsRowDxfId="1063" dataCellStyle="Moneda">
      <calculatedColumnFormula>+VLOOKUP(Tabla11034534544554564791081351121722993063164283[[#This Row],[Ingrediente]],Tabla34[#All],3,0)</calculatedColumnFormula>
    </tableColumn>
    <tableColumn id="6" xr3:uid="{8BA4AD2E-3EF7-4975-8635-920913B915CF}" name="Total costo" totalsRowFunction="sum" dataDxfId="1062" totalsRowDxfId="1061" dataCellStyle="Moneda">
      <calculatedColumnFormula>+Tabla11034534544554564791081351121722993063164283[[#This Row],[Costo]]*Tabla11034534544554564791081351121722993063164283[[#This Row],[Cant.]]</calculatedColumnFormula>
    </tableColumn>
  </tableColumns>
  <tableStyleInfo name="TableStyleLight8" showFirstColumn="0" showLastColumn="0" showRowStripes="1" showColumnStripes="0"/>
</table>
</file>

<file path=xl/tables/table3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3" xr:uid="{2F6B98E5-D4FC-415E-8CD4-0A00D25AECC5}" name="Tabla11034534544554564791081351121722993063164284" displayName="Tabla11034534544554564791081351121722993063164284" ref="B32:F34" totalsRowCount="1" headerRowDxfId="1060" dataDxfId="1058" totalsRowDxfId="1056" headerRowBorderDxfId="1059" tableBorderDxfId="1057" totalsRowBorderDxfId="1055">
  <autoFilter ref="B32:F33" xr:uid="{CA69B341-B151-440D-9C84-8EE8CDE1A3AC}"/>
  <sortState xmlns:xlrd2="http://schemas.microsoft.com/office/spreadsheetml/2017/richdata2" ref="B33:F33">
    <sortCondition descending="1" ref="F8"/>
  </sortState>
  <tableColumns count="5">
    <tableColumn id="2" xr3:uid="{3DBE33B6-7CC0-4B49-A909-B37433E43B93}" name="Ingrediente" dataDxfId="1054" totalsRowDxfId="1053"/>
    <tableColumn id="3" xr3:uid="{5556BC8E-5F51-4DB8-9711-26531377D11F}" name="Und" dataDxfId="1052" totalsRowDxfId="1051"/>
    <tableColumn id="4" xr3:uid="{509D041F-5FF3-42DA-AC35-3FE44D0F467E}" name="Cant." dataDxfId="1050" totalsRowDxfId="1049"/>
    <tableColumn id="5" xr3:uid="{B3AD580E-AF3E-4F2F-93DF-A16146A97EE6}" name="Costo" dataDxfId="1048" totalsRowDxfId="1047" dataCellStyle="Moneda">
      <calculatedColumnFormula>+VLOOKUP(Tabla11034534544554564791081351121722993063164284[[#This Row],[Ingrediente]],Tabla34[#All],3,0)</calculatedColumnFormula>
    </tableColumn>
    <tableColumn id="6" xr3:uid="{063237DD-3D41-4570-AD4F-2538FD0847ED}" name="Total costo" totalsRowFunction="sum" dataDxfId="1046" totalsRowDxfId="1045" dataCellStyle="Moneda">
      <calculatedColumnFormula>+Tabla11034534544554564791081351121722993063164284[[#This Row],[Costo]]*Tabla11034534544554564791081351121722993063164284[[#This Row],[Cant.]]</calculatedColumnFormula>
    </tableColumn>
  </tableColumns>
  <tableStyleInfo name="TableStyleLight8" showFirstColumn="0" showLastColumn="0" showRowStripes="1" showColumnStripes="0"/>
</table>
</file>

<file path=xl/tables/table3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4" xr:uid="{2D00F06D-9559-444E-93FC-A2F7AC30B270}" name="Tabla11034534544554564791081351121722993063164285" displayName="Tabla11034534544554564791081351121722993063164285" ref="B43:F45" totalsRowCount="1" headerRowDxfId="1044" dataDxfId="1042" totalsRowDxfId="1040" headerRowBorderDxfId="1043" tableBorderDxfId="1041" totalsRowBorderDxfId="1039">
  <autoFilter ref="B43:F44" xr:uid="{3148ACB1-8907-471A-9623-87D18847E822}"/>
  <sortState xmlns:xlrd2="http://schemas.microsoft.com/office/spreadsheetml/2017/richdata2" ref="B44:F44">
    <sortCondition descending="1" ref="F8"/>
  </sortState>
  <tableColumns count="5">
    <tableColumn id="2" xr3:uid="{8C5C26B1-C886-429A-970E-453EDF8572A5}" name="Ingrediente" dataDxfId="1038" totalsRowDxfId="1037"/>
    <tableColumn id="3" xr3:uid="{BF311553-5DF0-41B0-A074-833654E128C2}" name="Und" dataDxfId="1036" totalsRowDxfId="1035"/>
    <tableColumn id="4" xr3:uid="{F4922C40-8FAF-42CE-BA9E-DB47462EC490}" name="Cant." dataDxfId="1034" totalsRowDxfId="1033"/>
    <tableColumn id="5" xr3:uid="{C92FA76A-6C0C-44DA-B288-7021BD708DC0}" name="Costo" dataDxfId="1032" totalsRowDxfId="1031" dataCellStyle="Moneda">
      <calculatedColumnFormula>+VLOOKUP(Tabla11034534544554564791081351121722993063164285[[#This Row],[Ingrediente]],Tabla34[#All],3,0)</calculatedColumnFormula>
    </tableColumn>
    <tableColumn id="6" xr3:uid="{C7CAE32C-FB4C-4B7C-B337-F0DF0950C8B7}" name="Total costo" totalsRowFunction="sum" dataDxfId="1030" totalsRowDxfId="1029" dataCellStyle="Moneda">
      <calculatedColumnFormula>+Tabla11034534544554564791081351121722993063164285[[#This Row],[Costo]]*Tabla11034534544554564791081351121722993063164285[[#This Row],[Cant.]]</calculatedColumnFormula>
    </tableColumn>
  </tableColumns>
  <tableStyleInfo name="TableStyleLight8" showFirstColumn="0" showLastColumn="0" showRowStripes="1" showColumnStripes="0"/>
</table>
</file>

<file path=xl/tables/table3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6" xr:uid="{6744F542-D839-4842-A0C6-546D2D081E80}" name="Tabla11034534544554564791081351121722993063164287" displayName="Tabla11034534544554564791081351121722993063164287" ref="B55:F57" totalsRowCount="1" headerRowDxfId="1028" dataDxfId="1026" totalsRowDxfId="1024" headerRowBorderDxfId="1027" tableBorderDxfId="1025" totalsRowBorderDxfId="1023">
  <autoFilter ref="B55:F56" xr:uid="{8BBB2853-DC71-44EB-B8BC-DDC866417DF9}"/>
  <sortState xmlns:xlrd2="http://schemas.microsoft.com/office/spreadsheetml/2017/richdata2" ref="B56:F56">
    <sortCondition descending="1" ref="F8"/>
  </sortState>
  <tableColumns count="5">
    <tableColumn id="2" xr3:uid="{743BCFDE-D01D-4828-9DDC-0F83A0FF1A7A}" name="Ingrediente" dataDxfId="1022" totalsRowDxfId="1021"/>
    <tableColumn id="3" xr3:uid="{240DA19C-8684-4175-9C2D-C1DEAB03D2E7}" name="Und" dataDxfId="1020" totalsRowDxfId="1019"/>
    <tableColumn id="4" xr3:uid="{3958E277-F419-4FC7-94CE-AA6C5560DD5D}" name="Cant." dataDxfId="1018" totalsRowDxfId="1017"/>
    <tableColumn id="5" xr3:uid="{64A0E040-3A3A-43C6-9A6B-C7660F87E674}" name="Costo" dataDxfId="1016" totalsRowDxfId="1015" dataCellStyle="Moneda">
      <calculatedColumnFormula>+VLOOKUP(Tabla11034534544554564791081351121722993063164287[[#This Row],[Ingrediente]],Tabla34[#All],3,0)</calculatedColumnFormula>
    </tableColumn>
    <tableColumn id="6" xr3:uid="{CD1BC39C-0CBB-4929-B3C0-3F9A3538DDB0}" name="Total costo" totalsRowFunction="sum" dataDxfId="1014" totalsRowDxfId="1013" dataCellStyle="Moneda">
      <calculatedColumnFormula>+Tabla11034534544554564791081351121722993063164287[[#This Row],[Costo]]*Tabla11034534544554564791081351121722993063164287[[#This Row],[Cant.]]</calculatedColumnFormula>
    </tableColumn>
  </tableColumns>
  <tableStyleInfo name="TableStyleLight8" showFirstColumn="0" showLastColumn="0" showRowStripes="1" showColumnStripes="0"/>
</table>
</file>

<file path=xl/tables/table3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8" xr:uid="{CECBE106-E8D9-4EA4-8A76-EC84059D24BB}" name="Tabla11034534544554564791081351121722993063164289" displayName="Tabla11034534544554564791081351121722993063164289" ref="B66:F68" totalsRowCount="1" headerRowDxfId="1012" dataDxfId="1010" totalsRowDxfId="1008" headerRowBorderDxfId="1011" tableBorderDxfId="1009" totalsRowBorderDxfId="1007">
  <autoFilter ref="B66:F67" xr:uid="{301F55F5-4C6F-4B82-887A-B43D4381AB4D}"/>
  <sortState xmlns:xlrd2="http://schemas.microsoft.com/office/spreadsheetml/2017/richdata2" ref="B67:F67">
    <sortCondition descending="1" ref="F8"/>
  </sortState>
  <tableColumns count="5">
    <tableColumn id="2" xr3:uid="{99023985-3B27-4D5D-BC58-274B184F1C70}" name="Ingrediente" dataDxfId="1006" totalsRowDxfId="1005"/>
    <tableColumn id="3" xr3:uid="{9426AF2F-F0C7-426E-874E-D7C0F7D0F5F4}" name="Und" dataDxfId="1004" totalsRowDxfId="1003"/>
    <tableColumn id="4" xr3:uid="{9C2D6114-C3FD-414E-B3A6-35E803438841}" name="Cant." dataDxfId="1002" totalsRowDxfId="1001"/>
    <tableColumn id="5" xr3:uid="{5B44FB78-4104-44A2-BE10-C0C619ABE5D4}" name="Costo" dataDxfId="1000" totalsRowDxfId="999" dataCellStyle="Moneda">
      <calculatedColumnFormula>+VLOOKUP(Tabla11034534544554564791081351121722993063164289[[#This Row],[Ingrediente]],Tabla34[#All],3,0)</calculatedColumnFormula>
    </tableColumn>
    <tableColumn id="6" xr3:uid="{B4554579-3FEF-428A-B33A-AFF8FABE4B0A}" name="Total costo" totalsRowFunction="sum" dataDxfId="998" totalsRowDxfId="997" dataCellStyle="Moneda">
      <calculatedColumnFormula>+Tabla11034534544554564791081351121722993063164289[[#This Row],[Costo]]*Tabla11034534544554564791081351121722993063164289[[#This Row],[Cant.]]</calculatedColumnFormula>
    </tableColumn>
  </tableColumns>
  <tableStyleInfo name="TableStyleLight8" showFirstColumn="0" showLastColumn="0" showRowStripes="1" showColumnStripes="0"/>
</table>
</file>

<file path=xl/tables/table3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9" xr:uid="{12D73509-1AE2-4C6B-953E-A0E6DD786CCC}" name="Tabla11034534544554564791081351121722993063164290" displayName="Tabla11034534544554564791081351121722993063164290" ref="B77:F79" totalsRowCount="1" headerRowDxfId="996" dataDxfId="994" totalsRowDxfId="992" headerRowBorderDxfId="995" tableBorderDxfId="993" totalsRowBorderDxfId="991">
  <autoFilter ref="B77:F78" xr:uid="{B2261B55-3632-4EF6-ADD1-2B8C2A7D2981}"/>
  <sortState xmlns:xlrd2="http://schemas.microsoft.com/office/spreadsheetml/2017/richdata2" ref="B78:F78">
    <sortCondition descending="1" ref="F8"/>
  </sortState>
  <tableColumns count="5">
    <tableColumn id="2" xr3:uid="{1BBBF209-F8B4-4358-857C-71BB778CED86}" name="Ingrediente" dataDxfId="990" totalsRowDxfId="989"/>
    <tableColumn id="3" xr3:uid="{311CA272-7788-4E53-A7C7-17466706DF87}" name="Und" dataDxfId="988" totalsRowDxfId="987"/>
    <tableColumn id="4" xr3:uid="{5872997A-CA2F-4A88-BDFC-70BFEB2E5EC5}" name="Cant." dataDxfId="986" totalsRowDxfId="985"/>
    <tableColumn id="5" xr3:uid="{BB6CE8B5-C904-490C-BDC1-0C966A42D600}" name="Costo" dataDxfId="984" totalsRowDxfId="983" dataCellStyle="Moneda">
      <calculatedColumnFormula>+VLOOKUP(Tabla11034534544554564791081351121722993063164290[[#This Row],[Ingrediente]],Tabla34[#All],3,0)</calculatedColumnFormula>
    </tableColumn>
    <tableColumn id="6" xr3:uid="{B3DD0BFF-6BE5-4343-BDA1-078CD398F94B}" name="Total costo" totalsRowFunction="sum" dataDxfId="982" totalsRowDxfId="981" dataCellStyle="Moneda">
      <calculatedColumnFormula>+Tabla11034534544554564791081351121722993063164290[[#This Row],[Costo]]*Tabla11034534544554564791081351121722993063164290[[#This Row],[Cant.]]</calculatedColumnFormula>
    </tableColumn>
  </tableColumns>
  <tableStyleInfo name="TableStyleLight8" showFirstColumn="0" showLastColumn="0" showRowStripes="1" showColumnStripes="0"/>
</table>
</file>

<file path=xl/tables/table3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5" xr:uid="{AF776233-61A9-40BC-BC5D-C7BA83BA9E7A}" name="Tabla11034534544554564791081351121722993063164290296" displayName="Tabla11034534544554564791081351121722993063164290296" ref="B90:F92" totalsRowCount="1" headerRowDxfId="980" dataDxfId="978" totalsRowDxfId="976" headerRowBorderDxfId="979" tableBorderDxfId="977" totalsRowBorderDxfId="975">
  <autoFilter ref="B90:F91" xr:uid="{484417F2-ED50-4BCC-A4A8-2F40F1A07AEC}"/>
  <sortState xmlns:xlrd2="http://schemas.microsoft.com/office/spreadsheetml/2017/richdata2" ref="B91:F91">
    <sortCondition descending="1" ref="F8"/>
  </sortState>
  <tableColumns count="5">
    <tableColumn id="2" xr3:uid="{127D2C7F-7B38-43BC-B8FA-94459369C8EF}" name="Ingrediente" dataDxfId="974" totalsRowDxfId="973"/>
    <tableColumn id="3" xr3:uid="{B56E7320-ABD0-4427-AF20-AFF1AC2FFF13}" name="Und" dataDxfId="972" totalsRowDxfId="971"/>
    <tableColumn id="4" xr3:uid="{00EEB0D7-1CAF-462A-9E8D-F5B3CAC6FAEA}" name="Cant." dataDxfId="970" totalsRowDxfId="969"/>
    <tableColumn id="5" xr3:uid="{B72E6D2A-C399-4F31-9F74-9646284F94F3}" name="Costo" dataDxfId="968" totalsRowDxfId="967" dataCellStyle="Moneda">
      <calculatedColumnFormula>+VLOOKUP(Tabla11034534544554564791081351121722993063164290296[[#This Row],[Ingrediente]],Tabla34[#All],3,0)</calculatedColumnFormula>
    </tableColumn>
    <tableColumn id="6" xr3:uid="{9BDE15AD-811F-4B02-86CC-8EFCC9DD6721}" name="Total costo" totalsRowFunction="sum" dataDxfId="966" totalsRowDxfId="965" dataCellStyle="Moneda">
      <calculatedColumnFormula>+Tabla11034534544554564791081351121722993063164290296[[#This Row],[Costo]]*Tabla11034534544554564791081351121722993063164290296[[#This Row],[Cant.]]</calculatedColumnFormula>
    </tableColumn>
  </tableColumns>
  <tableStyleInfo name="TableStyleLight8" showFirstColumn="0" showLastColumn="0" showRowStripes="1" showColumnStripes="0"/>
</table>
</file>

<file path=xl/tables/table3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6" xr:uid="{3591500F-5049-4EB7-9DAE-6FEF54580C7B}" name="Tabla11034534544554564791081351121722993063164290297" displayName="Tabla11034534544554564791081351121722993063164290297" ref="B102:F104" totalsRowCount="1" headerRowDxfId="964" dataDxfId="962" totalsRowDxfId="960" headerRowBorderDxfId="963" tableBorderDxfId="961" totalsRowBorderDxfId="959">
  <autoFilter ref="B102:F103" xr:uid="{43ADDAEB-75F2-4B17-9285-B2A0233E5B13}"/>
  <sortState xmlns:xlrd2="http://schemas.microsoft.com/office/spreadsheetml/2017/richdata2" ref="B103:F103">
    <sortCondition descending="1" ref="F8"/>
  </sortState>
  <tableColumns count="5">
    <tableColumn id="2" xr3:uid="{CFB981A4-4831-442C-AEAB-9AB9D7B408A0}" name="Ingrediente" dataDxfId="958" totalsRowDxfId="957"/>
    <tableColumn id="3" xr3:uid="{A08A4C8C-B042-44C6-986E-FD0C30AD61D7}" name="Und" dataDxfId="956" totalsRowDxfId="955"/>
    <tableColumn id="4" xr3:uid="{D49B451C-0F37-42C2-A965-46DD772CB378}" name="Cant." dataDxfId="954" totalsRowDxfId="953"/>
    <tableColumn id="5" xr3:uid="{FB179224-A828-41B5-8F59-0A2189C83605}" name="Costo" dataDxfId="952" totalsRowDxfId="951" dataCellStyle="Moneda">
      <calculatedColumnFormula>+VLOOKUP(Tabla11034534544554564791081351121722993063164290297[[#This Row],[Ingrediente]],Tabla34[#All],3,0)</calculatedColumnFormula>
    </tableColumn>
    <tableColumn id="6" xr3:uid="{A024CF13-7054-4F5A-82FE-325D8FFB98C2}" name="Total costo" totalsRowFunction="sum" dataDxfId="950" totalsRowDxfId="949" dataCellStyle="Moneda">
      <calculatedColumnFormula>+Tabla11034534544554564791081351121722993063164290297[[#This Row],[Costo]]*Tabla11034534544554564791081351121722993063164290297[[#This Row],[Cant.]]</calculatedColumnFormula>
    </tableColumn>
  </tableColumns>
  <tableStyleInfo name="TableStyleLight8" showFirstColumn="0" showLastColumn="0" showRowStripes="1" showColumnStripes="0"/>
</table>
</file>

<file path=xl/tables/table3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7" xr:uid="{15B2874C-6B1A-4214-AA58-3B81D4BD9CCA}" name="Tabla11034534544554564791081351121722993063164290298" displayName="Tabla11034534544554564791081351121722993063164290298" ref="B114:F116" totalsRowCount="1" headerRowDxfId="948" dataDxfId="946" totalsRowDxfId="944" headerRowBorderDxfId="947" tableBorderDxfId="945" totalsRowBorderDxfId="943">
  <autoFilter ref="B114:F115" xr:uid="{65682444-64D7-4C2D-98AC-9617ECD77DCD}"/>
  <sortState xmlns:xlrd2="http://schemas.microsoft.com/office/spreadsheetml/2017/richdata2" ref="B115:F115">
    <sortCondition descending="1" ref="F8"/>
  </sortState>
  <tableColumns count="5">
    <tableColumn id="2" xr3:uid="{CDF0F04A-6D03-4684-81DE-CA98F5BB51EC}" name="Ingrediente" dataDxfId="942" totalsRowDxfId="941"/>
    <tableColumn id="3" xr3:uid="{9EF19E9C-875A-4498-98A8-BC77F2B8BF7A}" name="Und" dataDxfId="940" totalsRowDxfId="939"/>
    <tableColumn id="4" xr3:uid="{ABB4E6B9-4559-42ED-BF84-E58333BE4970}" name="Cant." dataDxfId="938" totalsRowDxfId="937"/>
    <tableColumn id="5" xr3:uid="{E64F8BC0-5EE2-42A1-B820-AF07DF6F669F}" name="Costo" dataDxfId="936" totalsRowDxfId="935" dataCellStyle="Moneda">
      <calculatedColumnFormula>+VLOOKUP(Tabla11034534544554564791081351121722993063164290298[[#This Row],[Ingrediente]],Tabla34[#All],3,0)</calculatedColumnFormula>
    </tableColumn>
    <tableColumn id="6" xr3:uid="{16B89A7D-75F5-40AF-832E-F3FBE60FA79D}" name="Total costo" totalsRowFunction="sum" dataDxfId="934" totalsRowDxfId="933" dataCellStyle="Moneda">
      <calculatedColumnFormula>+Tabla11034534544554564791081351121722993063164290298[[#This Row],[Costo]]*Tabla11034534544554564791081351121722993063164290298[[#This Row],[Cant.]]</calculatedColumnFormula>
    </tableColumn>
  </tableColumns>
  <tableStyleInfo name="TableStyleLight8" showFirstColumn="0" showLastColumn="0" showRowStripes="1" showColumnStripes="0"/>
</table>
</file>

<file path=xl/tables/table3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15F08678-A7E6-4A52-B71D-28BFB0BFCC24}" name="Tabla110345345445545647910813510837" displayName="Tabla110345345445545647910813510837" ref="B7:H9" totalsRowCount="1" headerRowDxfId="932" dataDxfId="930" totalsRowDxfId="928" headerRowBorderDxfId="931" tableBorderDxfId="929" totalsRowBorderDxfId="927">
  <autoFilter ref="B7:H8" xr:uid="{78BE3A0D-ECA7-47BB-B29F-2C3C5A2344BE}"/>
  <sortState xmlns:xlrd2="http://schemas.microsoft.com/office/spreadsheetml/2017/richdata2" ref="B8:H8">
    <sortCondition ref="B8"/>
  </sortState>
  <tableColumns count="7">
    <tableColumn id="2" xr3:uid="{3DCDF2E6-576B-4D71-9B97-0D6F88FA3AC0}" name="Ingrediente" dataDxfId="926" totalsRowDxfId="925"/>
    <tableColumn id="3" xr3:uid="{A4642AD5-8708-41F7-A7C7-9BE1CD05BF00}" name="Und" dataDxfId="924" totalsRowDxfId="923"/>
    <tableColumn id="4" xr3:uid="{894697CD-2D3C-4891-A0B9-2F9F99608BA6}" name="Unidades Netas" dataDxfId="922" totalsRowDxfId="921"/>
    <tableColumn id="7" xr3:uid="{05A1D263-6C5A-4FBB-B992-892B93D9B747}" name="% Merma" dataDxfId="920" totalsRowDxfId="919"/>
    <tableColumn id="1" xr3:uid="{2E9FC360-B844-42F0-BBAB-988CE69F7CDD}" name="Unidades" dataDxfId="918" totalsRowDxfId="917"/>
    <tableColumn id="5" xr3:uid="{68B1442B-30F6-43C0-9993-6E4E92F2BF33}" name="Costo" dataDxfId="916" totalsRowDxfId="915" dataCellStyle="Moneda">
      <calculatedColumnFormula>+VLOOKUP(Tabla110345345445545647910813510837[[#This Row],[Ingrediente]],Tabla34[#All],3,0)</calculatedColumnFormula>
    </tableColumn>
    <tableColumn id="6" xr3:uid="{8B19D043-C7E0-44D7-9B9E-D25D44DEF134}" name="Total costo" totalsRowFunction="sum" dataDxfId="914" totalsRowDxfId="913" dataCellStyle="Moneda">
      <calculatedColumnFormula>+Tabla110345345445545647910813510837[[#This Row],[Costo]]*Tabla110345345445545647910813510837[[#This Row],[Unidades]]</calculatedColumnFormula>
    </tableColumn>
  </tableColumns>
  <tableStyleInfo name="TableStyleLight8" showFirstColumn="0" showLastColumn="0" showRowStripes="1" showColumnStripes="0"/>
</table>
</file>

<file path=xl/tables/table3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3DB88FE3-8309-47EE-A4F5-51EC8EA03469}" name="Tabla110345345445545647910812913611838" displayName="Tabla110345345445545647910812913611838" ref="B19:H21" totalsRowCount="1" headerRowDxfId="912" dataDxfId="910" totalsRowDxfId="908" headerRowBorderDxfId="911" tableBorderDxfId="909" totalsRowBorderDxfId="907">
  <autoFilter ref="B19:H20" xr:uid="{087B01A7-35AD-4F23-9E77-4B3FC96A2C1A}"/>
  <tableColumns count="7">
    <tableColumn id="2" xr3:uid="{8C83D10F-CFFB-4401-A3E6-056140D4F52E}" name="Ingrediente" dataDxfId="906" totalsRowDxfId="905"/>
    <tableColumn id="3" xr3:uid="{77C4ED98-8B5F-4A5C-9B8D-A20715E3CA7E}" name="Und" dataDxfId="904" totalsRowDxfId="903"/>
    <tableColumn id="4" xr3:uid="{52D0BA9E-0CE4-4FFF-81E8-DF942A94F72B}" name="Unidades Netas" dataDxfId="902" totalsRowDxfId="901"/>
    <tableColumn id="7" xr3:uid="{BA9AC6C0-9BE9-4B95-B5B3-5B2F434DD1AC}" name="% Merma" dataDxfId="900" totalsRowDxfId="899"/>
    <tableColumn id="1" xr3:uid="{C8975FCF-30AD-4B38-8975-5A43F130C734}" name="Unidades" dataDxfId="898" totalsRowDxfId="897"/>
    <tableColumn id="5" xr3:uid="{2154C11D-1285-461B-9C86-E4F915001574}" name="Costo" dataDxfId="896" totalsRowDxfId="895" dataCellStyle="Moneda">
      <calculatedColumnFormula>+VLOOKUP(Tabla110345345445545647910812913611838[[#This Row],[Ingrediente]],Tabla34[#All],3,0)</calculatedColumnFormula>
    </tableColumn>
    <tableColumn id="6" xr3:uid="{1B5CE5DE-B6AD-4A1F-99A7-76D69FA6EB22}" name="Total costo" totalsRowFunction="sum" dataDxfId="894" totalsRowDxfId="893" dataCellStyle="Moneda">
      <calculatedColumnFormula>+Tabla110345345445545647910812913611838[[#This Row],[Costo]]*Tabla110345345445545647910812913611838[[#This Row],[Unidades]]</calculatedColumnFormula>
    </tableColumn>
  </tableColumns>
  <tableStyleInfo name="TableStyleLight8" showFirstColumn="0" showLastColumn="0" showRowStripes="1" showColumnStripes="0"/>
</table>
</file>

<file path=xl/tables/table3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4" xr:uid="{CAA8748C-23F7-4449-A078-7D88A3EE6082}" name="Tabla1103453454455456479108135149335" displayName="Tabla1103453454455456479108135149335" ref="B8:F16" totalsRowCount="1" headerRowDxfId="892" dataDxfId="890" totalsRowDxfId="888" headerRowBorderDxfId="891" tableBorderDxfId="889" totalsRowBorderDxfId="887">
  <autoFilter ref="B8:F15" xr:uid="{4C2DF447-FE4D-4281-8710-5FB00D4C515A}"/>
  <sortState xmlns:xlrd2="http://schemas.microsoft.com/office/spreadsheetml/2017/richdata2" ref="B9:F15">
    <sortCondition ref="B12"/>
  </sortState>
  <tableColumns count="5">
    <tableColumn id="2" xr3:uid="{81ABBC0F-F6DF-4F8D-BCA8-A23A995A52A5}" name="Ingrediente" dataDxfId="886" totalsRowDxfId="885"/>
    <tableColumn id="3" xr3:uid="{1B8020B7-018C-4947-8A8F-B6CF01DDA024}" name="Und" dataDxfId="884" totalsRowDxfId="883"/>
    <tableColumn id="4" xr3:uid="{24F919FA-AC8D-4CDD-B327-EF874CBA3056}" name="Cant." dataDxfId="882" totalsRowDxfId="881"/>
    <tableColumn id="5" xr3:uid="{E7A3A980-C31C-4C75-8BBD-7625E7737F76}" name="Costo" dataDxfId="880" totalsRowDxfId="879" dataCellStyle="Moneda">
      <calculatedColumnFormula>+VLOOKUP(Tabla1103453454455456479108135149335[[#This Row],[Ingrediente]],#REF!,3,0)</calculatedColumnFormula>
    </tableColumn>
    <tableColumn id="6" xr3:uid="{77A2C272-2735-4BCB-94BC-C855A135B8AC}" name="Total costo" totalsRowFunction="sum" dataDxfId="878" totalsRowDxfId="877" dataCellStyle="Moneda">
      <calculatedColumnFormula>+Tabla1103453454455456479108135149335[[#This Row],[Costo]]*Tabla1103453454455456479108135149335[[#This Row],[Cant.]]</calculatedColumnFormula>
    </tableColumn>
  </tableColumns>
  <tableStyleInfo name="TableStyleLight8" showFirstColumn="0" showLastColumn="0" showRowStripes="1" showColumnStripes="0"/>
</table>
</file>

<file path=xl/tables/table3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9" xr:uid="{D45982FC-124C-4AAD-9F28-ADE461A81825}" name="Tabla1103453454455456479108135149335340" displayName="Tabla1103453454455456479108135149335340" ref="B20:F28" totalsRowCount="1" headerRowDxfId="876" dataDxfId="874" totalsRowDxfId="872" headerRowBorderDxfId="875" tableBorderDxfId="873" totalsRowBorderDxfId="871">
  <autoFilter ref="B20:F27" xr:uid="{AC738B43-BC01-450F-A84F-796F81C64DED}"/>
  <sortState xmlns:xlrd2="http://schemas.microsoft.com/office/spreadsheetml/2017/richdata2" ref="B21:F27">
    <sortCondition ref="B12"/>
  </sortState>
  <tableColumns count="5">
    <tableColumn id="2" xr3:uid="{2859124F-1387-4935-9E3E-83AFF62C11A5}" name="Ingrediente" dataDxfId="870" totalsRowDxfId="869"/>
    <tableColumn id="3" xr3:uid="{9000579C-99A4-4B42-995D-4FBEF6399FF7}" name="Und" dataDxfId="868" totalsRowDxfId="867"/>
    <tableColumn id="4" xr3:uid="{10DCBC9F-371F-4682-8A93-876D4F1C8237}" name="Cant." dataDxfId="866" totalsRowDxfId="865"/>
    <tableColumn id="5" xr3:uid="{FB886716-AFB5-4CA6-80F1-1D27773FF5A1}" name="Costo" dataDxfId="864" totalsRowDxfId="863" dataCellStyle="Moneda">
      <calculatedColumnFormula>+VLOOKUP(Tabla1103453454455456479108135149335340[[#This Row],[Ingrediente]],#REF!,3,0)</calculatedColumnFormula>
    </tableColumn>
    <tableColumn id="6" xr3:uid="{AB481B6D-9920-4E5B-A93D-8832479E0A5B}" name="Total costo" totalsRowFunction="sum" dataDxfId="862" totalsRowDxfId="861" dataCellStyle="Moneda">
      <calculatedColumnFormula>+Tabla1103453454455456479108135149335340[[#This Row],[Costo]]*Tabla1103453454455456479108135149335340[[#This Row],[Cant.]]</calculatedColumnFormula>
    </tableColumn>
  </tableColumns>
  <tableStyleInfo name="TableStyleLight8" showFirstColumn="0" showLastColumn="0" showRowStripes="1" showColumnStripes="0"/>
</table>
</file>

<file path=xl/tables/table3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5" xr:uid="{A396F214-1A21-4FDB-AF8C-81F8A11CE162}" name="Tabla1103453454455456479108135149335340346" displayName="Tabla1103453454455456479108135149335340346" ref="B32:F40" totalsRowCount="1" headerRowDxfId="860" dataDxfId="858" totalsRowDxfId="856" headerRowBorderDxfId="859" tableBorderDxfId="857" totalsRowBorderDxfId="855">
  <autoFilter ref="B32:F39" xr:uid="{A396F214-1A21-4FDB-AF8C-81F8A11CE162}"/>
  <sortState xmlns:xlrd2="http://schemas.microsoft.com/office/spreadsheetml/2017/richdata2" ref="B33:F39">
    <sortCondition ref="B12"/>
  </sortState>
  <tableColumns count="5">
    <tableColumn id="2" xr3:uid="{9D2F2F30-EC6A-4E6C-9393-97A4BC5E383C}" name="Ingrediente" dataDxfId="854" totalsRowDxfId="853"/>
    <tableColumn id="3" xr3:uid="{2E37159B-B2C0-429B-A447-F58DE41FA7CE}" name="Und" dataDxfId="852" totalsRowDxfId="851"/>
    <tableColumn id="4" xr3:uid="{1DC8B3E0-A34F-4B3C-801A-9E0558CB24BD}" name="Cant." dataDxfId="850" totalsRowDxfId="849"/>
    <tableColumn id="5" xr3:uid="{4A13E7BB-5611-4D1C-AFE2-5F36FCBA8353}" name="Costo" dataDxfId="848" totalsRowDxfId="847" dataCellStyle="Moneda">
      <calculatedColumnFormula>+VLOOKUP(Tabla1103453454455456479108135149335340346[[#This Row],[Ingrediente]],#REF!,3,0)</calculatedColumnFormula>
    </tableColumn>
    <tableColumn id="6" xr3:uid="{D1219F5A-966B-482F-83AA-C5441F79D5C0}" name="Total costo" totalsRowFunction="sum" dataDxfId="846" totalsRowDxfId="845" dataCellStyle="Moneda">
      <calculatedColumnFormula>+Tabla1103453454455456479108135149335340346[[#This Row],[Costo]]*Tabla1103453454455456479108135149335340346[[#This Row],[Cant.]]</calculatedColumnFormula>
    </tableColumn>
  </tableColumns>
  <tableStyleInfo name="TableStyleLight8" showFirstColumn="0" showLastColumn="0" showRowStripes="1" showColumnStripes="0"/>
</table>
</file>

<file path=xl/tables/table3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7" xr:uid="{A8ABEEF5-2438-4AD8-8CFE-FD3DD124CF50}" name="Tabla1103453454455456479108135149335340346348" displayName="Tabla1103453454455456479108135149335340346348" ref="B45:F62" totalsRowCount="1" headerRowDxfId="844" dataDxfId="842" totalsRowDxfId="840" headerRowBorderDxfId="843" tableBorderDxfId="841" totalsRowBorderDxfId="839">
  <autoFilter ref="B45:F61" xr:uid="{A8ABEEF5-2438-4AD8-8CFE-FD3DD124CF50}"/>
  <sortState xmlns:xlrd2="http://schemas.microsoft.com/office/spreadsheetml/2017/richdata2" ref="B46:F61">
    <sortCondition ref="B51:B61"/>
  </sortState>
  <tableColumns count="5">
    <tableColumn id="2" xr3:uid="{5B2C0DC7-1E46-4182-9322-84DCA51E8DB0}" name="Ingrediente" dataDxfId="838" totalsRowDxfId="837"/>
    <tableColumn id="3" xr3:uid="{F86D1657-B327-4723-AEF8-D4F15605EB32}" name="Und" dataDxfId="836" totalsRowDxfId="835"/>
    <tableColumn id="4" xr3:uid="{29D483BD-0F96-460E-A484-644E403158B4}" name="Cant." dataDxfId="834" totalsRowDxfId="833"/>
    <tableColumn id="5" xr3:uid="{5A061017-C2A0-48F2-BD29-6A4BFBD29C81}" name="Costo" dataDxfId="832" totalsRowDxfId="831" dataCellStyle="Moneda">
      <calculatedColumnFormula>+VLOOKUP(Tabla1103453454455456479108135149335340346348[[#This Row],[Ingrediente]],#REF!,3,0)</calculatedColumnFormula>
    </tableColumn>
    <tableColumn id="6" xr3:uid="{131BC080-EAC5-47AB-B5C1-F32CC0E2AFEF}" name="Total costo" totalsRowFunction="sum" dataDxfId="830" totalsRowDxfId="829" dataCellStyle="Moneda">
      <calculatedColumnFormula>+Tabla1103453454455456479108135149335340346348[[#This Row],[Costo]]*Tabla1103453454455456479108135149335340346348[[#This Row],[Cant.]]</calculatedColumnFormula>
    </tableColumn>
  </tableColumns>
  <tableStyleInfo name="TableStyleLight8" showFirstColumn="0" showLastColumn="0" showRowStripes="1" showColumnStripes="0"/>
</table>
</file>

<file path=xl/tables/table3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8" xr:uid="{D3C6B907-CCB9-4CED-8873-00791F4FE0DC}" name="Tabla1103453454455456479108135149335340346348349" displayName="Tabla1103453454455456479108135149335340346348349" ref="B66:F85" totalsRowCount="1" headerRowDxfId="828" dataDxfId="826" totalsRowDxfId="824" headerRowBorderDxfId="827" tableBorderDxfId="825" totalsRowBorderDxfId="823">
  <autoFilter ref="B66:F84" xr:uid="{D3C6B907-CCB9-4CED-8873-00791F4FE0DC}"/>
  <sortState xmlns:xlrd2="http://schemas.microsoft.com/office/spreadsheetml/2017/richdata2" ref="B67:F84">
    <sortCondition ref="B69:B84"/>
  </sortState>
  <tableColumns count="5">
    <tableColumn id="2" xr3:uid="{2A92E410-DBC4-4DA5-9973-58BE323BBAA2}" name="Ingrediente" dataDxfId="822" totalsRowDxfId="821"/>
    <tableColumn id="3" xr3:uid="{1E720AED-7748-4240-8B1A-7930E65D3211}" name="Und" dataDxfId="820" totalsRowDxfId="819"/>
    <tableColumn id="4" xr3:uid="{659748FE-C2B1-43C8-9B28-85789998D8D5}" name="Cant." dataDxfId="818" totalsRowDxfId="817"/>
    <tableColumn id="5" xr3:uid="{08E32AC1-F660-49DB-A50D-DF08F3DAD10E}" name="Costo" dataDxfId="816" totalsRowDxfId="815" dataCellStyle="Moneda">
      <calculatedColumnFormula>+VLOOKUP(Tabla1103453454455456479108135149335340346348349[[#This Row],[Ingrediente]],#REF!,3,0)</calculatedColumnFormula>
    </tableColumn>
    <tableColumn id="6" xr3:uid="{DB4182D1-FE4A-44B8-AB73-76E4FBE4F4CA}" name="Total costo" totalsRowFunction="sum" dataDxfId="814" totalsRowDxfId="813" dataCellStyle="Moneda">
      <calculatedColumnFormula>+Tabla1103453454455456479108135149335340346348349[[#This Row],[Costo]]*Tabla1103453454455456479108135149335340346348349[[#This Row],[Cant.]]</calculatedColumnFormula>
    </tableColumn>
  </tableColumns>
  <tableStyleInfo name="TableStyleLight8" showFirstColumn="0" showLastColumn="0" showRowStripes="1" showColumnStripes="0"/>
</table>
</file>

<file path=xl/tables/table3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7" xr:uid="{790E0A16-3186-4399-ADA3-B49EA4E6603E}" name="Tabla1103453454455456479108135149335340346348349378" displayName="Tabla1103453454455456479108135149335340346348349378" ref="B90:F104" totalsRowCount="1" headerRowDxfId="812" dataDxfId="810" totalsRowDxfId="808" headerRowBorderDxfId="811" tableBorderDxfId="809" totalsRowBorderDxfId="807">
  <autoFilter ref="B90:F103" xr:uid="{790E0A16-3186-4399-ADA3-B49EA4E6603E}"/>
  <sortState xmlns:xlrd2="http://schemas.microsoft.com/office/spreadsheetml/2017/richdata2" ref="B91:F103">
    <sortCondition ref="B95:B103"/>
  </sortState>
  <tableColumns count="5">
    <tableColumn id="2" xr3:uid="{BB48653B-7EAD-43CC-98AA-188E8A140B91}" name="Ingrediente" dataDxfId="806" totalsRowDxfId="805"/>
    <tableColumn id="3" xr3:uid="{241D099E-3146-40C9-AAAD-511BC11D6D8C}" name="Und" dataDxfId="804" totalsRowDxfId="803"/>
    <tableColumn id="4" xr3:uid="{17FB2E00-79B8-4AE0-B8D3-9E42B72DCA3A}" name="Cant." dataDxfId="802" totalsRowDxfId="801"/>
    <tableColumn id="5" xr3:uid="{7D0E9B24-6EBE-4B82-82C9-35F0037B9CD1}" name="Costo" dataDxfId="800" totalsRowDxfId="799" dataCellStyle="Moneda">
      <calculatedColumnFormula>+VLOOKUP(Tabla1103453454455456479108135149335340346348349378[[#This Row],[Ingrediente]],#REF!,3,0)</calculatedColumnFormula>
    </tableColumn>
    <tableColumn id="6" xr3:uid="{B38B1919-EB1C-464A-B585-C75B0615AB73}" name="Total costo" totalsRowFunction="sum" dataDxfId="798" totalsRowDxfId="797" dataCellStyle="Moneda">
      <calculatedColumnFormula>+Tabla1103453454455456479108135149335340346348349378[[#This Row],[Costo]]*Tabla1103453454455456479108135149335340346348349378[[#This Row],[Cant.]]</calculatedColumnFormula>
    </tableColumn>
  </tableColumns>
  <tableStyleInfo name="TableStyleLight8" showFirstColumn="0" showLastColumn="0" showRowStripes="1" showColumnStripes="0"/>
</table>
</file>

<file path=xl/tables/table3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6" xr:uid="{2BFA6CA3-622C-4507-98CF-9A94838034E3}" name="Tabla1103453454455456479108135149335340346348349387" displayName="Tabla1103453454455456479108135149335340346348349387" ref="B117:F122" totalsRowCount="1" headerRowDxfId="796" dataDxfId="794" totalsRowDxfId="792" headerRowBorderDxfId="795" tableBorderDxfId="793" totalsRowBorderDxfId="791">
  <autoFilter ref="B117:F121" xr:uid="{2BFA6CA3-622C-4507-98CF-9A94838034E3}"/>
  <sortState xmlns:xlrd2="http://schemas.microsoft.com/office/spreadsheetml/2017/richdata2" ref="B118:F121">
    <sortCondition ref="B12"/>
  </sortState>
  <tableColumns count="5">
    <tableColumn id="2" xr3:uid="{7878C7FB-A577-4306-829D-440AFD86BEAF}" name="Ingrediente" dataDxfId="790" totalsRowDxfId="789"/>
    <tableColumn id="3" xr3:uid="{290D4DE9-4B8D-4E61-B78A-EA7F0BBD1E6B}" name="Und" dataDxfId="788" totalsRowDxfId="787"/>
    <tableColumn id="4" xr3:uid="{2A45CA4B-1F22-4C19-B587-CBA24CD10BDB}" name="Cant." dataDxfId="786" totalsRowDxfId="785"/>
    <tableColumn id="5" xr3:uid="{0036C8E0-03EF-4D5A-96A1-658A02099C6E}" name="Costo" dataDxfId="784" totalsRowDxfId="783" dataCellStyle="Moneda">
      <calculatedColumnFormula>+VLOOKUP(Tabla1103453454455456479108135149335340346348349387[[#This Row],[Ingrediente]],#REF!,3,0)</calculatedColumnFormula>
    </tableColumn>
    <tableColumn id="6" xr3:uid="{2BCBEACF-8C5D-4E6F-A1F0-339FB07A5E56}" name="Total costo" totalsRowFunction="sum" dataDxfId="782" totalsRowDxfId="781" dataCellStyle="Moneda">
      <calculatedColumnFormula>+Tabla1103453454455456479108135149335340346348349387[[#This Row],[Costo]]*Tabla1103453454455456479108135149335340346348349387[[#This Row],[Cant.]]</calculatedColumnFormula>
    </tableColumn>
  </tableColumns>
  <tableStyleInfo name="TableStyleLight8" showFirstColumn="0" showLastColumn="0" showRowStripes="1" showColumnStripes="0"/>
</table>
</file>

<file path=xl/tables/table3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9" xr:uid="{203F0921-4595-49E5-94AF-D1B6AB83E375}" name="Tabla1103453454455456479108135149219379380" displayName="Tabla1103453454455456479108135149219379380" ref="A7:E9" totalsRowCount="1" headerRowDxfId="780" dataDxfId="778" totalsRowDxfId="776" headerRowBorderDxfId="779" tableBorderDxfId="777" totalsRowBorderDxfId="775">
  <autoFilter ref="A7:E8" xr:uid="{39FC5A79-9CA1-4951-B76D-75E00818F26E}"/>
  <sortState xmlns:xlrd2="http://schemas.microsoft.com/office/spreadsheetml/2017/richdata2" ref="A8:E8">
    <sortCondition descending="1" ref="E8"/>
  </sortState>
  <tableColumns count="5">
    <tableColumn id="2" xr3:uid="{2EEBAA89-8E32-4F86-B714-0A02595E18BA}" name="Ingrediente" dataDxfId="774" totalsRowDxfId="773"/>
    <tableColumn id="3" xr3:uid="{7CCCB3FA-AC7C-42AC-9A49-C4E813438C86}" name="Und" dataDxfId="772" totalsRowDxfId="771"/>
    <tableColumn id="4" xr3:uid="{9CF621F6-F870-44F2-BF22-652A397E1574}" name="Cant." dataDxfId="770" totalsRowDxfId="769"/>
    <tableColumn id="5" xr3:uid="{2807BF4F-33BA-49C0-BA1F-553C449F9D50}" name="Costo" dataDxfId="768" totalsRowDxfId="767" dataCellStyle="Moneda">
      <calculatedColumnFormula>+VLOOKUP(Tabla1103453454455456479108135149219379380[[#This Row],[Ingrediente]],Tabla34[#All],3,0)</calculatedColumnFormula>
    </tableColumn>
    <tableColumn id="6" xr3:uid="{32898673-E060-4EBD-ACC8-E442FDD71158}" name="Total costo" totalsRowFunction="sum" dataDxfId="766" totalsRowDxfId="765" dataCellStyle="Moneda">
      <calculatedColumnFormula>+Tabla1103453454455456479108135149219379380[[#This Row],[Costo]]*Tabla1103453454455456479108135149219379380[[#This Row],[Cant.]]</calculatedColumnFormula>
    </tableColumn>
  </tableColumns>
  <tableStyleInfo name="TableStyleLight8" showFirstColumn="0" showLastColumn="0" showRowStripes="1" showColumnStripes="0"/>
</table>
</file>

<file path=xl/tables/table3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7" xr:uid="{CFF2FE3E-C057-430C-888B-260223DDE733}" name="Tabla1103453454455456479108135149219379380388" displayName="Tabla1103453454455456479108135149219379380388" ref="A19:E21" totalsRowCount="1" headerRowDxfId="764" dataDxfId="762" totalsRowDxfId="760" headerRowBorderDxfId="763" tableBorderDxfId="761" totalsRowBorderDxfId="759">
  <autoFilter ref="A19:E20" xr:uid="{62B5CCDE-D61F-4781-BC18-ACE932E87202}"/>
  <sortState xmlns:xlrd2="http://schemas.microsoft.com/office/spreadsheetml/2017/richdata2" ref="A20:E20">
    <sortCondition descending="1" ref="E8"/>
  </sortState>
  <tableColumns count="5">
    <tableColumn id="2" xr3:uid="{5E31CB8C-0246-4792-9812-9E41178B3F12}" name="Ingrediente" dataDxfId="758" totalsRowDxfId="757"/>
    <tableColumn id="3" xr3:uid="{9C48C396-B45E-4172-A067-8350FFF18681}" name="Und" dataDxfId="756" totalsRowDxfId="755"/>
    <tableColumn id="4" xr3:uid="{4200DBC5-60A6-43FD-B458-6AD58757E860}" name="Cant." dataDxfId="754" totalsRowDxfId="753"/>
    <tableColumn id="5" xr3:uid="{A4C2CFBB-9815-4BC6-B168-B2418F926E9E}" name="Costo" dataDxfId="752" totalsRowDxfId="751" dataCellStyle="Moneda">
      <calculatedColumnFormula>+VLOOKUP(Tabla1103453454455456479108135149219379380388[[#This Row],[Ingrediente]],Tabla34[#All],3,0)</calculatedColumnFormula>
    </tableColumn>
    <tableColumn id="6" xr3:uid="{102C12AB-0EFE-41FE-9FBE-52C5E9FC7421}" name="Total costo" totalsRowFunction="sum" dataDxfId="750" totalsRowDxfId="749" dataCellStyle="Moneda">
      <calculatedColumnFormula>+Tabla1103453454455456479108135149219379380388[[#This Row],[Costo]]*Tabla1103453454455456479108135149219379380388[[#This Row],[Cant.]]</calculatedColumnFormula>
    </tableColumn>
  </tableColumns>
  <tableStyleInfo name="TableStyleLight8" showFirstColumn="0" showLastColumn="0" showRowStripes="1" showColumnStripes="0"/>
</table>
</file>

<file path=xl/tables/table3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8" xr:uid="{C1C485B6-D169-4D91-B4FC-F1F6954DF4FA}" name="Tabla1103453454455456479108135149219379380389" displayName="Tabla1103453454455456479108135149219379380389" ref="A30:E32" totalsRowCount="1" headerRowDxfId="748" dataDxfId="746" totalsRowDxfId="744" headerRowBorderDxfId="747" tableBorderDxfId="745" totalsRowBorderDxfId="743">
  <autoFilter ref="A30:E31" xr:uid="{54E95745-D761-4F8D-B888-0218B92D4C45}"/>
  <sortState xmlns:xlrd2="http://schemas.microsoft.com/office/spreadsheetml/2017/richdata2" ref="A31:E31">
    <sortCondition descending="1" ref="E8"/>
  </sortState>
  <tableColumns count="5">
    <tableColumn id="2" xr3:uid="{2812A0DB-676F-416C-B61F-185FD530C934}" name="Ingrediente" dataDxfId="742" totalsRowDxfId="741"/>
    <tableColumn id="3" xr3:uid="{DA6B6540-B0CA-4E91-A788-96337102B943}" name="Und" dataDxfId="740" totalsRowDxfId="739"/>
    <tableColumn id="4" xr3:uid="{4FE5D418-EE8D-4A4A-A646-C39AC75C471C}" name="Cant." dataDxfId="738" totalsRowDxfId="737"/>
    <tableColumn id="5" xr3:uid="{4803D991-9E30-485A-9D44-25B3768CD7EC}" name="Costo" dataDxfId="736" totalsRowDxfId="735" dataCellStyle="Moneda">
      <calculatedColumnFormula>+VLOOKUP(Tabla1103453454455456479108135149219379380389[[#This Row],[Ingrediente]],Tabla34[#All],3,0)</calculatedColumnFormula>
    </tableColumn>
    <tableColumn id="6" xr3:uid="{9CF197BF-1E40-4DC8-8B7A-0C30F53962EF}" name="Total costo" totalsRowFunction="sum" dataDxfId="734" totalsRowDxfId="733" dataCellStyle="Moneda">
      <calculatedColumnFormula>+Tabla1103453454455456479108135149219379380389[[#This Row],[Costo]]*Tabla1103453454455456479108135149219379380389[[#This Row],[Cant.]]</calculatedColumnFormula>
    </tableColumn>
  </tableColumns>
  <tableStyleInfo name="TableStyleLight8" showFirstColumn="0" showLastColumn="0" showRowStripes="1" showColumnStripes="0"/>
</table>
</file>

<file path=xl/tables/table3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9" xr:uid="{AE7B0D85-CD12-4ADD-BDE1-74AD75739E31}" name="Tabla1103453454455456479108135149219379380390" displayName="Tabla1103453454455456479108135149219379380390" ref="A41:E43" totalsRowCount="1" headerRowDxfId="732" dataDxfId="730" totalsRowDxfId="728" headerRowBorderDxfId="731" tableBorderDxfId="729" totalsRowBorderDxfId="727">
  <autoFilter ref="A41:E42" xr:uid="{ABA4A19E-BB18-41E9-B19E-7D179CF78E04}"/>
  <sortState xmlns:xlrd2="http://schemas.microsoft.com/office/spreadsheetml/2017/richdata2" ref="A42:E42">
    <sortCondition descending="1" ref="E8"/>
  </sortState>
  <tableColumns count="5">
    <tableColumn id="2" xr3:uid="{1E8F5A3C-FB40-4690-929E-1DA5E8DDCB1B}" name="Ingrediente" dataDxfId="726" totalsRowDxfId="725"/>
    <tableColumn id="3" xr3:uid="{35692C60-5956-4932-96C7-53458B3E38B7}" name="Und" dataDxfId="724" totalsRowDxfId="723"/>
    <tableColumn id="4" xr3:uid="{3BB3F169-38AC-4333-97AC-6095594F3E19}" name="Cant." dataDxfId="722" totalsRowDxfId="721"/>
    <tableColumn id="5" xr3:uid="{269A4317-EE39-489F-B276-A6551A2BEE33}" name="Costo" dataDxfId="720" totalsRowDxfId="719" dataCellStyle="Moneda">
      <calculatedColumnFormula>+VLOOKUP(Tabla1103453454455456479108135149219379380390[[#This Row],[Ingrediente]],Tabla34[#All],3,0)</calculatedColumnFormula>
    </tableColumn>
    <tableColumn id="6" xr3:uid="{48AB9E87-4D0A-4BFB-912B-73FBDE02867D}" name="Total costo" totalsRowFunction="sum" dataDxfId="718" totalsRowDxfId="717" dataCellStyle="Moneda">
      <calculatedColumnFormula>+Tabla1103453454455456479108135149219379380390[[#This Row],[Costo]]*Tabla1103453454455456479108135149219379380390[[#This Row],[Cant.]]</calculatedColumnFormula>
    </tableColumn>
  </tableColumns>
  <tableStyleInfo name="TableStyleLight8" showFirstColumn="0" showLastColumn="0" showRowStripes="1" showColumnStripes="0"/>
</table>
</file>

<file path=xl/tables/table3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0" xr:uid="{AD3E5072-AB4F-45FC-BF63-D8593A85A261}" name="Tabla1103453454455456479108135149219379380391" displayName="Tabla1103453454455456479108135149219379380391" ref="A52:E54" totalsRowCount="1" headerRowDxfId="716" dataDxfId="714" totalsRowDxfId="712" headerRowBorderDxfId="715" tableBorderDxfId="713" totalsRowBorderDxfId="711">
  <autoFilter ref="A52:E53" xr:uid="{EBAAAE89-3F0E-4B20-BA00-2773DDB9F647}"/>
  <sortState xmlns:xlrd2="http://schemas.microsoft.com/office/spreadsheetml/2017/richdata2" ref="A53:E53">
    <sortCondition descending="1" ref="E8"/>
  </sortState>
  <tableColumns count="5">
    <tableColumn id="2" xr3:uid="{C33070EA-9133-48CD-BD2D-7B3B5EF15102}" name="Ingrediente" dataDxfId="710" totalsRowDxfId="709"/>
    <tableColumn id="3" xr3:uid="{F60D8CEA-E83F-471E-ADD3-1BD46FFF9AE1}" name="Und" dataDxfId="708" totalsRowDxfId="707"/>
    <tableColumn id="4" xr3:uid="{DD1F2E02-6D10-4666-BDF8-DAB4FDB4E441}" name="Cant." dataDxfId="706" totalsRowDxfId="705"/>
    <tableColumn id="5" xr3:uid="{568E03F4-99E9-4F83-A24B-35C9D5BABEB9}" name="Costo" dataDxfId="704" totalsRowDxfId="703" dataCellStyle="Moneda">
      <calculatedColumnFormula>+VLOOKUP(Tabla1103453454455456479108135149219379380391[[#This Row],[Ingrediente]],Tabla34[#All],3,0)</calculatedColumnFormula>
    </tableColumn>
    <tableColumn id="6" xr3:uid="{166E816C-2DD2-4FAB-9F3E-AAAC18F45612}" name="Total costo" totalsRowFunction="sum" dataDxfId="702" totalsRowDxfId="701" dataCellStyle="Moneda">
      <calculatedColumnFormula>+Tabla1103453454455456479108135149219379380391[[#This Row],[Costo]]*Tabla1103453454455456479108135149219379380391[[#This Row],[Cant.]]</calculatedColumnFormula>
    </tableColumn>
  </tableColumns>
  <tableStyleInfo name="TableStyleLight8" showFirstColumn="0" showLastColumn="0" showRowStripes="1" showColumnStripes="0"/>
</table>
</file>

<file path=xl/tables/table3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1" xr:uid="{91C3A482-CF7B-46E2-901D-63041B7BD4DD}" name="Tabla1103453454455456479108135149219379380392" displayName="Tabla1103453454455456479108135149219379380392" ref="A63:E65" totalsRowCount="1" headerRowDxfId="700" dataDxfId="698" totalsRowDxfId="696" headerRowBorderDxfId="699" tableBorderDxfId="697" totalsRowBorderDxfId="695">
  <autoFilter ref="A63:E64" xr:uid="{7BDE30DC-A1AB-4F56-A186-72E5C554B876}"/>
  <sortState xmlns:xlrd2="http://schemas.microsoft.com/office/spreadsheetml/2017/richdata2" ref="A64:E64">
    <sortCondition descending="1" ref="E8"/>
  </sortState>
  <tableColumns count="5">
    <tableColumn id="2" xr3:uid="{D6993D8E-2B72-4716-9DA7-DBC67B1A2D8F}" name="Ingrediente" dataDxfId="694" totalsRowDxfId="693"/>
    <tableColumn id="3" xr3:uid="{D814DDAC-04F7-4C75-BC82-632530E52863}" name="Und" dataDxfId="692" totalsRowDxfId="691"/>
    <tableColumn id="4" xr3:uid="{B089C0D8-3AA5-492E-812B-78E1BB8BB302}" name="Cant." dataDxfId="690" totalsRowDxfId="689"/>
    <tableColumn id="5" xr3:uid="{31333329-863F-4400-BC34-2B5CF540EDFE}" name="Costo" dataDxfId="688" totalsRowDxfId="687" dataCellStyle="Moneda">
      <calculatedColumnFormula>+VLOOKUP(Tabla1103453454455456479108135149219379380392[[#This Row],[Ingrediente]],Tabla34[#All],3,0)</calculatedColumnFormula>
    </tableColumn>
    <tableColumn id="6" xr3:uid="{931B2E78-8436-481A-BF8A-AC04F94DD9FF}" name="Total costo" totalsRowFunction="sum" dataDxfId="686" totalsRowDxfId="685" dataCellStyle="Moneda">
      <calculatedColumnFormula>+Tabla1103453454455456479108135149219379380392[[#This Row],[Costo]]*Tabla1103453454455456479108135149219379380392[[#This Row],[Cant.]]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0.xml"/><Relationship Id="rId18" Type="http://schemas.openxmlformats.org/officeDocument/2006/relationships/table" Target="../tables/table15.xml"/><Relationship Id="rId26" Type="http://schemas.openxmlformats.org/officeDocument/2006/relationships/table" Target="../tables/table23.xml"/><Relationship Id="rId21" Type="http://schemas.openxmlformats.org/officeDocument/2006/relationships/table" Target="../tables/table18.xml"/><Relationship Id="rId34" Type="http://schemas.openxmlformats.org/officeDocument/2006/relationships/table" Target="../tables/table31.x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17" Type="http://schemas.openxmlformats.org/officeDocument/2006/relationships/table" Target="../tables/table14.xml"/><Relationship Id="rId25" Type="http://schemas.openxmlformats.org/officeDocument/2006/relationships/table" Target="../tables/table22.xml"/><Relationship Id="rId33" Type="http://schemas.openxmlformats.org/officeDocument/2006/relationships/table" Target="../tables/table30.xml"/><Relationship Id="rId38" Type="http://schemas.openxmlformats.org/officeDocument/2006/relationships/comments" Target="../comments1.xml"/><Relationship Id="rId2" Type="http://schemas.openxmlformats.org/officeDocument/2006/relationships/drawing" Target="../drawings/drawing1.xml"/><Relationship Id="rId16" Type="http://schemas.openxmlformats.org/officeDocument/2006/relationships/table" Target="../tables/table13.xml"/><Relationship Id="rId20" Type="http://schemas.openxmlformats.org/officeDocument/2006/relationships/table" Target="../tables/table17.xml"/><Relationship Id="rId29" Type="http://schemas.openxmlformats.org/officeDocument/2006/relationships/table" Target="../tables/table26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24" Type="http://schemas.openxmlformats.org/officeDocument/2006/relationships/table" Target="../tables/table21.xml"/><Relationship Id="rId32" Type="http://schemas.openxmlformats.org/officeDocument/2006/relationships/table" Target="../tables/table29.xml"/><Relationship Id="rId37" Type="http://schemas.openxmlformats.org/officeDocument/2006/relationships/table" Target="../tables/table34.xml"/><Relationship Id="rId5" Type="http://schemas.openxmlformats.org/officeDocument/2006/relationships/table" Target="../tables/table2.xml"/><Relationship Id="rId15" Type="http://schemas.openxmlformats.org/officeDocument/2006/relationships/table" Target="../tables/table12.xml"/><Relationship Id="rId23" Type="http://schemas.openxmlformats.org/officeDocument/2006/relationships/table" Target="../tables/table20.xml"/><Relationship Id="rId28" Type="http://schemas.openxmlformats.org/officeDocument/2006/relationships/table" Target="../tables/table25.xml"/><Relationship Id="rId36" Type="http://schemas.openxmlformats.org/officeDocument/2006/relationships/table" Target="../tables/table33.xml"/><Relationship Id="rId10" Type="http://schemas.openxmlformats.org/officeDocument/2006/relationships/table" Target="../tables/table7.xml"/><Relationship Id="rId19" Type="http://schemas.openxmlformats.org/officeDocument/2006/relationships/table" Target="../tables/table16.xml"/><Relationship Id="rId31" Type="http://schemas.openxmlformats.org/officeDocument/2006/relationships/table" Target="../tables/table28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Relationship Id="rId22" Type="http://schemas.openxmlformats.org/officeDocument/2006/relationships/table" Target="../tables/table19.xml"/><Relationship Id="rId27" Type="http://schemas.openxmlformats.org/officeDocument/2006/relationships/table" Target="../tables/table24.xml"/><Relationship Id="rId30" Type="http://schemas.openxmlformats.org/officeDocument/2006/relationships/table" Target="../tables/table27.xml"/><Relationship Id="rId35" Type="http://schemas.openxmlformats.org/officeDocument/2006/relationships/table" Target="../tables/table32.xml"/><Relationship Id="rId8" Type="http://schemas.openxmlformats.org/officeDocument/2006/relationships/table" Target="../tables/table5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0.xml"/><Relationship Id="rId3" Type="http://schemas.openxmlformats.org/officeDocument/2006/relationships/table" Target="../tables/table35.xml"/><Relationship Id="rId7" Type="http://schemas.openxmlformats.org/officeDocument/2006/relationships/table" Target="../tables/table39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38.xml"/><Relationship Id="rId5" Type="http://schemas.openxmlformats.org/officeDocument/2006/relationships/table" Target="../tables/table37.xml"/><Relationship Id="rId4" Type="http://schemas.openxmlformats.org/officeDocument/2006/relationships/table" Target="../tables/table36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6.xml"/><Relationship Id="rId3" Type="http://schemas.openxmlformats.org/officeDocument/2006/relationships/table" Target="../tables/table41.xml"/><Relationship Id="rId7" Type="http://schemas.openxmlformats.org/officeDocument/2006/relationships/table" Target="../tables/table45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44.xml"/><Relationship Id="rId11" Type="http://schemas.openxmlformats.org/officeDocument/2006/relationships/table" Target="../tables/table49.xml"/><Relationship Id="rId5" Type="http://schemas.openxmlformats.org/officeDocument/2006/relationships/table" Target="../tables/table43.xml"/><Relationship Id="rId10" Type="http://schemas.openxmlformats.org/officeDocument/2006/relationships/table" Target="../tables/table48.xml"/><Relationship Id="rId4" Type="http://schemas.openxmlformats.org/officeDocument/2006/relationships/table" Target="../tables/table42.xml"/><Relationship Id="rId9" Type="http://schemas.openxmlformats.org/officeDocument/2006/relationships/table" Target="../tables/table4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5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5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53.xml"/><Relationship Id="rId11" Type="http://schemas.openxmlformats.org/officeDocument/2006/relationships/comments" Target="../comments2.xml"/><Relationship Id="rId5" Type="http://schemas.openxmlformats.org/officeDocument/2006/relationships/table" Target="../tables/table52.xml"/><Relationship Id="rId10" Type="http://schemas.openxmlformats.org/officeDocument/2006/relationships/table" Target="../tables/table57.xml"/><Relationship Id="rId4" Type="http://schemas.openxmlformats.org/officeDocument/2006/relationships/table" Target="../tables/table51.xml"/><Relationship Id="rId9" Type="http://schemas.openxmlformats.org/officeDocument/2006/relationships/table" Target="../tables/table56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2.xml"/><Relationship Id="rId13" Type="http://schemas.openxmlformats.org/officeDocument/2006/relationships/table" Target="../tables/table67.xml"/><Relationship Id="rId3" Type="http://schemas.openxmlformats.org/officeDocument/2006/relationships/vmlDrawing" Target="../drawings/vmlDrawing3.vml"/><Relationship Id="rId7" Type="http://schemas.openxmlformats.org/officeDocument/2006/relationships/table" Target="../tables/table61.xml"/><Relationship Id="rId12" Type="http://schemas.openxmlformats.org/officeDocument/2006/relationships/table" Target="../tables/table66.xml"/><Relationship Id="rId2" Type="http://schemas.openxmlformats.org/officeDocument/2006/relationships/drawing" Target="../drawings/drawing5.xml"/><Relationship Id="rId16" Type="http://schemas.openxmlformats.org/officeDocument/2006/relationships/comments" Target="../comments3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60.xml"/><Relationship Id="rId11" Type="http://schemas.openxmlformats.org/officeDocument/2006/relationships/table" Target="../tables/table65.xml"/><Relationship Id="rId5" Type="http://schemas.openxmlformats.org/officeDocument/2006/relationships/table" Target="../tables/table59.xml"/><Relationship Id="rId15" Type="http://schemas.openxmlformats.org/officeDocument/2006/relationships/table" Target="../tables/table69.xml"/><Relationship Id="rId10" Type="http://schemas.openxmlformats.org/officeDocument/2006/relationships/table" Target="../tables/table64.xml"/><Relationship Id="rId4" Type="http://schemas.openxmlformats.org/officeDocument/2006/relationships/table" Target="../tables/table58.xml"/><Relationship Id="rId9" Type="http://schemas.openxmlformats.org/officeDocument/2006/relationships/table" Target="../tables/table63.xml"/><Relationship Id="rId14" Type="http://schemas.openxmlformats.org/officeDocument/2006/relationships/table" Target="../tables/table68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5.xml"/><Relationship Id="rId13" Type="http://schemas.openxmlformats.org/officeDocument/2006/relationships/table" Target="../tables/table80.xml"/><Relationship Id="rId3" Type="http://schemas.openxmlformats.org/officeDocument/2006/relationships/table" Target="../tables/table70.xml"/><Relationship Id="rId7" Type="http://schemas.openxmlformats.org/officeDocument/2006/relationships/table" Target="../tables/table74.xml"/><Relationship Id="rId12" Type="http://schemas.openxmlformats.org/officeDocument/2006/relationships/table" Target="../tables/table79.xml"/><Relationship Id="rId2" Type="http://schemas.openxmlformats.org/officeDocument/2006/relationships/drawing" Target="../drawings/drawing6.xml"/><Relationship Id="rId16" Type="http://schemas.openxmlformats.org/officeDocument/2006/relationships/table" Target="../tables/table83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73.xml"/><Relationship Id="rId11" Type="http://schemas.openxmlformats.org/officeDocument/2006/relationships/table" Target="../tables/table78.xml"/><Relationship Id="rId5" Type="http://schemas.openxmlformats.org/officeDocument/2006/relationships/table" Target="../tables/table72.xml"/><Relationship Id="rId15" Type="http://schemas.openxmlformats.org/officeDocument/2006/relationships/table" Target="../tables/table82.xml"/><Relationship Id="rId10" Type="http://schemas.openxmlformats.org/officeDocument/2006/relationships/table" Target="../tables/table77.xml"/><Relationship Id="rId4" Type="http://schemas.openxmlformats.org/officeDocument/2006/relationships/table" Target="../tables/table71.xml"/><Relationship Id="rId9" Type="http://schemas.openxmlformats.org/officeDocument/2006/relationships/table" Target="../tables/table76.xml"/><Relationship Id="rId14" Type="http://schemas.openxmlformats.org/officeDocument/2006/relationships/table" Target="../tables/table81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9.xml"/><Relationship Id="rId13" Type="http://schemas.openxmlformats.org/officeDocument/2006/relationships/table" Target="../tables/table94.xml"/><Relationship Id="rId18" Type="http://schemas.openxmlformats.org/officeDocument/2006/relationships/table" Target="../tables/table99.xml"/><Relationship Id="rId3" Type="http://schemas.openxmlformats.org/officeDocument/2006/relationships/table" Target="../tables/table84.xml"/><Relationship Id="rId21" Type="http://schemas.openxmlformats.org/officeDocument/2006/relationships/table" Target="../tables/table102.xml"/><Relationship Id="rId7" Type="http://schemas.openxmlformats.org/officeDocument/2006/relationships/table" Target="../tables/table88.xml"/><Relationship Id="rId12" Type="http://schemas.openxmlformats.org/officeDocument/2006/relationships/table" Target="../tables/table93.xml"/><Relationship Id="rId17" Type="http://schemas.openxmlformats.org/officeDocument/2006/relationships/table" Target="../tables/table98.xml"/><Relationship Id="rId2" Type="http://schemas.openxmlformats.org/officeDocument/2006/relationships/drawing" Target="../drawings/drawing7.xml"/><Relationship Id="rId16" Type="http://schemas.openxmlformats.org/officeDocument/2006/relationships/table" Target="../tables/table97.xml"/><Relationship Id="rId20" Type="http://schemas.openxmlformats.org/officeDocument/2006/relationships/table" Target="../tables/table101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87.xml"/><Relationship Id="rId11" Type="http://schemas.openxmlformats.org/officeDocument/2006/relationships/table" Target="../tables/table92.xml"/><Relationship Id="rId24" Type="http://schemas.openxmlformats.org/officeDocument/2006/relationships/table" Target="../tables/table105.xml"/><Relationship Id="rId5" Type="http://schemas.openxmlformats.org/officeDocument/2006/relationships/table" Target="../tables/table86.xml"/><Relationship Id="rId15" Type="http://schemas.openxmlformats.org/officeDocument/2006/relationships/table" Target="../tables/table96.xml"/><Relationship Id="rId23" Type="http://schemas.openxmlformats.org/officeDocument/2006/relationships/table" Target="../tables/table104.xml"/><Relationship Id="rId10" Type="http://schemas.openxmlformats.org/officeDocument/2006/relationships/table" Target="../tables/table91.xml"/><Relationship Id="rId19" Type="http://schemas.openxmlformats.org/officeDocument/2006/relationships/table" Target="../tables/table100.xml"/><Relationship Id="rId4" Type="http://schemas.openxmlformats.org/officeDocument/2006/relationships/table" Target="../tables/table85.xml"/><Relationship Id="rId9" Type="http://schemas.openxmlformats.org/officeDocument/2006/relationships/table" Target="../tables/table90.xml"/><Relationship Id="rId14" Type="http://schemas.openxmlformats.org/officeDocument/2006/relationships/table" Target="../tables/table95.xml"/><Relationship Id="rId22" Type="http://schemas.openxmlformats.org/officeDocument/2006/relationships/table" Target="../tables/table103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11.xml"/><Relationship Id="rId3" Type="http://schemas.openxmlformats.org/officeDocument/2006/relationships/table" Target="../tables/table106.xml"/><Relationship Id="rId7" Type="http://schemas.openxmlformats.org/officeDocument/2006/relationships/table" Target="../tables/table110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109.xml"/><Relationship Id="rId5" Type="http://schemas.openxmlformats.org/officeDocument/2006/relationships/table" Target="../tables/table108.xml"/><Relationship Id="rId4" Type="http://schemas.openxmlformats.org/officeDocument/2006/relationships/table" Target="../tables/table107.xml"/><Relationship Id="rId9" Type="http://schemas.openxmlformats.org/officeDocument/2006/relationships/table" Target="../tables/table112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19.xml"/><Relationship Id="rId13" Type="http://schemas.openxmlformats.org/officeDocument/2006/relationships/table" Target="../tables/table124.xml"/><Relationship Id="rId3" Type="http://schemas.openxmlformats.org/officeDocument/2006/relationships/table" Target="../tables/table114.xml"/><Relationship Id="rId7" Type="http://schemas.openxmlformats.org/officeDocument/2006/relationships/table" Target="../tables/table118.xml"/><Relationship Id="rId12" Type="http://schemas.openxmlformats.org/officeDocument/2006/relationships/table" Target="../tables/table123.xml"/><Relationship Id="rId2" Type="http://schemas.openxmlformats.org/officeDocument/2006/relationships/table" Target="../tables/table113.xml"/><Relationship Id="rId1" Type="http://schemas.openxmlformats.org/officeDocument/2006/relationships/drawing" Target="../drawings/drawing9.xml"/><Relationship Id="rId6" Type="http://schemas.openxmlformats.org/officeDocument/2006/relationships/table" Target="../tables/table117.xml"/><Relationship Id="rId11" Type="http://schemas.openxmlformats.org/officeDocument/2006/relationships/table" Target="../tables/table122.xml"/><Relationship Id="rId5" Type="http://schemas.openxmlformats.org/officeDocument/2006/relationships/table" Target="../tables/table116.xml"/><Relationship Id="rId10" Type="http://schemas.openxmlformats.org/officeDocument/2006/relationships/table" Target="../tables/table121.xml"/><Relationship Id="rId4" Type="http://schemas.openxmlformats.org/officeDocument/2006/relationships/table" Target="../tables/table115.xml"/><Relationship Id="rId9" Type="http://schemas.openxmlformats.org/officeDocument/2006/relationships/table" Target="../tables/table120.xml"/><Relationship Id="rId14" Type="http://schemas.openxmlformats.org/officeDocument/2006/relationships/table" Target="../tables/table125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31.xml"/><Relationship Id="rId13" Type="http://schemas.openxmlformats.org/officeDocument/2006/relationships/table" Target="../tables/table136.xml"/><Relationship Id="rId3" Type="http://schemas.openxmlformats.org/officeDocument/2006/relationships/table" Target="../tables/table126.xml"/><Relationship Id="rId7" Type="http://schemas.openxmlformats.org/officeDocument/2006/relationships/table" Target="../tables/table130.xml"/><Relationship Id="rId12" Type="http://schemas.openxmlformats.org/officeDocument/2006/relationships/table" Target="../tables/table135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129.xml"/><Relationship Id="rId11" Type="http://schemas.openxmlformats.org/officeDocument/2006/relationships/table" Target="../tables/table134.xml"/><Relationship Id="rId5" Type="http://schemas.openxmlformats.org/officeDocument/2006/relationships/table" Target="../tables/table128.xml"/><Relationship Id="rId10" Type="http://schemas.openxmlformats.org/officeDocument/2006/relationships/table" Target="../tables/table133.xml"/><Relationship Id="rId4" Type="http://schemas.openxmlformats.org/officeDocument/2006/relationships/table" Target="../tables/table127.xml"/><Relationship Id="rId9" Type="http://schemas.openxmlformats.org/officeDocument/2006/relationships/table" Target="../tables/table13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7.xml"/><Relationship Id="rId7" Type="http://schemas.openxmlformats.org/officeDocument/2006/relationships/table" Target="../tables/table141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140.xml"/><Relationship Id="rId5" Type="http://schemas.openxmlformats.org/officeDocument/2006/relationships/table" Target="../tables/table139.xml"/><Relationship Id="rId4" Type="http://schemas.openxmlformats.org/officeDocument/2006/relationships/table" Target="../tables/table138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2.x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table" Target="../tables/table143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4.x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147.xml"/><Relationship Id="rId5" Type="http://schemas.openxmlformats.org/officeDocument/2006/relationships/table" Target="../tables/table146.xml"/><Relationship Id="rId4" Type="http://schemas.openxmlformats.org/officeDocument/2006/relationships/table" Target="../tables/table14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8.xml"/><Relationship Id="rId7" Type="http://schemas.openxmlformats.org/officeDocument/2006/relationships/table" Target="../tables/table152.x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151.xml"/><Relationship Id="rId5" Type="http://schemas.openxmlformats.org/officeDocument/2006/relationships/table" Target="../tables/table150.xml"/><Relationship Id="rId4" Type="http://schemas.openxmlformats.org/officeDocument/2006/relationships/table" Target="../tables/table149.xm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58.xml"/><Relationship Id="rId13" Type="http://schemas.openxmlformats.org/officeDocument/2006/relationships/table" Target="../tables/table163.xml"/><Relationship Id="rId3" Type="http://schemas.openxmlformats.org/officeDocument/2006/relationships/table" Target="../tables/table153.xml"/><Relationship Id="rId7" Type="http://schemas.openxmlformats.org/officeDocument/2006/relationships/table" Target="../tables/table157.xml"/><Relationship Id="rId12" Type="http://schemas.openxmlformats.org/officeDocument/2006/relationships/table" Target="../tables/table162.x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156.xml"/><Relationship Id="rId11" Type="http://schemas.openxmlformats.org/officeDocument/2006/relationships/table" Target="../tables/table161.xml"/><Relationship Id="rId5" Type="http://schemas.openxmlformats.org/officeDocument/2006/relationships/table" Target="../tables/table155.xml"/><Relationship Id="rId10" Type="http://schemas.openxmlformats.org/officeDocument/2006/relationships/table" Target="../tables/table160.xml"/><Relationship Id="rId4" Type="http://schemas.openxmlformats.org/officeDocument/2006/relationships/table" Target="../tables/table154.xml"/><Relationship Id="rId9" Type="http://schemas.openxmlformats.org/officeDocument/2006/relationships/table" Target="../tables/table159.xml"/><Relationship Id="rId14" Type="http://schemas.openxmlformats.org/officeDocument/2006/relationships/table" Target="../tables/table164.xm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70.xml"/><Relationship Id="rId3" Type="http://schemas.openxmlformats.org/officeDocument/2006/relationships/table" Target="../tables/table165.xml"/><Relationship Id="rId7" Type="http://schemas.openxmlformats.org/officeDocument/2006/relationships/table" Target="../tables/table169.x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4" Type="http://schemas.openxmlformats.org/officeDocument/2006/relationships/table" Target="../tables/table16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3.xml"/><Relationship Id="rId2" Type="http://schemas.openxmlformats.org/officeDocument/2006/relationships/table" Target="../tables/table172.xml"/><Relationship Id="rId1" Type="http://schemas.openxmlformats.org/officeDocument/2006/relationships/table" Target="../tables/table171.xml"/><Relationship Id="rId4" Type="http://schemas.openxmlformats.org/officeDocument/2006/relationships/table" Target="../tables/table174.xm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81.xml"/><Relationship Id="rId3" Type="http://schemas.openxmlformats.org/officeDocument/2006/relationships/table" Target="../tables/table176.xml"/><Relationship Id="rId7" Type="http://schemas.openxmlformats.org/officeDocument/2006/relationships/table" Target="../tables/table180.xml"/><Relationship Id="rId2" Type="http://schemas.openxmlformats.org/officeDocument/2006/relationships/table" Target="../tables/table175.xml"/><Relationship Id="rId1" Type="http://schemas.openxmlformats.org/officeDocument/2006/relationships/drawing" Target="../drawings/drawing18.xml"/><Relationship Id="rId6" Type="http://schemas.openxmlformats.org/officeDocument/2006/relationships/table" Target="../tables/table179.xml"/><Relationship Id="rId5" Type="http://schemas.openxmlformats.org/officeDocument/2006/relationships/table" Target="../tables/table178.xml"/><Relationship Id="rId4" Type="http://schemas.openxmlformats.org/officeDocument/2006/relationships/table" Target="../tables/table177.xml"/><Relationship Id="rId9" Type="http://schemas.openxmlformats.org/officeDocument/2006/relationships/table" Target="../tables/table182.xm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89.xml"/><Relationship Id="rId3" Type="http://schemas.openxmlformats.org/officeDocument/2006/relationships/table" Target="../tables/table184.xml"/><Relationship Id="rId7" Type="http://schemas.openxmlformats.org/officeDocument/2006/relationships/table" Target="../tables/table188.xml"/><Relationship Id="rId2" Type="http://schemas.openxmlformats.org/officeDocument/2006/relationships/table" Target="../tables/table183.xml"/><Relationship Id="rId1" Type="http://schemas.openxmlformats.org/officeDocument/2006/relationships/drawing" Target="../drawings/drawing19.xml"/><Relationship Id="rId6" Type="http://schemas.openxmlformats.org/officeDocument/2006/relationships/table" Target="../tables/table187.xml"/><Relationship Id="rId5" Type="http://schemas.openxmlformats.org/officeDocument/2006/relationships/table" Target="../tables/table186.xml"/><Relationship Id="rId4" Type="http://schemas.openxmlformats.org/officeDocument/2006/relationships/table" Target="../tables/table185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0.x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8.bin"/><Relationship Id="rId5" Type="http://schemas.openxmlformats.org/officeDocument/2006/relationships/table" Target="../tables/table192.xml"/><Relationship Id="rId4" Type="http://schemas.openxmlformats.org/officeDocument/2006/relationships/table" Target="../tables/table191.xml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99.xml"/><Relationship Id="rId13" Type="http://schemas.openxmlformats.org/officeDocument/2006/relationships/table" Target="../tables/table204.xml"/><Relationship Id="rId3" Type="http://schemas.openxmlformats.org/officeDocument/2006/relationships/table" Target="../tables/table194.xml"/><Relationship Id="rId7" Type="http://schemas.openxmlformats.org/officeDocument/2006/relationships/table" Target="../tables/table198.xml"/><Relationship Id="rId12" Type="http://schemas.openxmlformats.org/officeDocument/2006/relationships/table" Target="../tables/table203.xml"/><Relationship Id="rId2" Type="http://schemas.openxmlformats.org/officeDocument/2006/relationships/table" Target="../tables/table193.xml"/><Relationship Id="rId1" Type="http://schemas.openxmlformats.org/officeDocument/2006/relationships/drawing" Target="../drawings/drawing21.xml"/><Relationship Id="rId6" Type="http://schemas.openxmlformats.org/officeDocument/2006/relationships/table" Target="../tables/table197.xml"/><Relationship Id="rId11" Type="http://schemas.openxmlformats.org/officeDocument/2006/relationships/table" Target="../tables/table202.xml"/><Relationship Id="rId5" Type="http://schemas.openxmlformats.org/officeDocument/2006/relationships/table" Target="../tables/table196.xml"/><Relationship Id="rId10" Type="http://schemas.openxmlformats.org/officeDocument/2006/relationships/table" Target="../tables/table201.xml"/><Relationship Id="rId4" Type="http://schemas.openxmlformats.org/officeDocument/2006/relationships/table" Target="../tables/table195.xml"/><Relationship Id="rId9" Type="http://schemas.openxmlformats.org/officeDocument/2006/relationships/table" Target="../tables/table200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6.xml"/><Relationship Id="rId2" Type="http://schemas.openxmlformats.org/officeDocument/2006/relationships/table" Target="../tables/table205.xml"/><Relationship Id="rId1" Type="http://schemas.openxmlformats.org/officeDocument/2006/relationships/drawing" Target="../drawings/drawing22.xml"/><Relationship Id="rId6" Type="http://schemas.openxmlformats.org/officeDocument/2006/relationships/table" Target="../tables/table209.xml"/><Relationship Id="rId5" Type="http://schemas.openxmlformats.org/officeDocument/2006/relationships/table" Target="../tables/table208.xml"/><Relationship Id="rId4" Type="http://schemas.openxmlformats.org/officeDocument/2006/relationships/table" Target="../tables/table207.xml"/></Relationships>
</file>

<file path=xl/worksheets/_rels/sheet2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16.xml"/><Relationship Id="rId3" Type="http://schemas.openxmlformats.org/officeDocument/2006/relationships/table" Target="../tables/table211.xml"/><Relationship Id="rId7" Type="http://schemas.openxmlformats.org/officeDocument/2006/relationships/table" Target="../tables/table215.xml"/><Relationship Id="rId2" Type="http://schemas.openxmlformats.org/officeDocument/2006/relationships/table" Target="../tables/table210.xml"/><Relationship Id="rId1" Type="http://schemas.openxmlformats.org/officeDocument/2006/relationships/drawing" Target="../drawings/drawing23.xml"/><Relationship Id="rId6" Type="http://schemas.openxmlformats.org/officeDocument/2006/relationships/table" Target="../tables/table214.xml"/><Relationship Id="rId5" Type="http://schemas.openxmlformats.org/officeDocument/2006/relationships/table" Target="../tables/table213.xml"/><Relationship Id="rId4" Type="http://schemas.openxmlformats.org/officeDocument/2006/relationships/table" Target="../tables/table212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8.xml"/><Relationship Id="rId7" Type="http://schemas.openxmlformats.org/officeDocument/2006/relationships/table" Target="../tables/table222.xml"/><Relationship Id="rId2" Type="http://schemas.openxmlformats.org/officeDocument/2006/relationships/table" Target="../tables/table217.xml"/><Relationship Id="rId1" Type="http://schemas.openxmlformats.org/officeDocument/2006/relationships/drawing" Target="../drawings/drawing24.xml"/><Relationship Id="rId6" Type="http://schemas.openxmlformats.org/officeDocument/2006/relationships/table" Target="../tables/table221.xml"/><Relationship Id="rId5" Type="http://schemas.openxmlformats.org/officeDocument/2006/relationships/table" Target="../tables/table220.xml"/><Relationship Id="rId4" Type="http://schemas.openxmlformats.org/officeDocument/2006/relationships/table" Target="../tables/table219.xml"/></Relationships>
</file>

<file path=xl/worksheets/_rels/sheet28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28.xml"/><Relationship Id="rId3" Type="http://schemas.openxmlformats.org/officeDocument/2006/relationships/table" Target="../tables/table223.xml"/><Relationship Id="rId7" Type="http://schemas.openxmlformats.org/officeDocument/2006/relationships/table" Target="../tables/table227.x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226.xml"/><Relationship Id="rId5" Type="http://schemas.openxmlformats.org/officeDocument/2006/relationships/table" Target="../tables/table225.xml"/><Relationship Id="rId4" Type="http://schemas.openxmlformats.org/officeDocument/2006/relationships/table" Target="../tables/table224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1.xml"/><Relationship Id="rId2" Type="http://schemas.openxmlformats.org/officeDocument/2006/relationships/table" Target="../tables/table230.xml"/><Relationship Id="rId1" Type="http://schemas.openxmlformats.org/officeDocument/2006/relationships/table" Target="../tables/table229.xml"/><Relationship Id="rId6" Type="http://schemas.openxmlformats.org/officeDocument/2006/relationships/table" Target="../tables/table234.xml"/><Relationship Id="rId5" Type="http://schemas.openxmlformats.org/officeDocument/2006/relationships/table" Target="../tables/table233.xml"/><Relationship Id="rId4" Type="http://schemas.openxmlformats.org/officeDocument/2006/relationships/table" Target="../tables/table232.xml"/></Relationships>
</file>

<file path=xl/worksheets/_rels/sheet30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245.xml"/><Relationship Id="rId18" Type="http://schemas.openxmlformats.org/officeDocument/2006/relationships/table" Target="../tables/table250.xml"/><Relationship Id="rId26" Type="http://schemas.openxmlformats.org/officeDocument/2006/relationships/table" Target="../tables/table258.xml"/><Relationship Id="rId39" Type="http://schemas.openxmlformats.org/officeDocument/2006/relationships/table" Target="../tables/table271.xml"/><Relationship Id="rId21" Type="http://schemas.openxmlformats.org/officeDocument/2006/relationships/table" Target="../tables/table253.xml"/><Relationship Id="rId34" Type="http://schemas.openxmlformats.org/officeDocument/2006/relationships/table" Target="../tables/table266.xml"/><Relationship Id="rId42" Type="http://schemas.openxmlformats.org/officeDocument/2006/relationships/table" Target="../tables/table274.xml"/><Relationship Id="rId7" Type="http://schemas.openxmlformats.org/officeDocument/2006/relationships/table" Target="../tables/table239.xml"/><Relationship Id="rId2" Type="http://schemas.openxmlformats.org/officeDocument/2006/relationships/drawing" Target="../drawings/drawing26.xml"/><Relationship Id="rId16" Type="http://schemas.openxmlformats.org/officeDocument/2006/relationships/table" Target="../tables/table248.xml"/><Relationship Id="rId20" Type="http://schemas.openxmlformats.org/officeDocument/2006/relationships/table" Target="../tables/table252.xml"/><Relationship Id="rId29" Type="http://schemas.openxmlformats.org/officeDocument/2006/relationships/table" Target="../tables/table261.xml"/><Relationship Id="rId41" Type="http://schemas.openxmlformats.org/officeDocument/2006/relationships/table" Target="../tables/table273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238.xml"/><Relationship Id="rId11" Type="http://schemas.openxmlformats.org/officeDocument/2006/relationships/table" Target="../tables/table243.xml"/><Relationship Id="rId24" Type="http://schemas.openxmlformats.org/officeDocument/2006/relationships/table" Target="../tables/table256.xml"/><Relationship Id="rId32" Type="http://schemas.openxmlformats.org/officeDocument/2006/relationships/table" Target="../tables/table264.xml"/><Relationship Id="rId37" Type="http://schemas.openxmlformats.org/officeDocument/2006/relationships/table" Target="../tables/table269.xml"/><Relationship Id="rId40" Type="http://schemas.openxmlformats.org/officeDocument/2006/relationships/table" Target="../tables/table272.xml"/><Relationship Id="rId5" Type="http://schemas.openxmlformats.org/officeDocument/2006/relationships/table" Target="../tables/table237.xml"/><Relationship Id="rId15" Type="http://schemas.openxmlformats.org/officeDocument/2006/relationships/table" Target="../tables/table247.xml"/><Relationship Id="rId23" Type="http://schemas.openxmlformats.org/officeDocument/2006/relationships/table" Target="../tables/table255.xml"/><Relationship Id="rId28" Type="http://schemas.openxmlformats.org/officeDocument/2006/relationships/table" Target="../tables/table260.xml"/><Relationship Id="rId36" Type="http://schemas.openxmlformats.org/officeDocument/2006/relationships/table" Target="../tables/table268.xml"/><Relationship Id="rId10" Type="http://schemas.openxmlformats.org/officeDocument/2006/relationships/table" Target="../tables/table242.xml"/><Relationship Id="rId19" Type="http://schemas.openxmlformats.org/officeDocument/2006/relationships/table" Target="../tables/table251.xml"/><Relationship Id="rId31" Type="http://schemas.openxmlformats.org/officeDocument/2006/relationships/table" Target="../tables/table263.xml"/><Relationship Id="rId4" Type="http://schemas.openxmlformats.org/officeDocument/2006/relationships/table" Target="../tables/table236.xml"/><Relationship Id="rId9" Type="http://schemas.openxmlformats.org/officeDocument/2006/relationships/table" Target="../tables/table241.xml"/><Relationship Id="rId14" Type="http://schemas.openxmlformats.org/officeDocument/2006/relationships/table" Target="../tables/table246.xml"/><Relationship Id="rId22" Type="http://schemas.openxmlformats.org/officeDocument/2006/relationships/table" Target="../tables/table254.xml"/><Relationship Id="rId27" Type="http://schemas.openxmlformats.org/officeDocument/2006/relationships/table" Target="../tables/table259.xml"/><Relationship Id="rId30" Type="http://schemas.openxmlformats.org/officeDocument/2006/relationships/table" Target="../tables/table262.xml"/><Relationship Id="rId35" Type="http://schemas.openxmlformats.org/officeDocument/2006/relationships/table" Target="../tables/table267.xml"/><Relationship Id="rId8" Type="http://schemas.openxmlformats.org/officeDocument/2006/relationships/table" Target="../tables/table240.xml"/><Relationship Id="rId3" Type="http://schemas.openxmlformats.org/officeDocument/2006/relationships/table" Target="../tables/table235.xml"/><Relationship Id="rId12" Type="http://schemas.openxmlformats.org/officeDocument/2006/relationships/table" Target="../tables/table244.xml"/><Relationship Id="rId17" Type="http://schemas.openxmlformats.org/officeDocument/2006/relationships/table" Target="../tables/table249.xml"/><Relationship Id="rId25" Type="http://schemas.openxmlformats.org/officeDocument/2006/relationships/table" Target="../tables/table257.xml"/><Relationship Id="rId33" Type="http://schemas.openxmlformats.org/officeDocument/2006/relationships/table" Target="../tables/table265.xml"/><Relationship Id="rId38" Type="http://schemas.openxmlformats.org/officeDocument/2006/relationships/table" Target="../tables/table270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5.xml"/><Relationship Id="rId1" Type="http://schemas.openxmlformats.org/officeDocument/2006/relationships/drawing" Target="../drawings/drawing27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7.xml"/><Relationship Id="rId2" Type="http://schemas.openxmlformats.org/officeDocument/2006/relationships/table" Target="../tables/table276.xml"/><Relationship Id="rId1" Type="http://schemas.openxmlformats.org/officeDocument/2006/relationships/drawing" Target="../drawings/drawing28.xml"/><Relationship Id="rId4" Type="http://schemas.openxmlformats.org/officeDocument/2006/relationships/table" Target="../tables/table278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80.xml"/><Relationship Id="rId7" Type="http://schemas.openxmlformats.org/officeDocument/2006/relationships/table" Target="../tables/table284.xml"/><Relationship Id="rId2" Type="http://schemas.openxmlformats.org/officeDocument/2006/relationships/table" Target="../tables/table279.xml"/><Relationship Id="rId1" Type="http://schemas.openxmlformats.org/officeDocument/2006/relationships/drawing" Target="../drawings/drawing29.xml"/><Relationship Id="rId6" Type="http://schemas.openxmlformats.org/officeDocument/2006/relationships/table" Target="../tables/table283.xml"/><Relationship Id="rId5" Type="http://schemas.openxmlformats.org/officeDocument/2006/relationships/table" Target="../tables/table282.xml"/><Relationship Id="rId4" Type="http://schemas.openxmlformats.org/officeDocument/2006/relationships/table" Target="../tables/table281.xml"/></Relationships>
</file>

<file path=xl/worksheets/_rels/sheet3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91.xml"/><Relationship Id="rId13" Type="http://schemas.openxmlformats.org/officeDocument/2006/relationships/table" Target="../tables/table296.xml"/><Relationship Id="rId3" Type="http://schemas.openxmlformats.org/officeDocument/2006/relationships/table" Target="../tables/table286.xml"/><Relationship Id="rId7" Type="http://schemas.openxmlformats.org/officeDocument/2006/relationships/table" Target="../tables/table290.xml"/><Relationship Id="rId12" Type="http://schemas.openxmlformats.org/officeDocument/2006/relationships/table" Target="../tables/table295.xml"/><Relationship Id="rId17" Type="http://schemas.openxmlformats.org/officeDocument/2006/relationships/table" Target="../tables/table300.xml"/><Relationship Id="rId2" Type="http://schemas.openxmlformats.org/officeDocument/2006/relationships/table" Target="../tables/table285.xml"/><Relationship Id="rId16" Type="http://schemas.openxmlformats.org/officeDocument/2006/relationships/table" Target="../tables/table299.xml"/><Relationship Id="rId1" Type="http://schemas.openxmlformats.org/officeDocument/2006/relationships/drawing" Target="../drawings/drawing30.xml"/><Relationship Id="rId6" Type="http://schemas.openxmlformats.org/officeDocument/2006/relationships/table" Target="../tables/table289.xml"/><Relationship Id="rId11" Type="http://schemas.openxmlformats.org/officeDocument/2006/relationships/table" Target="../tables/table294.xml"/><Relationship Id="rId5" Type="http://schemas.openxmlformats.org/officeDocument/2006/relationships/table" Target="../tables/table288.xml"/><Relationship Id="rId15" Type="http://schemas.openxmlformats.org/officeDocument/2006/relationships/table" Target="../tables/table298.xml"/><Relationship Id="rId10" Type="http://schemas.openxmlformats.org/officeDocument/2006/relationships/table" Target="../tables/table293.xml"/><Relationship Id="rId4" Type="http://schemas.openxmlformats.org/officeDocument/2006/relationships/table" Target="../tables/table287.xml"/><Relationship Id="rId9" Type="http://schemas.openxmlformats.org/officeDocument/2006/relationships/table" Target="../tables/table292.xml"/><Relationship Id="rId14" Type="http://schemas.openxmlformats.org/officeDocument/2006/relationships/table" Target="../tables/table297.xml"/></Relationships>
</file>

<file path=xl/worksheets/_rels/sheet3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07.xml"/><Relationship Id="rId3" Type="http://schemas.openxmlformats.org/officeDocument/2006/relationships/table" Target="../tables/table302.xml"/><Relationship Id="rId7" Type="http://schemas.openxmlformats.org/officeDocument/2006/relationships/table" Target="../tables/table306.xml"/><Relationship Id="rId2" Type="http://schemas.openxmlformats.org/officeDocument/2006/relationships/table" Target="../tables/table301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305.xml"/><Relationship Id="rId5" Type="http://schemas.openxmlformats.org/officeDocument/2006/relationships/table" Target="../tables/table304.xml"/><Relationship Id="rId10" Type="http://schemas.openxmlformats.org/officeDocument/2006/relationships/table" Target="../tables/table309.xml"/><Relationship Id="rId4" Type="http://schemas.openxmlformats.org/officeDocument/2006/relationships/table" Target="../tables/table303.xml"/><Relationship Id="rId9" Type="http://schemas.openxmlformats.org/officeDocument/2006/relationships/table" Target="../tables/table308.xml"/></Relationships>
</file>

<file path=xl/worksheets/_rels/sheet3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16.xml"/><Relationship Id="rId3" Type="http://schemas.openxmlformats.org/officeDocument/2006/relationships/table" Target="../tables/table311.xml"/><Relationship Id="rId7" Type="http://schemas.openxmlformats.org/officeDocument/2006/relationships/table" Target="../tables/table315.xml"/><Relationship Id="rId2" Type="http://schemas.openxmlformats.org/officeDocument/2006/relationships/table" Target="../tables/table310.xml"/><Relationship Id="rId1" Type="http://schemas.openxmlformats.org/officeDocument/2006/relationships/drawing" Target="../drawings/drawing31.xml"/><Relationship Id="rId6" Type="http://schemas.openxmlformats.org/officeDocument/2006/relationships/table" Target="../tables/table314.xml"/><Relationship Id="rId5" Type="http://schemas.openxmlformats.org/officeDocument/2006/relationships/table" Target="../tables/table313.xml"/><Relationship Id="rId10" Type="http://schemas.openxmlformats.org/officeDocument/2006/relationships/table" Target="../tables/table318.xml"/><Relationship Id="rId4" Type="http://schemas.openxmlformats.org/officeDocument/2006/relationships/table" Target="../tables/table312.xml"/><Relationship Id="rId9" Type="http://schemas.openxmlformats.org/officeDocument/2006/relationships/table" Target="../tables/table317.xml"/></Relationships>
</file>

<file path=xl/worksheets/_rels/sheet3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25.xml"/><Relationship Id="rId3" Type="http://schemas.openxmlformats.org/officeDocument/2006/relationships/table" Target="../tables/table320.xml"/><Relationship Id="rId7" Type="http://schemas.openxmlformats.org/officeDocument/2006/relationships/table" Target="../tables/table324.xml"/><Relationship Id="rId2" Type="http://schemas.openxmlformats.org/officeDocument/2006/relationships/table" Target="../tables/table319.xml"/><Relationship Id="rId1" Type="http://schemas.openxmlformats.org/officeDocument/2006/relationships/drawing" Target="../drawings/drawing32.xml"/><Relationship Id="rId6" Type="http://schemas.openxmlformats.org/officeDocument/2006/relationships/table" Target="../tables/table323.xml"/><Relationship Id="rId5" Type="http://schemas.openxmlformats.org/officeDocument/2006/relationships/table" Target="../tables/table322.xml"/><Relationship Id="rId4" Type="http://schemas.openxmlformats.org/officeDocument/2006/relationships/table" Target="../tables/table321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7.xml"/><Relationship Id="rId7" Type="http://schemas.openxmlformats.org/officeDocument/2006/relationships/table" Target="../tables/table331.xml"/><Relationship Id="rId2" Type="http://schemas.openxmlformats.org/officeDocument/2006/relationships/table" Target="../tables/table326.xml"/><Relationship Id="rId1" Type="http://schemas.openxmlformats.org/officeDocument/2006/relationships/drawing" Target="../drawings/drawing33.xml"/><Relationship Id="rId6" Type="http://schemas.openxmlformats.org/officeDocument/2006/relationships/table" Target="../tables/table330.xml"/><Relationship Id="rId5" Type="http://schemas.openxmlformats.org/officeDocument/2006/relationships/table" Target="../tables/table329.xml"/><Relationship Id="rId4" Type="http://schemas.openxmlformats.org/officeDocument/2006/relationships/table" Target="../tables/table328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2.xml"/><Relationship Id="rId7" Type="http://schemas.openxmlformats.org/officeDocument/2006/relationships/table" Target="../tables/table336.xml"/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335.xml"/><Relationship Id="rId5" Type="http://schemas.openxmlformats.org/officeDocument/2006/relationships/table" Target="../tables/table334.xml"/><Relationship Id="rId4" Type="http://schemas.openxmlformats.org/officeDocument/2006/relationships/table" Target="../tables/table333.xml"/></Relationships>
</file>

<file path=xl/worksheets/_rels/sheet4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43.xml"/><Relationship Id="rId3" Type="http://schemas.openxmlformats.org/officeDocument/2006/relationships/table" Target="../tables/table338.xml"/><Relationship Id="rId7" Type="http://schemas.openxmlformats.org/officeDocument/2006/relationships/table" Target="../tables/table342.xml"/><Relationship Id="rId2" Type="http://schemas.openxmlformats.org/officeDocument/2006/relationships/table" Target="../tables/table337.xml"/><Relationship Id="rId1" Type="http://schemas.openxmlformats.org/officeDocument/2006/relationships/drawing" Target="../drawings/drawing35.xml"/><Relationship Id="rId6" Type="http://schemas.openxmlformats.org/officeDocument/2006/relationships/table" Target="../tables/table341.xml"/><Relationship Id="rId11" Type="http://schemas.openxmlformats.org/officeDocument/2006/relationships/table" Target="../tables/table346.xml"/><Relationship Id="rId5" Type="http://schemas.openxmlformats.org/officeDocument/2006/relationships/table" Target="../tables/table340.xml"/><Relationship Id="rId10" Type="http://schemas.openxmlformats.org/officeDocument/2006/relationships/table" Target="../tables/table345.xml"/><Relationship Id="rId4" Type="http://schemas.openxmlformats.org/officeDocument/2006/relationships/table" Target="../tables/table339.xml"/><Relationship Id="rId9" Type="http://schemas.openxmlformats.org/officeDocument/2006/relationships/table" Target="../tables/table344.x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47.xml"/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23.bin"/><Relationship Id="rId4" Type="http://schemas.openxmlformats.org/officeDocument/2006/relationships/table" Target="../tables/table348.xml"/></Relationships>
</file>

<file path=xl/worksheets/_rels/sheet4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54.xml"/><Relationship Id="rId3" Type="http://schemas.openxmlformats.org/officeDocument/2006/relationships/table" Target="../tables/table349.xml"/><Relationship Id="rId7" Type="http://schemas.openxmlformats.org/officeDocument/2006/relationships/table" Target="../tables/table353.xml"/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352.xml"/><Relationship Id="rId5" Type="http://schemas.openxmlformats.org/officeDocument/2006/relationships/table" Target="../tables/table351.xml"/><Relationship Id="rId4" Type="http://schemas.openxmlformats.org/officeDocument/2006/relationships/table" Target="../tables/table350.xml"/><Relationship Id="rId9" Type="http://schemas.openxmlformats.org/officeDocument/2006/relationships/table" Target="../tables/table355.x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57.xml"/><Relationship Id="rId7" Type="http://schemas.openxmlformats.org/officeDocument/2006/relationships/table" Target="../tables/table361.xml"/><Relationship Id="rId2" Type="http://schemas.openxmlformats.org/officeDocument/2006/relationships/table" Target="../tables/table356.xml"/><Relationship Id="rId1" Type="http://schemas.openxmlformats.org/officeDocument/2006/relationships/drawing" Target="../drawings/drawing38.xml"/><Relationship Id="rId6" Type="http://schemas.openxmlformats.org/officeDocument/2006/relationships/table" Target="../tables/table360.xml"/><Relationship Id="rId5" Type="http://schemas.openxmlformats.org/officeDocument/2006/relationships/table" Target="../tables/table359.xml"/><Relationship Id="rId4" Type="http://schemas.openxmlformats.org/officeDocument/2006/relationships/table" Target="../tables/table35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B9EC2-C072-4940-A24C-5FD80ED77F41}">
  <sheetPr>
    <tabColor rgb="FFFF0000"/>
  </sheetPr>
  <dimension ref="A2:R459"/>
  <sheetViews>
    <sheetView showGridLines="0" topLeftCell="A121" zoomScale="96" zoomScaleNormal="96" workbookViewId="0">
      <selection activeCell="B121" sqref="B121"/>
    </sheetView>
  </sheetViews>
  <sheetFormatPr baseColWidth="10" defaultColWidth="10.88671875" defaultRowHeight="13.2" x14ac:dyDescent="0.3"/>
  <cols>
    <col min="1" max="1" width="3.44140625" style="162" customWidth="1"/>
    <col min="2" max="2" width="25.5546875" style="163" customWidth="1"/>
    <col min="3" max="3" width="12.88671875" style="164" hidden="1" customWidth="1"/>
    <col min="4" max="4" width="11.33203125" style="164" customWidth="1"/>
    <col min="5" max="5" width="14.6640625" style="165" hidden="1" customWidth="1"/>
    <col min="6" max="6" width="10.6640625" style="163" hidden="1" customWidth="1"/>
    <col min="7" max="7" width="10.6640625" style="166" hidden="1" customWidth="1"/>
    <col min="8" max="8" width="10.6640625" style="163" hidden="1" customWidth="1"/>
    <col min="9" max="9" width="16.88671875" style="167" hidden="1" customWidth="1"/>
    <col min="10" max="10" width="14.33203125" style="163" hidden="1" customWidth="1"/>
    <col min="11" max="11" width="14.33203125" style="164" hidden="1" customWidth="1"/>
    <col min="12" max="12" width="10.6640625" style="163" hidden="1" customWidth="1"/>
    <col min="13" max="13" width="12.44140625" style="164" hidden="1" customWidth="1"/>
    <col min="14" max="14" width="16.33203125" style="164" customWidth="1"/>
    <col min="15" max="15" width="10.6640625" style="164" hidden="1" customWidth="1"/>
    <col min="16" max="16" width="11.88671875" style="166" hidden="1" customWidth="1"/>
    <col min="17" max="17" width="10.6640625" style="168" customWidth="1"/>
    <col min="18" max="18" width="10.5546875" style="162" bestFit="1" customWidth="1"/>
    <col min="19" max="19" width="3" style="162" customWidth="1"/>
    <col min="20" max="16384" width="10.88671875" style="162"/>
  </cols>
  <sheetData>
    <row r="2" spans="1:18" ht="14.4" customHeight="1" x14ac:dyDescent="0.3"/>
    <row r="5" spans="1:18" x14ac:dyDescent="0.3">
      <c r="B5" s="116"/>
      <c r="C5" s="59"/>
      <c r="D5" s="137"/>
      <c r="E5" s="117" t="s">
        <v>21</v>
      </c>
      <c r="F5" s="116"/>
      <c r="G5" s="118"/>
      <c r="H5" s="116"/>
      <c r="I5" s="116"/>
      <c r="J5" s="93"/>
      <c r="K5" s="278" t="s">
        <v>25</v>
      </c>
      <c r="L5" s="278"/>
      <c r="M5" s="278"/>
      <c r="N5" s="279" t="s">
        <v>940</v>
      </c>
      <c r="O5" s="279"/>
      <c r="P5" s="279"/>
      <c r="Q5" s="279"/>
    </row>
    <row r="6" spans="1:18" x14ac:dyDescent="0.3">
      <c r="B6" s="176" t="s">
        <v>331</v>
      </c>
      <c r="C6" s="140" t="s">
        <v>111</v>
      </c>
      <c r="D6" s="169" t="s">
        <v>7</v>
      </c>
      <c r="E6" s="141" t="s">
        <v>16</v>
      </c>
      <c r="F6" s="142" t="s">
        <v>29</v>
      </c>
      <c r="G6" s="140" t="s">
        <v>22</v>
      </c>
      <c r="H6" s="143" t="s">
        <v>17</v>
      </c>
      <c r="I6" s="140" t="s">
        <v>18</v>
      </c>
      <c r="J6" s="140" t="s">
        <v>19</v>
      </c>
      <c r="K6" s="140" t="s">
        <v>23</v>
      </c>
      <c r="L6" s="169" t="s">
        <v>28</v>
      </c>
      <c r="M6" s="140" t="s">
        <v>24</v>
      </c>
      <c r="N6" s="144" t="s">
        <v>26</v>
      </c>
      <c r="O6" s="169" t="s">
        <v>351</v>
      </c>
      <c r="P6" s="169" t="s">
        <v>21</v>
      </c>
      <c r="Q6" s="143" t="s">
        <v>27</v>
      </c>
      <c r="R6" s="170" t="s">
        <v>20</v>
      </c>
    </row>
    <row r="7" spans="1:18" x14ac:dyDescent="0.3">
      <c r="A7" s="126">
        <v>1</v>
      </c>
      <c r="B7" s="145" t="str">
        <f>+ADICIONES!A6</f>
        <v>ACEITUNA</v>
      </c>
      <c r="C7" s="146"/>
      <c r="D7" s="171">
        <f>+ADICIONES!J9</f>
        <v>828.93299999999999</v>
      </c>
      <c r="E7" s="147">
        <f>+ADICIONES!J10</f>
        <v>4900</v>
      </c>
      <c r="F7" s="147">
        <f t="shared" ref="F7:F24" si="0">+E7/1.08*0.08</f>
        <v>362.96296296296293</v>
      </c>
      <c r="G7" s="148">
        <f>+Tabla551857211411[[#This Row],[VENTA]]-Tabla551857211411[[#This Row],[ICO 8%]]</f>
        <v>4537.0370370370374</v>
      </c>
      <c r="H7" s="149">
        <f>+Tabla551857211411[[#This Row],[COSTO]]/Tabla551857211411[[#This Row],[BASE]]</f>
        <v>0.18270359999999999</v>
      </c>
      <c r="I7" s="150">
        <f>+Tabla551857211411[[#This Row],[BASE]]/Tabla551857211411[[#This Row],[COSTO]]</f>
        <v>5.4733459001355209</v>
      </c>
      <c r="J7" s="151" t="e">
        <f>+VLOOKUP(Tabla551857211411[[#This Row],[ADICIONES]],Tabla77[#All],3,0)</f>
        <v>#N/A</v>
      </c>
      <c r="K7" s="152">
        <f t="shared" ref="K7:K24" si="1">+D7/(100-70)*100</f>
        <v>2763.11</v>
      </c>
      <c r="L7" s="172">
        <f t="shared" ref="L7:L24" si="2">+K7/1.08*0.08</f>
        <v>204.67481481481482</v>
      </c>
      <c r="M7" s="153">
        <f>+Tabla551857211411[[#This Row],[PRECIO SUGERIDO]]+Tabla551857211411[[#This Row],[ICO2]]</f>
        <v>2967.784814814815</v>
      </c>
      <c r="N7" s="154"/>
      <c r="O7" s="147">
        <f>+N7/1.08*0.08</f>
        <v>0</v>
      </c>
      <c r="P7" s="171">
        <f>+Tabla551857211411[[#This Row],[PRECIO N]]-Tabla551857211411[[#This Row],[ICO 8%2]]</f>
        <v>0</v>
      </c>
      <c r="Q7" s="149" t="e">
        <f>+Tabla551857211411[[#This Row],[COSTO]]/Tabla551857211411[[#This Row],[CARTA]]</f>
        <v>#DIV/0!</v>
      </c>
      <c r="R7" s="173">
        <f>+Tabla551857211411[[#This Row],[PRECIO N]]/Tabla551857211411[[#This Row],[COSTO]]</f>
        <v>0</v>
      </c>
    </row>
    <row r="8" spans="1:18" x14ac:dyDescent="0.3">
      <c r="A8" s="126">
        <v>2</v>
      </c>
      <c r="B8" s="145" t="str">
        <f>+ADICIONES!A18</f>
        <v>ADICION CANCHA Y CHIPS</v>
      </c>
      <c r="C8" s="146"/>
      <c r="D8" s="171">
        <f>+ADICIONES!J21</f>
        <v>986.50335472500001</v>
      </c>
      <c r="E8" s="147">
        <f>+ADICIONES!J22</f>
        <v>4900</v>
      </c>
      <c r="F8" s="147">
        <f t="shared" si="0"/>
        <v>362.96296296296293</v>
      </c>
      <c r="G8" s="148">
        <f>+Tabla551857211411[[#This Row],[VENTA]]-Tabla551857211411[[#This Row],[ICO 8%]]</f>
        <v>4537.0370370370374</v>
      </c>
      <c r="H8" s="149">
        <f>+Tabla551857211411[[#This Row],[COSTO]]/Tabla551857211411[[#This Row],[BASE]]</f>
        <v>0.21743339246999999</v>
      </c>
      <c r="I8" s="150">
        <f>+Tabla551857211411[[#This Row],[BASE]]/Tabla551857211411[[#This Row],[COSTO]]</f>
        <v>4.5991095877233912</v>
      </c>
      <c r="J8" s="151">
        <f>+VLOOKUP(Tabla551857211411[[#This Row],[ADICIONES]],Tabla77[#All],3,0)</f>
        <v>50</v>
      </c>
      <c r="K8" s="152">
        <f t="shared" si="1"/>
        <v>3288.34451575</v>
      </c>
      <c r="L8" s="172">
        <f t="shared" si="2"/>
        <v>243.58107524074072</v>
      </c>
      <c r="M8" s="153">
        <f>+Tabla551857211411[[#This Row],[PRECIO SUGERIDO]]+Tabla551857211411[[#This Row],[ICO2]]</f>
        <v>3531.9255909907406</v>
      </c>
      <c r="N8" s="154"/>
      <c r="O8" s="147">
        <f t="shared" ref="O8:O45" si="3">+N8/1.08*0.08</f>
        <v>0</v>
      </c>
      <c r="P8" s="171">
        <f>+Tabla551857211411[[#This Row],[PRECIO N]]-Tabla551857211411[[#This Row],[ICO 8%2]]</f>
        <v>0</v>
      </c>
      <c r="Q8" s="149" t="e">
        <f>+Tabla551857211411[[#This Row],[COSTO]]/Tabla551857211411[[#This Row],[CARTA]]</f>
        <v>#DIV/0!</v>
      </c>
      <c r="R8" s="173">
        <f>+Tabla551857211411[[#This Row],[PRECIO N]]/Tabla551857211411[[#This Row],[COSTO]]</f>
        <v>0</v>
      </c>
    </row>
    <row r="9" spans="1:18" x14ac:dyDescent="0.3">
      <c r="A9" s="126">
        <v>3</v>
      </c>
      <c r="B9" s="145" t="str">
        <f>+ADICIONES!A30</f>
        <v>AGUACATE</v>
      </c>
      <c r="C9" s="146"/>
      <c r="D9" s="171">
        <f>+ADICIONES!J33</f>
        <v>2778.3</v>
      </c>
      <c r="E9" s="147">
        <f>+ADICIONES!J34</f>
        <v>2500</v>
      </c>
      <c r="F9" s="147">
        <f t="shared" si="0"/>
        <v>185.18518518518519</v>
      </c>
      <c r="G9" s="148">
        <f>+Tabla551857211411[[#This Row],[VENTA]]-Tabla551857211411[[#This Row],[ICO 8%]]</f>
        <v>2314.8148148148148</v>
      </c>
      <c r="H9" s="149">
        <f>+Tabla551857211411[[#This Row],[COSTO]]/Tabla551857211411[[#This Row],[BASE]]</f>
        <v>1.2002256</v>
      </c>
      <c r="I9" s="150">
        <f>+Tabla551857211411[[#This Row],[BASE]]/Tabla551857211411[[#This Row],[COSTO]]</f>
        <v>0.83317669611446377</v>
      </c>
      <c r="J9" s="151">
        <f>+VLOOKUP(Tabla551857211411[[#This Row],[ADICIONES]],Tabla77[#All],3,0)</f>
        <v>45</v>
      </c>
      <c r="K9" s="152">
        <f t="shared" si="1"/>
        <v>9261</v>
      </c>
      <c r="L9" s="172">
        <f t="shared" si="2"/>
        <v>686</v>
      </c>
      <c r="M9" s="153">
        <f>+Tabla551857211411[[#This Row],[PRECIO SUGERIDO]]+Tabla551857211411[[#This Row],[ICO2]]</f>
        <v>9947</v>
      </c>
      <c r="N9" s="154"/>
      <c r="O9" s="147">
        <f t="shared" si="3"/>
        <v>0</v>
      </c>
      <c r="P9" s="171">
        <f>+Tabla551857211411[[#This Row],[PRECIO N]]-Tabla551857211411[[#This Row],[ICO 8%2]]</f>
        <v>0</v>
      </c>
      <c r="Q9" s="149" t="e">
        <f>+Tabla551857211411[[#This Row],[COSTO]]/Tabla551857211411[[#This Row],[CARTA]]</f>
        <v>#DIV/0!</v>
      </c>
      <c r="R9" s="173">
        <f>+Tabla551857211411[[#This Row],[PRECIO N]]/Tabla551857211411[[#This Row],[COSTO]]</f>
        <v>0</v>
      </c>
    </row>
    <row r="10" spans="1:18" x14ac:dyDescent="0.3">
      <c r="A10" s="126">
        <v>4</v>
      </c>
      <c r="B10" s="145" t="str">
        <f>+ADICIONES!A41</f>
        <v>ARROZ BLANCO</v>
      </c>
      <c r="C10" s="146"/>
      <c r="D10" s="171">
        <f>+ADICIONES!J44</f>
        <v>911.00442257999998</v>
      </c>
      <c r="E10" s="147">
        <f>+ADICIONES!J45</f>
        <v>8000</v>
      </c>
      <c r="F10" s="147">
        <f t="shared" si="0"/>
        <v>592.59259259259261</v>
      </c>
      <c r="G10" s="148">
        <f>+Tabla551857211411[[#This Row],[VENTA]]-Tabla551857211411[[#This Row],[ICO 8%]]</f>
        <v>7407.4074074074069</v>
      </c>
      <c r="H10" s="149">
        <f>+Tabla551857211411[[#This Row],[COSTO]]/Tabla551857211411[[#This Row],[BASE]]</f>
        <v>0.1229855970483</v>
      </c>
      <c r="I10" s="150">
        <f>+Tabla551857211411[[#This Row],[BASE]]/Tabla551857211411[[#This Row],[COSTO]]</f>
        <v>8.1310334218019946</v>
      </c>
      <c r="J10" s="151">
        <f>+VLOOKUP(Tabla551857211411[[#This Row],[ADICIONES]],Tabla77[#All],3,0)</f>
        <v>1320</v>
      </c>
      <c r="K10" s="152">
        <f t="shared" si="1"/>
        <v>3036.6814085999999</v>
      </c>
      <c r="L10" s="172">
        <f t="shared" si="2"/>
        <v>224.93936360000001</v>
      </c>
      <c r="M10" s="153">
        <f>+Tabla551857211411[[#This Row],[PRECIO SUGERIDO]]+Tabla551857211411[[#This Row],[ICO2]]</f>
        <v>3261.6207721999999</v>
      </c>
      <c r="N10" s="154"/>
      <c r="O10" s="147">
        <f t="shared" si="3"/>
        <v>0</v>
      </c>
      <c r="P10" s="171">
        <f>+Tabla551857211411[[#This Row],[PRECIO N]]-Tabla551857211411[[#This Row],[ICO 8%2]]</f>
        <v>0</v>
      </c>
      <c r="Q10" s="149" t="e">
        <f>+Tabla551857211411[[#This Row],[COSTO]]/Tabla551857211411[[#This Row],[CARTA]]</f>
        <v>#DIV/0!</v>
      </c>
      <c r="R10" s="173">
        <f>+Tabla551857211411[[#This Row],[PRECIO N]]/Tabla551857211411[[#This Row],[COSTO]]</f>
        <v>0</v>
      </c>
    </row>
    <row r="11" spans="1:18" x14ac:dyDescent="0.3">
      <c r="A11" s="126">
        <v>5</v>
      </c>
      <c r="B11" s="145" t="str">
        <f>+ADICIONES!A54</f>
        <v>ARROZ CREMOSO ADC</v>
      </c>
      <c r="C11" s="146"/>
      <c r="D11" s="171">
        <f>+ADICIONES!J57</f>
        <v>5609.7359924550001</v>
      </c>
      <c r="E11" s="147">
        <f>+ADICIONES!J58</f>
        <v>0</v>
      </c>
      <c r="F11" s="147">
        <f t="shared" si="0"/>
        <v>0</v>
      </c>
      <c r="G11" s="148">
        <f>+Tabla551857211411[[#This Row],[VENTA]]-Tabla551857211411[[#This Row],[ICO 8%]]</f>
        <v>0</v>
      </c>
      <c r="H11" s="149" t="e">
        <f>+Tabla551857211411[[#This Row],[COSTO]]/Tabla551857211411[[#This Row],[BASE]]</f>
        <v>#DIV/0!</v>
      </c>
      <c r="I11" s="150">
        <f>+Tabla551857211411[[#This Row],[BASE]]/Tabla551857211411[[#This Row],[COSTO]]</f>
        <v>0</v>
      </c>
      <c r="J11" s="151">
        <f>+VLOOKUP(Tabla551857211411[[#This Row],[ADICIONES]],Tabla77[#All],3,0)</f>
        <v>612</v>
      </c>
      <c r="K11" s="152">
        <f t="shared" si="1"/>
        <v>18699.11997485</v>
      </c>
      <c r="L11" s="172">
        <f t="shared" si="2"/>
        <v>1385.1199981370371</v>
      </c>
      <c r="M11" s="153">
        <f>+Tabla551857211411[[#This Row],[PRECIO SUGERIDO]]+Tabla551857211411[[#This Row],[ICO2]]</f>
        <v>20084.239972987038</v>
      </c>
      <c r="N11" s="154"/>
      <c r="O11" s="147">
        <f t="shared" si="3"/>
        <v>0</v>
      </c>
      <c r="P11" s="171">
        <f>+Tabla551857211411[[#This Row],[PRECIO N]]-Tabla551857211411[[#This Row],[ICO 8%2]]</f>
        <v>0</v>
      </c>
      <c r="Q11" s="149" t="e">
        <f>+Tabla551857211411[[#This Row],[COSTO]]/Tabla551857211411[[#This Row],[CARTA]]</f>
        <v>#DIV/0!</v>
      </c>
      <c r="R11" s="173">
        <f>+Tabla551857211411[[#This Row],[PRECIO N]]/Tabla551857211411[[#This Row],[COSTO]]</f>
        <v>0</v>
      </c>
    </row>
    <row r="12" spans="1:18" x14ac:dyDescent="0.3">
      <c r="A12" s="126">
        <v>6</v>
      </c>
      <c r="B12" s="145" t="str">
        <f>+ADICIONES!A66</f>
        <v>CAMARON</v>
      </c>
      <c r="C12" s="146"/>
      <c r="D12" s="171">
        <f>+ADICIONES!J69</f>
        <v>3569.9999999685006</v>
      </c>
      <c r="E12" s="147">
        <f>+ADICIONES!J70</f>
        <v>10000</v>
      </c>
      <c r="F12" s="147">
        <f t="shared" si="0"/>
        <v>740.74074074074076</v>
      </c>
      <c r="G12" s="148">
        <f>+Tabla551857211411[[#This Row],[VENTA]]-Tabla551857211411[[#This Row],[ICO 8%]]</f>
        <v>9259.2592592592591</v>
      </c>
      <c r="H12" s="149">
        <f>+Tabla551857211411[[#This Row],[COSTO]]/Tabla551857211411[[#This Row],[BASE]]</f>
        <v>0.38555999999659807</v>
      </c>
      <c r="I12" s="150">
        <f>+Tabla551857211411[[#This Row],[BASE]]/Tabla551857211411[[#This Row],[COSTO]]</f>
        <v>2.5936300446333211</v>
      </c>
      <c r="J12" s="151">
        <f>+VLOOKUP(Tabla551857211411[[#This Row],[ADICIONES]],Tabla77[#All],3,0)</f>
        <v>8</v>
      </c>
      <c r="K12" s="152">
        <f t="shared" si="1"/>
        <v>11899.999999895002</v>
      </c>
      <c r="L12" s="172">
        <f t="shared" si="2"/>
        <v>881.48148147370387</v>
      </c>
      <c r="M12" s="153">
        <f>+Tabla551857211411[[#This Row],[PRECIO SUGERIDO]]+Tabla551857211411[[#This Row],[ICO2]]</f>
        <v>12781.481481368706</v>
      </c>
      <c r="N12" s="154"/>
      <c r="O12" s="147">
        <f t="shared" si="3"/>
        <v>0</v>
      </c>
      <c r="P12" s="171">
        <f>+Tabla551857211411[[#This Row],[PRECIO N]]-Tabla551857211411[[#This Row],[ICO 8%2]]</f>
        <v>0</v>
      </c>
      <c r="Q12" s="149" t="e">
        <f>+Tabla551857211411[[#This Row],[COSTO]]/Tabla551857211411[[#This Row],[CARTA]]</f>
        <v>#DIV/0!</v>
      </c>
      <c r="R12" s="173">
        <f>+Tabla551857211411[[#This Row],[PRECIO N]]/Tabla551857211411[[#This Row],[COSTO]]</f>
        <v>0</v>
      </c>
    </row>
    <row r="13" spans="1:18" x14ac:dyDescent="0.3">
      <c r="A13" s="126">
        <v>7</v>
      </c>
      <c r="B13" s="145" t="str">
        <f>+ADICIONES!A80</f>
        <v>CAMOTE</v>
      </c>
      <c r="C13" s="146"/>
      <c r="D13" s="171">
        <f>+ADICIONES!J83</f>
        <v>1250.4376699499999</v>
      </c>
      <c r="E13" s="147">
        <f>+ADICIONES!J84</f>
        <v>5000</v>
      </c>
      <c r="F13" s="147">
        <f t="shared" si="0"/>
        <v>370.37037037037038</v>
      </c>
      <c r="G13" s="148">
        <f>+Tabla551857211411[[#This Row],[VENTA]]-Tabla551857211411[[#This Row],[ICO 8%]]</f>
        <v>4629.6296296296296</v>
      </c>
      <c r="H13" s="149">
        <f>+Tabla551857211411[[#This Row],[COSTO]]/Tabla551857211411[[#This Row],[BASE]]</f>
        <v>0.27009453670919997</v>
      </c>
      <c r="I13" s="150">
        <f>+Tabla551857211411[[#This Row],[BASE]]/Tabla551857211411[[#This Row],[COSTO]]</f>
        <v>3.7024073577491876</v>
      </c>
      <c r="J13" s="151">
        <f>+VLOOKUP(Tabla551857211411[[#This Row],[ADICIONES]],Tabla77[#All],3,0)</f>
        <v>3</v>
      </c>
      <c r="K13" s="152">
        <f t="shared" si="1"/>
        <v>4168.1255664999999</v>
      </c>
      <c r="L13" s="172">
        <f t="shared" si="2"/>
        <v>308.75004196296294</v>
      </c>
      <c r="M13" s="153">
        <f>+Tabla551857211411[[#This Row],[PRECIO SUGERIDO]]+Tabla551857211411[[#This Row],[ICO2]]</f>
        <v>4476.8756084629631</v>
      </c>
      <c r="N13" s="154"/>
      <c r="O13" s="147">
        <f t="shared" si="3"/>
        <v>0</v>
      </c>
      <c r="P13" s="171">
        <f>+Tabla551857211411[[#This Row],[PRECIO N]]-Tabla551857211411[[#This Row],[ICO 8%2]]</f>
        <v>0</v>
      </c>
      <c r="Q13" s="149" t="e">
        <f>+Tabla551857211411[[#This Row],[COSTO]]/Tabla551857211411[[#This Row],[CARTA]]</f>
        <v>#DIV/0!</v>
      </c>
      <c r="R13" s="173">
        <f>+Tabla551857211411[[#This Row],[PRECIO N]]/Tabla551857211411[[#This Row],[COSTO]]</f>
        <v>0</v>
      </c>
    </row>
    <row r="14" spans="1:18" x14ac:dyDescent="0.3">
      <c r="A14" s="126">
        <v>8</v>
      </c>
      <c r="B14" s="145" t="str">
        <f>+ADICIONES!A92</f>
        <v>CEREZA</v>
      </c>
      <c r="C14" s="146"/>
      <c r="D14" s="171">
        <f>+ADICIONES!J95</f>
        <v>167.03911764750001</v>
      </c>
      <c r="E14" s="147">
        <f>+ADICIONES!J96</f>
        <v>4900</v>
      </c>
      <c r="F14" s="147">
        <f t="shared" si="0"/>
        <v>362.96296296296293</v>
      </c>
      <c r="G14" s="148">
        <f>+Tabla551857211411[[#This Row],[VENTA]]-Tabla551857211411[[#This Row],[ICO 8%]]</f>
        <v>4537.0370370370374</v>
      </c>
      <c r="H14" s="149">
        <f>+Tabla551857211411[[#This Row],[COSTO]]/Tabla551857211411[[#This Row],[BASE]]</f>
        <v>3.6816785114142853E-2</v>
      </c>
      <c r="I14" s="150">
        <f>+Tabla551857211411[[#This Row],[BASE]]/Tabla551857211411[[#This Row],[COSTO]]</f>
        <v>27.161524204237445</v>
      </c>
      <c r="J14" s="151">
        <f>+VLOOKUP(Tabla551857211411[[#This Row],[ADICIONES]],Tabla77[#All],3,0)</f>
        <v>2</v>
      </c>
      <c r="K14" s="152">
        <f t="shared" si="1"/>
        <v>556.79705882500002</v>
      </c>
      <c r="L14" s="172">
        <f t="shared" si="2"/>
        <v>41.244226579629633</v>
      </c>
      <c r="M14" s="153">
        <f>+Tabla551857211411[[#This Row],[PRECIO SUGERIDO]]+Tabla551857211411[[#This Row],[ICO2]]</f>
        <v>598.04128540462966</v>
      </c>
      <c r="N14" s="154"/>
      <c r="O14" s="147">
        <f t="shared" si="3"/>
        <v>0</v>
      </c>
      <c r="P14" s="171">
        <f>+Tabla551857211411[[#This Row],[PRECIO N]]-Tabla551857211411[[#This Row],[ICO 8%2]]</f>
        <v>0</v>
      </c>
      <c r="Q14" s="149" t="e">
        <f>+Tabla551857211411[[#This Row],[COSTO]]/Tabla551857211411[[#This Row],[CARTA]]</f>
        <v>#DIV/0!</v>
      </c>
      <c r="R14" s="173">
        <f>+Tabla551857211411[[#This Row],[PRECIO N]]/Tabla551857211411[[#This Row],[COSTO]]</f>
        <v>0</v>
      </c>
    </row>
    <row r="15" spans="1:18" x14ac:dyDescent="0.3">
      <c r="A15" s="126">
        <v>9</v>
      </c>
      <c r="B15" s="145" t="str">
        <f>+ADICIONES!A108</f>
        <v>CHANCHO</v>
      </c>
      <c r="C15" s="146"/>
      <c r="D15" s="171">
        <f>+ADICIONES!J111</f>
        <v>5166.8431499999997</v>
      </c>
      <c r="E15" s="147">
        <f>+ADICIONES!J112</f>
        <v>35000</v>
      </c>
      <c r="F15" s="147">
        <f t="shared" si="0"/>
        <v>2592.5925925925926</v>
      </c>
      <c r="G15" s="148">
        <f>+Tabla551857211411[[#This Row],[VENTA]]-Tabla551857211411[[#This Row],[ICO 8%]]</f>
        <v>32407.407407407409</v>
      </c>
      <c r="H15" s="149">
        <f>+Tabla551857211411[[#This Row],[COSTO]]/Tabla551857211411[[#This Row],[BASE]]</f>
        <v>0.15943401719999997</v>
      </c>
      <c r="I15" s="150">
        <f>+Tabla551857211411[[#This Row],[BASE]]/Tabla551857211411[[#This Row],[COSTO]]</f>
        <v>6.2721871879171349</v>
      </c>
      <c r="J15" s="151" t="e">
        <f>+VLOOKUP(Tabla551857211411[[#This Row],[ADICIONES]],Tabla77[#All],3,0)</f>
        <v>#N/A</v>
      </c>
      <c r="K15" s="152">
        <f t="shared" si="1"/>
        <v>17222.8105</v>
      </c>
      <c r="L15" s="172">
        <f t="shared" si="2"/>
        <v>1275.7637407407406</v>
      </c>
      <c r="M15" s="153">
        <f>+Tabla551857211411[[#This Row],[PRECIO SUGERIDO]]+Tabla551857211411[[#This Row],[ICO2]]</f>
        <v>18498.574240740742</v>
      </c>
      <c r="N15" s="154"/>
      <c r="O15" s="147">
        <f t="shared" si="3"/>
        <v>0</v>
      </c>
      <c r="P15" s="171">
        <f>+Tabla551857211411[[#This Row],[PRECIO N]]-Tabla551857211411[[#This Row],[ICO 8%2]]</f>
        <v>0</v>
      </c>
      <c r="Q15" s="149" t="e">
        <f>+Tabla551857211411[[#This Row],[COSTO]]/Tabla551857211411[[#This Row],[CARTA]]</f>
        <v>#DIV/0!</v>
      </c>
      <c r="R15" s="173">
        <f>+Tabla551857211411[[#This Row],[PRECIO N]]/Tabla551857211411[[#This Row],[COSTO]]</f>
        <v>0</v>
      </c>
    </row>
    <row r="16" spans="1:18" x14ac:dyDescent="0.3">
      <c r="A16" s="126">
        <v>10</v>
      </c>
      <c r="B16" s="145" t="str">
        <f>+ADICIONES!A120</f>
        <v>ENSALADA</v>
      </c>
      <c r="C16" s="146"/>
      <c r="D16" s="171">
        <f>+ADICIONES!J123</f>
        <v>2012.0189801250001</v>
      </c>
      <c r="E16" s="147">
        <f>+ADICIONES!J124</f>
        <v>5500</v>
      </c>
      <c r="F16" s="147">
        <f t="shared" si="0"/>
        <v>407.40740740740739</v>
      </c>
      <c r="G16" s="148">
        <f>+Tabla551857211411[[#This Row],[VENTA]]-Tabla551857211411[[#This Row],[ICO 8%]]</f>
        <v>5092.5925925925931</v>
      </c>
      <c r="H16" s="149">
        <f>+Tabla551857211411[[#This Row],[COSTO]]/Tabla551857211411[[#This Row],[BASE]]</f>
        <v>0.39508736337</v>
      </c>
      <c r="I16" s="150">
        <f>+Tabla551857211411[[#This Row],[BASE]]/Tabla551857211411[[#This Row],[COSTO]]</f>
        <v>2.5310857615648374</v>
      </c>
      <c r="J16" s="151">
        <f>+VLOOKUP(Tabla551857211411[[#This Row],[ADICIONES]],Tabla77[#All],3,0)</f>
        <v>29</v>
      </c>
      <c r="K16" s="152">
        <f t="shared" si="1"/>
        <v>6706.7299337500008</v>
      </c>
      <c r="L16" s="172">
        <f t="shared" si="2"/>
        <v>496.7948099074074</v>
      </c>
      <c r="M16" s="153">
        <f>+Tabla551857211411[[#This Row],[PRECIO SUGERIDO]]+Tabla551857211411[[#This Row],[ICO2]]</f>
        <v>7203.5247436574082</v>
      </c>
      <c r="N16" s="154"/>
      <c r="O16" s="147">
        <f t="shared" si="3"/>
        <v>0</v>
      </c>
      <c r="P16" s="171">
        <f>+Tabla551857211411[[#This Row],[PRECIO N]]-Tabla551857211411[[#This Row],[ICO 8%2]]</f>
        <v>0</v>
      </c>
      <c r="Q16" s="149" t="e">
        <f>+Tabla551857211411[[#This Row],[COSTO]]/Tabla551857211411[[#This Row],[CARTA]]</f>
        <v>#DIV/0!</v>
      </c>
      <c r="R16" s="173">
        <f>+Tabla551857211411[[#This Row],[PRECIO N]]/Tabla551857211411[[#This Row],[COSTO]]</f>
        <v>0</v>
      </c>
    </row>
    <row r="17" spans="1:18" x14ac:dyDescent="0.3">
      <c r="A17" s="126">
        <v>11</v>
      </c>
      <c r="B17" s="145" t="str">
        <f>+ADICIONES!A135</f>
        <v>FILETE DE POLLO</v>
      </c>
      <c r="C17" s="146"/>
      <c r="D17" s="171">
        <f>+ADICIONES!J137</f>
        <v>2169.9999457499998</v>
      </c>
      <c r="E17" s="147">
        <f>+ADICIONES!J138</f>
        <v>9000</v>
      </c>
      <c r="F17" s="147">
        <f t="shared" si="0"/>
        <v>666.66666666666663</v>
      </c>
      <c r="G17" s="148">
        <f>+Tabla551857211411[[#This Row],[VENTA]]-Tabla551857211411[[#This Row],[ICO 8%]]</f>
        <v>8333.3333333333339</v>
      </c>
      <c r="H17" s="149">
        <f>+Tabla551857211411[[#This Row],[COSTO]]/Tabla551857211411[[#This Row],[BASE]]</f>
        <v>0.26039999348999998</v>
      </c>
      <c r="I17" s="150">
        <f>+Tabla551857211411[[#This Row],[BASE]]/Tabla551857211411[[#This Row],[COSTO]]</f>
        <v>3.8402458717357941</v>
      </c>
      <c r="J17" s="151">
        <f>+VLOOKUP(Tabla551857211411[[#This Row],[ADICIONES]],Tabla77[#All],3,0)</f>
        <v>5</v>
      </c>
      <c r="K17" s="152">
        <f t="shared" si="1"/>
        <v>7233.3331524999994</v>
      </c>
      <c r="L17" s="172">
        <f t="shared" si="2"/>
        <v>535.8024557407407</v>
      </c>
      <c r="M17" s="153">
        <f>+Tabla551857211411[[#This Row],[PRECIO SUGERIDO]]+Tabla551857211411[[#This Row],[ICO2]]</f>
        <v>7769.1356082407401</v>
      </c>
      <c r="N17" s="154"/>
      <c r="O17" s="147">
        <f t="shared" si="3"/>
        <v>0</v>
      </c>
      <c r="P17" s="171">
        <f>+Tabla551857211411[[#This Row],[PRECIO N]]-Tabla551857211411[[#This Row],[ICO 8%2]]</f>
        <v>0</v>
      </c>
      <c r="Q17" s="149" t="e">
        <f>+Tabla551857211411[[#This Row],[COSTO]]/Tabla551857211411[[#This Row],[CARTA]]</f>
        <v>#DIV/0!</v>
      </c>
      <c r="R17" s="173">
        <f>+Tabla551857211411[[#This Row],[PRECIO N]]/Tabla551857211411[[#This Row],[COSTO]]</f>
        <v>0</v>
      </c>
    </row>
    <row r="18" spans="1:18" x14ac:dyDescent="0.3">
      <c r="A18" s="126">
        <v>12</v>
      </c>
      <c r="B18" s="145" t="str">
        <f>+ADICIONES!A146</f>
        <v>FILETE DE SALMON</v>
      </c>
      <c r="C18" s="146"/>
      <c r="D18" s="171">
        <f>+ADICIONES!J149</f>
        <v>0</v>
      </c>
      <c r="E18" s="147">
        <f>+ADICIONES!J150</f>
        <v>40000</v>
      </c>
      <c r="F18" s="147">
        <f t="shared" si="0"/>
        <v>2962.962962962963</v>
      </c>
      <c r="G18" s="148">
        <f>+Tabla551857211411[[#This Row],[VENTA]]-Tabla551857211411[[#This Row],[ICO 8%]]</f>
        <v>37037.037037037036</v>
      </c>
      <c r="H18" s="149">
        <f>+Tabla551857211411[[#This Row],[COSTO]]/Tabla551857211411[[#This Row],[BASE]]</f>
        <v>0</v>
      </c>
      <c r="I18" s="150" t="e">
        <f>+Tabla551857211411[[#This Row],[BASE]]/Tabla551857211411[[#This Row],[COSTO]]</f>
        <v>#DIV/0!</v>
      </c>
      <c r="J18" s="151">
        <f>+VLOOKUP(Tabla551857211411[[#This Row],[ADICIONES]],Tabla77[#All],3,0)</f>
        <v>2</v>
      </c>
      <c r="K18" s="152">
        <f t="shared" si="1"/>
        <v>0</v>
      </c>
      <c r="L18" s="172">
        <f t="shared" si="2"/>
        <v>0</v>
      </c>
      <c r="M18" s="153">
        <f>+Tabla551857211411[[#This Row],[PRECIO SUGERIDO]]+Tabla551857211411[[#This Row],[ICO2]]</f>
        <v>0</v>
      </c>
      <c r="N18" s="154"/>
      <c r="O18" s="147">
        <f t="shared" si="3"/>
        <v>0</v>
      </c>
      <c r="P18" s="171">
        <f>+Tabla551857211411[[#This Row],[PRECIO N]]-Tabla551857211411[[#This Row],[ICO 8%2]]</f>
        <v>0</v>
      </c>
      <c r="Q18" s="149" t="e">
        <f>+Tabla551857211411[[#This Row],[COSTO]]/Tabla551857211411[[#This Row],[CARTA]]</f>
        <v>#DIV/0!</v>
      </c>
      <c r="R18" s="173" t="e">
        <f>+Tabla551857211411[[#This Row],[PRECIO N]]/Tabla551857211411[[#This Row],[COSTO]]</f>
        <v>#DIV/0!</v>
      </c>
    </row>
    <row r="19" spans="1:18" x14ac:dyDescent="0.3">
      <c r="A19" s="126">
        <v>13</v>
      </c>
      <c r="B19" s="145" t="str">
        <f>+ADICIONES!A158</f>
        <v>FILETE DE TILAPIA</v>
      </c>
      <c r="C19" s="146"/>
      <c r="D19" s="171">
        <f>+ADICIONES!J161</f>
        <v>5179.9998704999998</v>
      </c>
      <c r="E19" s="147">
        <f>+ADICIONES!J162</f>
        <v>25000</v>
      </c>
      <c r="F19" s="147">
        <f t="shared" si="0"/>
        <v>1851.8518518518517</v>
      </c>
      <c r="G19" s="148">
        <f>+Tabla551857211411[[#This Row],[VENTA]]-Tabla551857211411[[#This Row],[ICO 8%]]</f>
        <v>23148.14814814815</v>
      </c>
      <c r="H19" s="149">
        <f>+Tabla551857211411[[#This Row],[COSTO]]/Tabla551857211411[[#This Row],[BASE]]</f>
        <v>0.22377599440559998</v>
      </c>
      <c r="I19" s="150">
        <f>+Tabla551857211411[[#This Row],[BASE]]/Tabla551857211411[[#This Row],[COSTO]]</f>
        <v>4.468754580473334</v>
      </c>
      <c r="J19" s="151">
        <f>+VLOOKUP(Tabla551857211411[[#This Row],[ADICIONES]],Tabla77[#All],3,0)</f>
        <v>2</v>
      </c>
      <c r="K19" s="152">
        <f t="shared" si="1"/>
        <v>17266.666235000001</v>
      </c>
      <c r="L19" s="172">
        <f t="shared" si="2"/>
        <v>1279.0123137037037</v>
      </c>
      <c r="M19" s="153">
        <f>+Tabla551857211411[[#This Row],[PRECIO SUGERIDO]]+Tabla551857211411[[#This Row],[ICO2]]</f>
        <v>18545.678548703705</v>
      </c>
      <c r="N19" s="154"/>
      <c r="O19" s="147">
        <f t="shared" si="3"/>
        <v>0</v>
      </c>
      <c r="P19" s="171">
        <f>+Tabla551857211411[[#This Row],[PRECIO N]]-Tabla551857211411[[#This Row],[ICO 8%2]]</f>
        <v>0</v>
      </c>
      <c r="Q19" s="149" t="e">
        <f>+Tabla551857211411[[#This Row],[COSTO]]/Tabla551857211411[[#This Row],[CARTA]]</f>
        <v>#DIV/0!</v>
      </c>
      <c r="R19" s="173">
        <f>+Tabla551857211411[[#This Row],[PRECIO N]]/Tabla551857211411[[#This Row],[COSTO]]</f>
        <v>0</v>
      </c>
    </row>
    <row r="20" spans="1:18" x14ac:dyDescent="0.3">
      <c r="A20" s="126">
        <v>14</v>
      </c>
      <c r="B20" s="145" t="str">
        <f>+ADICIONES!A170</f>
        <v>FRESA</v>
      </c>
      <c r="C20" s="146"/>
      <c r="D20" s="171">
        <f>+ADICIONES!J173</f>
        <v>361.666646775</v>
      </c>
      <c r="E20" s="147">
        <f>+ADICIONES!J174</f>
        <v>4900</v>
      </c>
      <c r="F20" s="147">
        <f t="shared" si="0"/>
        <v>362.96296296296293</v>
      </c>
      <c r="G20" s="148">
        <f>+Tabla551857211411[[#This Row],[VENTA]]-Tabla551857211411[[#This Row],[ICO 8%]]</f>
        <v>4537.0370370370374</v>
      </c>
      <c r="H20" s="149">
        <f>+Tabla551857211411[[#This Row],[COSTO]]/Tabla551857211411[[#This Row],[BASE]]</f>
        <v>7.9714281329999997E-2</v>
      </c>
      <c r="I20" s="150">
        <f>+Tabla551857211411[[#This Row],[BASE]]/Tabla551857211411[[#This Row],[COSTO]]</f>
        <v>12.544803557347709</v>
      </c>
      <c r="J20" s="151">
        <f>+VLOOKUP(Tabla551857211411[[#This Row],[ADICIONES]],Tabla77[#All],3,0)</f>
        <v>1</v>
      </c>
      <c r="K20" s="152">
        <f t="shared" si="1"/>
        <v>1205.5554892499999</v>
      </c>
      <c r="L20" s="172">
        <f t="shared" si="2"/>
        <v>89.3004066111111</v>
      </c>
      <c r="M20" s="153">
        <f>+Tabla551857211411[[#This Row],[PRECIO SUGERIDO]]+Tabla551857211411[[#This Row],[ICO2]]</f>
        <v>1294.8558958611111</v>
      </c>
      <c r="N20" s="154"/>
      <c r="O20" s="147">
        <f t="shared" si="3"/>
        <v>0</v>
      </c>
      <c r="P20" s="171">
        <f>+Tabla551857211411[[#This Row],[PRECIO N]]-Tabla551857211411[[#This Row],[ICO 8%2]]</f>
        <v>0</v>
      </c>
      <c r="Q20" s="149" t="e">
        <f>+Tabla551857211411[[#This Row],[COSTO]]/Tabla551857211411[[#This Row],[CARTA]]</f>
        <v>#DIV/0!</v>
      </c>
      <c r="R20" s="173">
        <f>+Tabla551857211411[[#This Row],[PRECIO N]]/Tabla551857211411[[#This Row],[COSTO]]</f>
        <v>0</v>
      </c>
    </row>
    <row r="21" spans="1:18" x14ac:dyDescent="0.3">
      <c r="A21" s="126">
        <v>15</v>
      </c>
      <c r="B21" s="145" t="str">
        <f>+ADICIONES!A182</f>
        <v>GUACAMOLE</v>
      </c>
      <c r="C21" s="146"/>
      <c r="D21" s="171">
        <f>+ADICIONES!J185</f>
        <v>781.33452137999996</v>
      </c>
      <c r="E21" s="147">
        <f>+ADICIONES!J186</f>
        <v>2900</v>
      </c>
      <c r="F21" s="147">
        <f t="shared" si="0"/>
        <v>214.81481481481481</v>
      </c>
      <c r="G21" s="148">
        <f>+Tabla551857211411[[#This Row],[VENTA]]-Tabla551857211411[[#This Row],[ICO 8%]]</f>
        <v>2685.1851851851852</v>
      </c>
      <c r="H21" s="149">
        <f>+Tabla551857211411[[#This Row],[COSTO]]/Tabla551857211411[[#This Row],[BASE]]</f>
        <v>0.2909797527897931</v>
      </c>
      <c r="I21" s="150">
        <f>+Tabla551857211411[[#This Row],[BASE]]/Tabla551857211411[[#This Row],[COSTO]]</f>
        <v>3.4366652332762508</v>
      </c>
      <c r="J21" s="151">
        <f>+VLOOKUP(Tabla551857211411[[#This Row],[ADICIONES]],Tabla77[#All],3,0)</f>
        <v>7</v>
      </c>
      <c r="K21" s="152">
        <f t="shared" si="1"/>
        <v>2604.4484045999998</v>
      </c>
      <c r="L21" s="172">
        <f t="shared" si="2"/>
        <v>192.92210404444444</v>
      </c>
      <c r="M21" s="153">
        <f>+Tabla551857211411[[#This Row],[PRECIO SUGERIDO]]+Tabla551857211411[[#This Row],[ICO2]]</f>
        <v>2797.3705086444443</v>
      </c>
      <c r="N21" s="154"/>
      <c r="O21" s="147">
        <f t="shared" si="3"/>
        <v>0</v>
      </c>
      <c r="P21" s="171">
        <f>+Tabla551857211411[[#This Row],[PRECIO N]]-Tabla551857211411[[#This Row],[ICO 8%2]]</f>
        <v>0</v>
      </c>
      <c r="Q21" s="149" t="e">
        <f>+Tabla551857211411[[#This Row],[COSTO]]/Tabla551857211411[[#This Row],[CARTA]]</f>
        <v>#DIV/0!</v>
      </c>
      <c r="R21" s="173">
        <f>+Tabla551857211411[[#This Row],[PRECIO N]]/Tabla551857211411[[#This Row],[COSTO]]</f>
        <v>0</v>
      </c>
    </row>
    <row r="22" spans="1:18" x14ac:dyDescent="0.3">
      <c r="A22" s="126">
        <v>16</v>
      </c>
      <c r="B22" s="145" t="str">
        <f>+ADICIONES!A194</f>
        <v>HELADO</v>
      </c>
      <c r="C22" s="146"/>
      <c r="D22" s="171">
        <f>+ADICIONES!J197</f>
        <v>780.21090000000004</v>
      </c>
      <c r="E22" s="147">
        <f>+ADICIONES!J198</f>
        <v>12000</v>
      </c>
      <c r="F22" s="147">
        <f t="shared" si="0"/>
        <v>888.8888888888888</v>
      </c>
      <c r="G22" s="148">
        <f>+Tabla551857211411[[#This Row],[VENTA]]-Tabla551857211411[[#This Row],[ICO 8%]]</f>
        <v>11111.111111111111</v>
      </c>
      <c r="H22" s="149">
        <f>+Tabla551857211411[[#This Row],[COSTO]]/Tabla551857211411[[#This Row],[BASE]]</f>
        <v>7.0218981E-2</v>
      </c>
      <c r="I22" s="150">
        <f>+Tabla551857211411[[#This Row],[BASE]]/Tabla551857211411[[#This Row],[COSTO]]</f>
        <v>14.241163653457175</v>
      </c>
      <c r="J22" s="151">
        <f>+VLOOKUP(Tabla551857211411[[#This Row],[ADICIONES]],Tabla77[#All],3,0)</f>
        <v>8</v>
      </c>
      <c r="K22" s="152">
        <f t="shared" si="1"/>
        <v>2600.703</v>
      </c>
      <c r="L22" s="172">
        <f t="shared" si="2"/>
        <v>192.64466666666664</v>
      </c>
      <c r="M22" s="153">
        <f>+Tabla551857211411[[#This Row],[PRECIO SUGERIDO]]+Tabla551857211411[[#This Row],[ICO2]]</f>
        <v>2793.3476666666666</v>
      </c>
      <c r="N22" s="154"/>
      <c r="O22" s="147">
        <f t="shared" si="3"/>
        <v>0</v>
      </c>
      <c r="P22" s="171">
        <f>+Tabla551857211411[[#This Row],[PRECIO N]]-Tabla551857211411[[#This Row],[ICO 8%2]]</f>
        <v>0</v>
      </c>
      <c r="Q22" s="149" t="e">
        <f>+Tabla551857211411[[#This Row],[COSTO]]/Tabla551857211411[[#This Row],[CARTA]]</f>
        <v>#DIV/0!</v>
      </c>
      <c r="R22" s="173">
        <f>+Tabla551857211411[[#This Row],[PRECIO N]]/Tabla551857211411[[#This Row],[COSTO]]</f>
        <v>0</v>
      </c>
    </row>
    <row r="23" spans="1:18" x14ac:dyDescent="0.3">
      <c r="A23" s="126">
        <v>17</v>
      </c>
      <c r="B23" s="145" t="str">
        <f>+ADICIONES!A207</f>
        <v>HUEVO</v>
      </c>
      <c r="C23" s="146"/>
      <c r="D23" s="171" t="e">
        <f>+ADICIONES!J210</f>
        <v>#N/A</v>
      </c>
      <c r="E23" s="147">
        <f>+ADICIONES!J211</f>
        <v>1500</v>
      </c>
      <c r="F23" s="147">
        <f t="shared" si="0"/>
        <v>111.1111111111111</v>
      </c>
      <c r="G23" s="148">
        <f>+Tabla551857211411[[#This Row],[VENTA]]-Tabla551857211411[[#This Row],[ICO 8%]]</f>
        <v>1388.8888888888889</v>
      </c>
      <c r="H23" s="149" t="e">
        <f>+Tabla551857211411[[#This Row],[COSTO]]/Tabla551857211411[[#This Row],[BASE]]</f>
        <v>#N/A</v>
      </c>
      <c r="I23" s="150" t="e">
        <f>+Tabla551857211411[[#This Row],[BASE]]/Tabla551857211411[[#This Row],[COSTO]]</f>
        <v>#N/A</v>
      </c>
      <c r="J23" s="151">
        <f>+VLOOKUP(Tabla551857211411[[#This Row],[ADICIONES]],Tabla77[#All],3,0)</f>
        <v>229</v>
      </c>
      <c r="K23" s="152" t="e">
        <f t="shared" si="1"/>
        <v>#N/A</v>
      </c>
      <c r="L23" s="172" t="e">
        <f t="shared" si="2"/>
        <v>#N/A</v>
      </c>
      <c r="M23" s="153" t="e">
        <f>+Tabla551857211411[[#This Row],[PRECIO SUGERIDO]]+Tabla551857211411[[#This Row],[ICO2]]</f>
        <v>#N/A</v>
      </c>
      <c r="N23" s="154"/>
      <c r="O23" s="147">
        <f t="shared" si="3"/>
        <v>0</v>
      </c>
      <c r="P23" s="171">
        <f>+Tabla551857211411[[#This Row],[PRECIO N]]-Tabla551857211411[[#This Row],[ICO 8%2]]</f>
        <v>0</v>
      </c>
      <c r="Q23" s="149" t="e">
        <f>+Tabla551857211411[[#This Row],[COSTO]]/Tabla551857211411[[#This Row],[CARTA]]</f>
        <v>#N/A</v>
      </c>
      <c r="R23" s="173" t="e">
        <f>+Tabla551857211411[[#This Row],[PRECIO N]]/Tabla551857211411[[#This Row],[COSTO]]</f>
        <v>#N/A</v>
      </c>
    </row>
    <row r="24" spans="1:18" x14ac:dyDescent="0.3">
      <c r="A24" s="126">
        <v>18</v>
      </c>
      <c r="B24" s="145" t="str">
        <f>+ADICIONES!A221</f>
        <v>LANGOSTINOS</v>
      </c>
      <c r="C24" s="146"/>
      <c r="D24" s="171">
        <f>+ADICIONES!J224</f>
        <v>6825</v>
      </c>
      <c r="E24" s="147">
        <f>+ADICIONES!J225</f>
        <v>25000</v>
      </c>
      <c r="F24" s="147">
        <f t="shared" si="0"/>
        <v>1851.8518518518517</v>
      </c>
      <c r="G24" s="148">
        <f>+Tabla551857211411[[#This Row],[VENTA]]-Tabla551857211411[[#This Row],[ICO 8%]]</f>
        <v>23148.14814814815</v>
      </c>
      <c r="H24" s="149">
        <f>+Tabla551857211411[[#This Row],[COSTO]]/Tabla551857211411[[#This Row],[BASE]]</f>
        <v>0.29483999999999999</v>
      </c>
      <c r="I24" s="150">
        <f>+Tabla551857211411[[#This Row],[BASE]]/Tabla551857211411[[#This Row],[COSTO]]</f>
        <v>3.3916700583367252</v>
      </c>
      <c r="J24" s="151">
        <f>+VLOOKUP(Tabla551857211411[[#This Row],[ADICIONES]],Tabla77[#All],3,0)</f>
        <v>1</v>
      </c>
      <c r="K24" s="152">
        <f t="shared" si="1"/>
        <v>22750</v>
      </c>
      <c r="L24" s="172">
        <f t="shared" si="2"/>
        <v>1685.1851851851852</v>
      </c>
      <c r="M24" s="153">
        <f>+Tabla551857211411[[#This Row],[PRECIO SUGERIDO]]+Tabla551857211411[[#This Row],[ICO2]]</f>
        <v>24435.185185185186</v>
      </c>
      <c r="N24" s="154"/>
      <c r="O24" s="147">
        <f t="shared" si="3"/>
        <v>0</v>
      </c>
      <c r="P24" s="171">
        <f>+Tabla551857211411[[#This Row],[PRECIO N]]-Tabla551857211411[[#This Row],[ICO 8%2]]</f>
        <v>0</v>
      </c>
      <c r="Q24" s="149" t="e">
        <f>+Tabla551857211411[[#This Row],[COSTO]]/Tabla551857211411[[#This Row],[CARTA]]</f>
        <v>#DIV/0!</v>
      </c>
      <c r="R24" s="173">
        <f>+Tabla551857211411[[#This Row],[PRECIO N]]/Tabla551857211411[[#This Row],[COSTO]]</f>
        <v>0</v>
      </c>
    </row>
    <row r="25" spans="1:18" x14ac:dyDescent="0.3">
      <c r="A25" s="126">
        <v>19</v>
      </c>
      <c r="B25" s="145" t="str">
        <f>+ADICIONES!A232</f>
        <v xml:space="preserve">LECHE </v>
      </c>
      <c r="C25" s="146"/>
      <c r="D25" s="171">
        <f>+ADICIONES!J235</f>
        <v>2206.5120000000002</v>
      </c>
      <c r="E25" s="147">
        <f>+ADICIONES!J236</f>
        <v>2000</v>
      </c>
      <c r="F25" s="147">
        <f t="shared" ref="F25:F27" si="4">+E25/1.08*0.08</f>
        <v>148.14814814814815</v>
      </c>
      <c r="G25" s="148">
        <f>+Tabla551857211411[[#This Row],[VENTA]]-Tabla551857211411[[#This Row],[ICO 8%]]</f>
        <v>1851.8518518518517</v>
      </c>
      <c r="H25" s="149">
        <f>+Tabla551857211411[[#This Row],[COSTO]]/Tabla551857211411[[#This Row],[BASE]]</f>
        <v>1.1915164800000002</v>
      </c>
      <c r="I25" s="150">
        <f>+Tabla551857211411[[#This Row],[BASE]]/Tabla551857211411[[#This Row],[COSTO]]</f>
        <v>0.83926661257761193</v>
      </c>
      <c r="J25" s="151">
        <f>+VLOOKUP(Tabla551857211411[[#This Row],[ADICIONES]],Tabla77[#All],3,0)</f>
        <v>11</v>
      </c>
      <c r="K25" s="152">
        <f t="shared" ref="K25:K27" si="5">+D25/(100-70)*100</f>
        <v>7355.0400000000009</v>
      </c>
      <c r="L25" s="172">
        <f t="shared" ref="L25:L27" si="6">+K25/1.08*0.08</f>
        <v>544.81777777777779</v>
      </c>
      <c r="M25" s="153">
        <f>+Tabla551857211411[[#This Row],[PRECIO SUGERIDO]]+Tabla551857211411[[#This Row],[ICO2]]</f>
        <v>7899.8577777777791</v>
      </c>
      <c r="N25" s="154"/>
      <c r="O25" s="147">
        <f t="shared" si="3"/>
        <v>0</v>
      </c>
      <c r="P25" s="171">
        <f>+Tabla551857211411[[#This Row],[PRECIO N]]-Tabla551857211411[[#This Row],[ICO 8%2]]</f>
        <v>0</v>
      </c>
      <c r="Q25" s="149" t="e">
        <f>+Tabla551857211411[[#This Row],[COSTO]]/Tabla551857211411[[#This Row],[CARTA]]</f>
        <v>#DIV/0!</v>
      </c>
      <c r="R25" s="173">
        <f>+Tabla551857211411[[#This Row],[PRECIO N]]/Tabla551857211411[[#This Row],[COSTO]]</f>
        <v>0</v>
      </c>
    </row>
    <row r="26" spans="1:18" x14ac:dyDescent="0.3">
      <c r="A26" s="126">
        <v>20</v>
      </c>
      <c r="B26" s="145" t="str">
        <f>+ADICIONES!A245</f>
        <v>LYCHE</v>
      </c>
      <c r="C26" s="146"/>
      <c r="D26" s="171">
        <f>+ADICIONES!J248</f>
        <v>1005.8300000700001</v>
      </c>
      <c r="E26" s="147">
        <f>+ADICIONES!J249</f>
        <v>4900</v>
      </c>
      <c r="F26" s="147">
        <f t="shared" si="4"/>
        <v>362.96296296296293</v>
      </c>
      <c r="G26" s="148">
        <f>+Tabla551857211411[[#This Row],[VENTA]]-Tabla551857211411[[#This Row],[ICO 8%]]</f>
        <v>4537.0370370370374</v>
      </c>
      <c r="H26" s="149">
        <f>+Tabla551857211411[[#This Row],[COSTO]]/Tabla551857211411[[#This Row],[BASE]]</f>
        <v>0.22169314287257144</v>
      </c>
      <c r="I26" s="150">
        <f>+Tabla551857211411[[#This Row],[BASE]]/Tabla551857211411[[#This Row],[COSTO]]</f>
        <v>4.5107394258684721</v>
      </c>
      <c r="J26" s="151">
        <f>+VLOOKUP(Tabla551857211411[[#This Row],[ADICIONES]],Tabla77[#All],3,0)</f>
        <v>9</v>
      </c>
      <c r="K26" s="152">
        <f t="shared" si="5"/>
        <v>3352.7666669000005</v>
      </c>
      <c r="L26" s="172">
        <f t="shared" si="6"/>
        <v>248.35308643703706</v>
      </c>
      <c r="M26" s="153">
        <f>+Tabla551857211411[[#This Row],[PRECIO SUGERIDO]]+Tabla551857211411[[#This Row],[ICO2]]</f>
        <v>3601.1197533370378</v>
      </c>
      <c r="N26" s="154"/>
      <c r="O26" s="147">
        <f t="shared" si="3"/>
        <v>0</v>
      </c>
      <c r="P26" s="171">
        <f>+Tabla551857211411[[#This Row],[PRECIO N]]-Tabla551857211411[[#This Row],[ICO 8%2]]</f>
        <v>0</v>
      </c>
      <c r="Q26" s="149" t="e">
        <f>+Tabla551857211411[[#This Row],[COSTO]]/Tabla551857211411[[#This Row],[CARTA]]</f>
        <v>#DIV/0!</v>
      </c>
      <c r="R26" s="173">
        <f>+Tabla551857211411[[#This Row],[PRECIO N]]/Tabla551857211411[[#This Row],[COSTO]]</f>
        <v>0</v>
      </c>
    </row>
    <row r="27" spans="1:18" x14ac:dyDescent="0.3">
      <c r="A27" s="126">
        <v>21</v>
      </c>
      <c r="B27" s="145" t="str">
        <f>+ADICIONES!A257</f>
        <v>MAYO ACEVICHADA</v>
      </c>
      <c r="C27" s="146"/>
      <c r="D27" s="171">
        <f>+ADICIONES!J260</f>
        <v>710.18288775000008</v>
      </c>
      <c r="E27" s="147">
        <f>+ADICIONES!J261</f>
        <v>2900</v>
      </c>
      <c r="F27" s="147">
        <f t="shared" si="4"/>
        <v>214.81481481481481</v>
      </c>
      <c r="G27" s="148">
        <f>+Tabla551857211411[[#This Row],[VENTA]]-Tabla551857211411[[#This Row],[ICO 8%]]</f>
        <v>2685.1851851851852</v>
      </c>
      <c r="H27" s="149">
        <f>+Tabla551857211411[[#This Row],[COSTO]]/Tabla551857211411[[#This Row],[BASE]]</f>
        <v>0.26448190302413793</v>
      </c>
      <c r="I27" s="150">
        <f>+Tabla551857211411[[#This Row],[BASE]]/Tabla551857211411[[#This Row],[COSTO]]</f>
        <v>3.7809770293006966</v>
      </c>
      <c r="J27" s="151">
        <f>+VLOOKUP(Tabla551857211411[[#This Row],[ADICIONES]],Tabla77[#All],3,0)</f>
        <v>15</v>
      </c>
      <c r="K27" s="152">
        <f t="shared" si="5"/>
        <v>2367.2762925000006</v>
      </c>
      <c r="L27" s="172">
        <f t="shared" si="6"/>
        <v>175.35379944444449</v>
      </c>
      <c r="M27" s="153">
        <f>+Tabla551857211411[[#This Row],[PRECIO SUGERIDO]]+Tabla551857211411[[#This Row],[ICO2]]</f>
        <v>2542.6300919444452</v>
      </c>
      <c r="N27" s="154"/>
      <c r="O27" s="147">
        <f t="shared" si="3"/>
        <v>0</v>
      </c>
      <c r="P27" s="171">
        <f>+Tabla551857211411[[#This Row],[PRECIO N]]-Tabla551857211411[[#This Row],[ICO 8%2]]</f>
        <v>0</v>
      </c>
      <c r="Q27" s="149" t="e">
        <f>+Tabla551857211411[[#This Row],[COSTO]]/Tabla551857211411[[#This Row],[CARTA]]</f>
        <v>#DIV/0!</v>
      </c>
      <c r="R27" s="173">
        <f>+Tabla551857211411[[#This Row],[PRECIO N]]/Tabla551857211411[[#This Row],[COSTO]]</f>
        <v>0</v>
      </c>
    </row>
    <row r="28" spans="1:18" x14ac:dyDescent="0.3">
      <c r="A28" s="126">
        <v>22</v>
      </c>
      <c r="B28" s="145" t="str">
        <f>+ADICIONES!A268</f>
        <v>MEJILLONES</v>
      </c>
      <c r="C28" s="146"/>
      <c r="D28" s="171">
        <f>+ADICIONES!J271</f>
        <v>1699.3200000000002</v>
      </c>
      <c r="E28" s="147">
        <f>+ADICIONES!J272</f>
        <v>6000</v>
      </c>
      <c r="F28" s="147">
        <f t="shared" ref="F28:F37" si="7">+E28/1.08*0.08</f>
        <v>444.4444444444444</v>
      </c>
      <c r="G28" s="148">
        <f>+Tabla551857211411[[#This Row],[VENTA]]-Tabla551857211411[[#This Row],[ICO 8%]]</f>
        <v>5555.5555555555557</v>
      </c>
      <c r="H28" s="149">
        <f>+Tabla551857211411[[#This Row],[COSTO]]/Tabla551857211411[[#This Row],[BASE]]</f>
        <v>0.30587760000000003</v>
      </c>
      <c r="I28" s="150">
        <f>+Tabla551857211411[[#This Row],[BASE]]/Tabla551857211411[[#This Row],[COSTO]]</f>
        <v>3.2692815688366847</v>
      </c>
      <c r="J28" s="151" t="e">
        <f>+VLOOKUP(Tabla551857211411[[#This Row],[ADICIONES]],Tabla77[#All],3,0)</f>
        <v>#N/A</v>
      </c>
      <c r="K28" s="152">
        <f t="shared" ref="K28:K37" si="8">+D28/(100-70)*100</f>
        <v>5664.4000000000005</v>
      </c>
      <c r="L28" s="172">
        <f t="shared" ref="L28:L37" si="9">+K28/1.08*0.08</f>
        <v>419.5851851851852</v>
      </c>
      <c r="M28" s="153">
        <f>+Tabla551857211411[[#This Row],[PRECIO SUGERIDO]]+Tabla551857211411[[#This Row],[ICO2]]</f>
        <v>6083.9851851851854</v>
      </c>
      <c r="N28" s="154"/>
      <c r="O28" s="147">
        <f t="shared" si="3"/>
        <v>0</v>
      </c>
      <c r="P28" s="171">
        <f>+Tabla551857211411[[#This Row],[PRECIO N]]-Tabla551857211411[[#This Row],[ICO 8%2]]</f>
        <v>0</v>
      </c>
      <c r="Q28" s="149" t="e">
        <f>+Tabla551857211411[[#This Row],[COSTO]]/Tabla551857211411[[#This Row],[CARTA]]</f>
        <v>#DIV/0!</v>
      </c>
      <c r="R28" s="173">
        <f>+Tabla551857211411[[#This Row],[PRECIO N]]/Tabla551857211411[[#This Row],[COSTO]]</f>
        <v>0</v>
      </c>
    </row>
    <row r="29" spans="1:18" x14ac:dyDescent="0.3">
      <c r="A29" s="126">
        <v>23</v>
      </c>
      <c r="B29" s="145" t="str">
        <f>+ADICIONES!A279</f>
        <v>MERMELADA DE AJI AMARILLO</v>
      </c>
      <c r="C29" s="146"/>
      <c r="D29" s="171">
        <f>+ADICIONES!J282</f>
        <v>900.37725970500003</v>
      </c>
      <c r="E29" s="147">
        <f>+ADICIONES!J283</f>
        <v>3900</v>
      </c>
      <c r="F29" s="147">
        <f t="shared" si="7"/>
        <v>288.88888888888886</v>
      </c>
      <c r="G29" s="148">
        <f>+Tabla551857211411[[#This Row],[VENTA]]-Tabla551857211411[[#This Row],[ICO 8%]]</f>
        <v>3611.1111111111113</v>
      </c>
      <c r="H29" s="149">
        <f>+Tabla551857211411[[#This Row],[COSTO]]/Tabla551857211411[[#This Row],[BASE]]</f>
        <v>0.24933524114907693</v>
      </c>
      <c r="I29" s="150">
        <f>+Tabla551857211411[[#This Row],[BASE]]/Tabla551857211411[[#This Row],[COSTO]]</f>
        <v>4.0106644988948936</v>
      </c>
      <c r="J29" s="151" t="e">
        <f>+VLOOKUP(Tabla551857211411[[#This Row],[ADICIONES]],Tabla77[#All],3,0)</f>
        <v>#N/A</v>
      </c>
      <c r="K29" s="152">
        <f t="shared" si="8"/>
        <v>3001.25753235</v>
      </c>
      <c r="L29" s="172">
        <f t="shared" si="9"/>
        <v>222.31537276666666</v>
      </c>
      <c r="M29" s="153">
        <f>+Tabla551857211411[[#This Row],[PRECIO SUGERIDO]]+Tabla551857211411[[#This Row],[ICO2]]</f>
        <v>3223.5729051166668</v>
      </c>
      <c r="N29" s="154"/>
      <c r="O29" s="147">
        <f t="shared" si="3"/>
        <v>0</v>
      </c>
      <c r="P29" s="171">
        <f>+Tabla551857211411[[#This Row],[PRECIO N]]-Tabla551857211411[[#This Row],[ICO 8%2]]</f>
        <v>0</v>
      </c>
      <c r="Q29" s="149" t="e">
        <f>+Tabla551857211411[[#This Row],[COSTO]]/Tabla551857211411[[#This Row],[CARTA]]</f>
        <v>#DIV/0!</v>
      </c>
      <c r="R29" s="173">
        <f>+Tabla551857211411[[#This Row],[PRECIO N]]/Tabla551857211411[[#This Row],[COSTO]]</f>
        <v>0</v>
      </c>
    </row>
    <row r="30" spans="1:18" x14ac:dyDescent="0.3">
      <c r="A30" s="126">
        <v>24</v>
      </c>
      <c r="B30" s="145" t="str">
        <f>+ADICIONES!A292</f>
        <v>PAPA A LA FRANCESA</v>
      </c>
      <c r="C30" s="146"/>
      <c r="D30" s="171">
        <f>+ADICIONES!J295</f>
        <v>2653.8726866400002</v>
      </c>
      <c r="E30" s="147">
        <f>+ADICIONES!J296</f>
        <v>8000</v>
      </c>
      <c r="F30" s="147">
        <f t="shared" si="7"/>
        <v>592.59259259259261</v>
      </c>
      <c r="G30" s="148">
        <f>+Tabla551857211411[[#This Row],[VENTA]]-Tabla551857211411[[#This Row],[ICO 8%]]</f>
        <v>7407.4074074074069</v>
      </c>
      <c r="H30" s="149">
        <f>+Tabla551857211411[[#This Row],[COSTO]]/Tabla551857211411[[#This Row],[BASE]]</f>
        <v>0.35827281269640004</v>
      </c>
      <c r="I30" s="150">
        <f>+Tabla551857211411[[#This Row],[BASE]]/Tabla551857211411[[#This Row],[COSTO]]</f>
        <v>2.7911690883656273</v>
      </c>
      <c r="J30" s="151">
        <f>+VLOOKUP(Tabla551857211411[[#This Row],[ADICIONES]],Tabla77[#All],3,0)</f>
        <v>1164</v>
      </c>
      <c r="K30" s="152">
        <f t="shared" si="8"/>
        <v>8846.2422888000001</v>
      </c>
      <c r="L30" s="172">
        <f t="shared" si="9"/>
        <v>655.27720657777775</v>
      </c>
      <c r="M30" s="153">
        <f>+Tabla551857211411[[#This Row],[PRECIO SUGERIDO]]+Tabla551857211411[[#This Row],[ICO2]]</f>
        <v>9501.5194953777773</v>
      </c>
      <c r="N30" s="154"/>
      <c r="O30" s="147">
        <f t="shared" si="3"/>
        <v>0</v>
      </c>
      <c r="P30" s="171">
        <f>+Tabla551857211411[[#This Row],[PRECIO N]]-Tabla551857211411[[#This Row],[ICO 8%2]]</f>
        <v>0</v>
      </c>
      <c r="Q30" s="149" t="e">
        <f>+Tabla551857211411[[#This Row],[COSTO]]/Tabla551857211411[[#This Row],[CARTA]]</f>
        <v>#DIV/0!</v>
      </c>
      <c r="R30" s="173">
        <f>+Tabla551857211411[[#This Row],[PRECIO N]]/Tabla551857211411[[#This Row],[COSTO]]</f>
        <v>0</v>
      </c>
    </row>
    <row r="31" spans="1:18" x14ac:dyDescent="0.3">
      <c r="A31" s="126">
        <v>25</v>
      </c>
      <c r="B31" s="145" t="str">
        <f>+ADICIONES!A305</f>
        <v>PAPA CRIOLLA</v>
      </c>
      <c r="C31" s="146"/>
      <c r="D31" s="171">
        <f>+ADICIONES!J308</f>
        <v>1399.9999999860001</v>
      </c>
      <c r="E31" s="147">
        <f>+ADICIONES!J309</f>
        <v>8000</v>
      </c>
      <c r="F31" s="147">
        <f t="shared" si="7"/>
        <v>592.59259259259261</v>
      </c>
      <c r="G31" s="148">
        <f>+Tabla551857211411[[#This Row],[VENTA]]-Tabla551857211411[[#This Row],[ICO 8%]]</f>
        <v>7407.4074074074069</v>
      </c>
      <c r="H31" s="149">
        <f>+Tabla551857211411[[#This Row],[COSTO]]/Tabla551857211411[[#This Row],[BASE]]</f>
        <v>0.18899999999811004</v>
      </c>
      <c r="I31" s="150">
        <f>+Tabla551857211411[[#This Row],[BASE]]/Tabla551857211411[[#This Row],[COSTO]]</f>
        <v>5.2910052910581999</v>
      </c>
      <c r="J31" s="151">
        <f>+VLOOKUP(Tabla551857211411[[#This Row],[ADICIONES]],Tabla77[#All],3,0)</f>
        <v>112</v>
      </c>
      <c r="K31" s="152">
        <f t="shared" si="8"/>
        <v>4666.6666666200008</v>
      </c>
      <c r="L31" s="172">
        <f t="shared" si="9"/>
        <v>345.67901234222228</v>
      </c>
      <c r="M31" s="153">
        <f>+Tabla551857211411[[#This Row],[PRECIO SUGERIDO]]+Tabla551857211411[[#This Row],[ICO2]]</f>
        <v>5012.3456789622232</v>
      </c>
      <c r="N31" s="154"/>
      <c r="O31" s="147">
        <f t="shared" si="3"/>
        <v>0</v>
      </c>
      <c r="P31" s="171">
        <f>+Tabla551857211411[[#This Row],[PRECIO N]]-Tabla551857211411[[#This Row],[ICO 8%2]]</f>
        <v>0</v>
      </c>
      <c r="Q31" s="149" t="e">
        <f>+Tabla551857211411[[#This Row],[COSTO]]/Tabla551857211411[[#This Row],[CARTA]]</f>
        <v>#DIV/0!</v>
      </c>
      <c r="R31" s="173">
        <f>+Tabla551857211411[[#This Row],[PRECIO N]]/Tabla551857211411[[#This Row],[COSTO]]</f>
        <v>0</v>
      </c>
    </row>
    <row r="32" spans="1:18" x14ac:dyDescent="0.3">
      <c r="A32" s="126">
        <v>26</v>
      </c>
      <c r="B32" s="145" t="str">
        <f>+ADICIONES!A316</f>
        <v>PULPO</v>
      </c>
      <c r="C32" s="146"/>
      <c r="D32" s="171">
        <f>+ADICIONES!J319</f>
        <v>22002.946677883501</v>
      </c>
      <c r="E32" s="147">
        <f>+ADICIONES!J320</f>
        <v>17000</v>
      </c>
      <c r="F32" s="147">
        <f t="shared" si="7"/>
        <v>1259.2592592592591</v>
      </c>
      <c r="G32" s="148">
        <f>+Tabla551857211411[[#This Row],[VENTA]]-Tabla551857211411[[#This Row],[ICO 8%]]</f>
        <v>15740.740740740741</v>
      </c>
      <c r="H32" s="149">
        <f>+Tabla551857211411[[#This Row],[COSTO]]/Tabla551857211411[[#This Row],[BASE]]</f>
        <v>1.3978342595361284</v>
      </c>
      <c r="I32" s="150">
        <f>+Tabla551857211411[[#This Row],[BASE]]/Tabla551857211411[[#This Row],[COSTO]]</f>
        <v>0.71539239589953263</v>
      </c>
      <c r="J32" s="151">
        <f>+VLOOKUP(Tabla551857211411[[#This Row],[ADICIONES]],Tabla77[#All],3,0)</f>
        <v>1</v>
      </c>
      <c r="K32" s="152">
        <f t="shared" si="8"/>
        <v>73343.155592944997</v>
      </c>
      <c r="L32" s="172">
        <f t="shared" si="9"/>
        <v>5432.8263402181483</v>
      </c>
      <c r="M32" s="153">
        <f>+Tabla551857211411[[#This Row],[PRECIO SUGERIDO]]+Tabla551857211411[[#This Row],[ICO2]]</f>
        <v>78775.981933163144</v>
      </c>
      <c r="N32" s="154"/>
      <c r="O32" s="147">
        <f t="shared" si="3"/>
        <v>0</v>
      </c>
      <c r="P32" s="171">
        <f>+Tabla551857211411[[#This Row],[PRECIO N]]-Tabla551857211411[[#This Row],[ICO 8%2]]</f>
        <v>0</v>
      </c>
      <c r="Q32" s="149" t="e">
        <f>+Tabla551857211411[[#This Row],[COSTO]]/Tabla551857211411[[#This Row],[CARTA]]</f>
        <v>#DIV/0!</v>
      </c>
      <c r="R32" s="173">
        <f>+Tabla551857211411[[#This Row],[PRECIO N]]/Tabla551857211411[[#This Row],[COSTO]]</f>
        <v>0</v>
      </c>
    </row>
    <row r="33" spans="1:18" x14ac:dyDescent="0.3">
      <c r="A33" s="126">
        <v>27</v>
      </c>
      <c r="B33" s="145" t="str">
        <f>+ADICIONES!A328</f>
        <v>QUESO PARMESSANO</v>
      </c>
      <c r="C33" s="146"/>
      <c r="D33" s="171">
        <f>+ADICIONES!J331</f>
        <v>1280.7374999999997</v>
      </c>
      <c r="E33" s="147">
        <f>+ADICIONES!J332</f>
        <v>8000</v>
      </c>
      <c r="F33" s="147">
        <f t="shared" si="7"/>
        <v>592.59259259259261</v>
      </c>
      <c r="G33" s="148">
        <f>+Tabla551857211411[[#This Row],[VENTA]]-Tabla551857211411[[#This Row],[ICO 8%]]</f>
        <v>7407.4074074074069</v>
      </c>
      <c r="H33" s="149">
        <f>+Tabla551857211411[[#This Row],[COSTO]]/Tabla551857211411[[#This Row],[BASE]]</f>
        <v>0.17289956249999996</v>
      </c>
      <c r="I33" s="150">
        <f>+Tabla551857211411[[#This Row],[BASE]]/Tabla551857211411[[#This Row],[COSTO]]</f>
        <v>5.7837046290964453</v>
      </c>
      <c r="J33" s="151">
        <f>+VLOOKUP(Tabla551857211411[[#This Row],[ADICIONES]],Tabla77[#All],3,0)</f>
        <v>10</v>
      </c>
      <c r="K33" s="152">
        <f t="shared" si="8"/>
        <v>4269.1249999999991</v>
      </c>
      <c r="L33" s="172">
        <f t="shared" si="9"/>
        <v>316.23148148148141</v>
      </c>
      <c r="M33" s="153">
        <f>+Tabla551857211411[[#This Row],[PRECIO SUGERIDO]]+Tabla551857211411[[#This Row],[ICO2]]</f>
        <v>4585.3564814814808</v>
      </c>
      <c r="N33" s="154"/>
      <c r="O33" s="147">
        <f t="shared" si="3"/>
        <v>0</v>
      </c>
      <c r="P33" s="171">
        <f>+Tabla551857211411[[#This Row],[PRECIO N]]-Tabla551857211411[[#This Row],[ICO 8%2]]</f>
        <v>0</v>
      </c>
      <c r="Q33" s="149" t="e">
        <f>+Tabla551857211411[[#This Row],[COSTO]]/Tabla551857211411[[#This Row],[CARTA]]</f>
        <v>#DIV/0!</v>
      </c>
      <c r="R33" s="173">
        <f>+Tabla551857211411[[#This Row],[PRECIO N]]/Tabla551857211411[[#This Row],[COSTO]]</f>
        <v>0</v>
      </c>
    </row>
    <row r="34" spans="1:18" x14ac:dyDescent="0.3">
      <c r="A34" s="126">
        <v>28</v>
      </c>
      <c r="B34" s="145" t="str">
        <f>+ADICIONES!A341</f>
        <v>SALSA A LA HUANCAINA</v>
      </c>
      <c r="C34" s="146"/>
      <c r="D34" s="171">
        <f>+ADICIONES!J344</f>
        <v>385.97472616499999</v>
      </c>
      <c r="E34" s="147">
        <f>+ADICIONES!J345</f>
        <v>2900</v>
      </c>
      <c r="F34" s="147">
        <f t="shared" si="7"/>
        <v>214.81481481481481</v>
      </c>
      <c r="G34" s="148">
        <f>+Tabla551857211411[[#This Row],[VENTA]]-Tabla551857211411[[#This Row],[ICO 8%]]</f>
        <v>2685.1851851851852</v>
      </c>
      <c r="H34" s="149">
        <f>+Tabla551857211411[[#This Row],[COSTO]]/Tabla551857211411[[#This Row],[BASE]]</f>
        <v>0.1437423118131724</v>
      </c>
      <c r="I34" s="150">
        <f>+Tabla551857211411[[#This Row],[BASE]]/Tabla551857211411[[#This Row],[COSTO]]</f>
        <v>6.9568938149522719</v>
      </c>
      <c r="J34" s="151">
        <f>+VLOOKUP(Tabla551857211411[[#This Row],[ADICIONES]],Tabla77[#All],3,0)</f>
        <v>25</v>
      </c>
      <c r="K34" s="152">
        <f t="shared" si="8"/>
        <v>1286.5824205499998</v>
      </c>
      <c r="L34" s="172">
        <f t="shared" si="9"/>
        <v>95.302401522222212</v>
      </c>
      <c r="M34" s="153">
        <f>+Tabla551857211411[[#This Row],[PRECIO SUGERIDO]]+Tabla551857211411[[#This Row],[ICO2]]</f>
        <v>1381.8848220722221</v>
      </c>
      <c r="N34" s="154"/>
      <c r="O34" s="147">
        <f t="shared" si="3"/>
        <v>0</v>
      </c>
      <c r="P34" s="171">
        <f>+Tabla551857211411[[#This Row],[PRECIO N]]-Tabla551857211411[[#This Row],[ICO 8%2]]</f>
        <v>0</v>
      </c>
      <c r="Q34" s="149" t="e">
        <f>+Tabla551857211411[[#This Row],[COSTO]]/Tabla551857211411[[#This Row],[CARTA]]</f>
        <v>#DIV/0!</v>
      </c>
      <c r="R34" s="173">
        <f>+Tabla551857211411[[#This Row],[PRECIO N]]/Tabla551857211411[[#This Row],[COSTO]]</f>
        <v>0</v>
      </c>
    </row>
    <row r="35" spans="1:18" x14ac:dyDescent="0.3">
      <c r="A35" s="126">
        <v>29</v>
      </c>
      <c r="B35" s="145" t="str">
        <f>+ADICIONES!A354</f>
        <v>SALSA CRIOLLA</v>
      </c>
      <c r="C35" s="146"/>
      <c r="D35" s="171" t="e">
        <f>+ADICIONES!J357</f>
        <v>#N/A</v>
      </c>
      <c r="E35" s="147">
        <f>+ADICIONES!J358</f>
        <v>2900</v>
      </c>
      <c r="F35" s="147">
        <f t="shared" si="7"/>
        <v>214.81481481481481</v>
      </c>
      <c r="G35" s="148">
        <f>+Tabla551857211411[[#This Row],[VENTA]]-Tabla551857211411[[#This Row],[ICO 8%]]</f>
        <v>2685.1851851851852</v>
      </c>
      <c r="H35" s="149" t="e">
        <f>+Tabla551857211411[[#This Row],[COSTO]]/Tabla551857211411[[#This Row],[BASE]]</f>
        <v>#N/A</v>
      </c>
      <c r="I35" s="150" t="e">
        <f>+Tabla551857211411[[#This Row],[BASE]]/Tabla551857211411[[#This Row],[COSTO]]</f>
        <v>#N/A</v>
      </c>
      <c r="J35" s="151">
        <f>+VLOOKUP(Tabla551857211411[[#This Row],[ADICIONES]],Tabla77[#All],3,0)</f>
        <v>13</v>
      </c>
      <c r="K35" s="152" t="e">
        <f t="shared" si="8"/>
        <v>#N/A</v>
      </c>
      <c r="L35" s="172" t="e">
        <f t="shared" si="9"/>
        <v>#N/A</v>
      </c>
      <c r="M35" s="153" t="e">
        <f>+Tabla551857211411[[#This Row],[PRECIO SUGERIDO]]+Tabla551857211411[[#This Row],[ICO2]]</f>
        <v>#N/A</v>
      </c>
      <c r="N35" s="154"/>
      <c r="O35" s="147">
        <f t="shared" si="3"/>
        <v>0</v>
      </c>
      <c r="P35" s="171">
        <f>+Tabla551857211411[[#This Row],[PRECIO N]]-Tabla551857211411[[#This Row],[ICO 8%2]]</f>
        <v>0</v>
      </c>
      <c r="Q35" s="149" t="e">
        <f>+Tabla551857211411[[#This Row],[COSTO]]/Tabla551857211411[[#This Row],[CARTA]]</f>
        <v>#N/A</v>
      </c>
      <c r="R35" s="173" t="e">
        <f>+Tabla551857211411[[#This Row],[PRECIO N]]/Tabla551857211411[[#This Row],[COSTO]]</f>
        <v>#N/A</v>
      </c>
    </row>
    <row r="36" spans="1:18" x14ac:dyDescent="0.3">
      <c r="A36" s="126">
        <v>30</v>
      </c>
      <c r="B36" s="145" t="str">
        <f>+ADICIONES!A367</f>
        <v>SALSA DE TOMATE</v>
      </c>
      <c r="C36" s="146"/>
      <c r="D36" s="171">
        <f>+ADICIONES!J370</f>
        <v>593.09068959000001</v>
      </c>
      <c r="E36" s="147">
        <f>+ADICIONES!J371</f>
        <v>3900</v>
      </c>
      <c r="F36" s="147">
        <f t="shared" si="7"/>
        <v>288.88888888888886</v>
      </c>
      <c r="G36" s="148">
        <f>+Tabla551857211411[[#This Row],[VENTA]]-Tabla551857211411[[#This Row],[ICO 8%]]</f>
        <v>3611.1111111111113</v>
      </c>
      <c r="H36" s="149">
        <f>+Tabla551857211411[[#This Row],[COSTO]]/Tabla551857211411[[#This Row],[BASE]]</f>
        <v>0.16424049865569229</v>
      </c>
      <c r="I36" s="150">
        <f>+Tabla551857211411[[#This Row],[BASE]]/Tabla551857211411[[#This Row],[COSTO]]</f>
        <v>6.0886322690505397</v>
      </c>
      <c r="J36" s="151" t="e">
        <f>+VLOOKUP(Tabla551857211411[[#This Row],[ADICIONES]],Tabla77[#All],3,0)</f>
        <v>#N/A</v>
      </c>
      <c r="K36" s="152">
        <f t="shared" si="8"/>
        <v>1976.9689653</v>
      </c>
      <c r="L36" s="172">
        <f t="shared" si="9"/>
        <v>146.44214557777778</v>
      </c>
      <c r="M36" s="153">
        <f>+Tabla551857211411[[#This Row],[PRECIO SUGERIDO]]+Tabla551857211411[[#This Row],[ICO2]]</f>
        <v>2123.4111108777779</v>
      </c>
      <c r="N36" s="154"/>
      <c r="O36" s="147">
        <f t="shared" si="3"/>
        <v>0</v>
      </c>
      <c r="P36" s="171">
        <f>+Tabla551857211411[[#This Row],[PRECIO N]]-Tabla551857211411[[#This Row],[ICO 8%2]]</f>
        <v>0</v>
      </c>
      <c r="Q36" s="149" t="e">
        <f>+Tabla551857211411[[#This Row],[COSTO]]/Tabla551857211411[[#This Row],[CARTA]]</f>
        <v>#DIV/0!</v>
      </c>
      <c r="R36" s="173">
        <f>+Tabla551857211411[[#This Row],[PRECIO N]]/Tabla551857211411[[#This Row],[COSTO]]</f>
        <v>0</v>
      </c>
    </row>
    <row r="37" spans="1:18" x14ac:dyDescent="0.3">
      <c r="A37" s="126">
        <v>31</v>
      </c>
      <c r="B37" s="145" t="str">
        <f>+ADICIONES!A380</f>
        <v>SALSA EMPANADAS</v>
      </c>
      <c r="C37" s="146"/>
      <c r="D37" s="171">
        <f>+ADICIONES!J383</f>
        <v>724.48306098</v>
      </c>
      <c r="E37" s="147">
        <f>+ADICIONES!J384</f>
        <v>3900</v>
      </c>
      <c r="F37" s="147">
        <f t="shared" si="7"/>
        <v>288.88888888888886</v>
      </c>
      <c r="G37" s="148">
        <f>+Tabla551857211411[[#This Row],[VENTA]]-Tabla551857211411[[#This Row],[ICO 8%]]</f>
        <v>3611.1111111111113</v>
      </c>
      <c r="H37" s="149">
        <f>+Tabla551857211411[[#This Row],[COSTO]]/Tabla551857211411[[#This Row],[BASE]]</f>
        <v>0.20062607842523075</v>
      </c>
      <c r="I37" s="150">
        <f>+Tabla551857211411[[#This Row],[BASE]]/Tabla551857211411[[#This Row],[COSTO]]</f>
        <v>4.9843968832430701</v>
      </c>
      <c r="J37" s="151">
        <f>+VLOOKUP(Tabla551857211411[[#This Row],[ADICIONES]],Tabla77[#All],3,0)</f>
        <v>1</v>
      </c>
      <c r="K37" s="152">
        <f t="shared" si="8"/>
        <v>2414.9435365999998</v>
      </c>
      <c r="L37" s="172">
        <f t="shared" si="9"/>
        <v>178.88470641481479</v>
      </c>
      <c r="M37" s="153">
        <f>+Tabla551857211411[[#This Row],[PRECIO SUGERIDO]]+Tabla551857211411[[#This Row],[ICO2]]</f>
        <v>2593.8282430148147</v>
      </c>
      <c r="N37" s="154"/>
      <c r="O37" s="147">
        <f t="shared" si="3"/>
        <v>0</v>
      </c>
      <c r="P37" s="171">
        <f>+Tabla551857211411[[#This Row],[PRECIO N]]-Tabla551857211411[[#This Row],[ICO 8%2]]</f>
        <v>0</v>
      </c>
      <c r="Q37" s="149" t="e">
        <f>+Tabla551857211411[[#This Row],[COSTO]]/Tabla551857211411[[#This Row],[CARTA]]</f>
        <v>#DIV/0!</v>
      </c>
      <c r="R37" s="173">
        <f>+Tabla551857211411[[#This Row],[PRECIO N]]/Tabla551857211411[[#This Row],[COSTO]]</f>
        <v>0</v>
      </c>
    </row>
    <row r="38" spans="1:18" x14ac:dyDescent="0.3">
      <c r="A38" s="126">
        <v>32</v>
      </c>
      <c r="B38" s="145" t="str">
        <f>+ADICIONES!A393</f>
        <v>SALSA HUACAINA</v>
      </c>
      <c r="C38" s="146"/>
      <c r="D38" s="171">
        <f>+ADICIONES!J396</f>
        <v>385.97472616499999</v>
      </c>
      <c r="E38" s="147">
        <f>+ADICIONES!J397</f>
        <v>3900</v>
      </c>
      <c r="F38" s="147">
        <f t="shared" ref="F38:F39" si="10">+E38/1.08*0.08</f>
        <v>288.88888888888886</v>
      </c>
      <c r="G38" s="148">
        <f>+Tabla551857211411[[#This Row],[VENTA]]-Tabla551857211411[[#This Row],[ICO 8%]]</f>
        <v>3611.1111111111113</v>
      </c>
      <c r="H38" s="149">
        <f>+Tabla551857211411[[#This Row],[COSTO]]/Tabla551857211411[[#This Row],[BASE]]</f>
        <v>0.10688530878415384</v>
      </c>
      <c r="I38" s="150">
        <f>+Tabla551857211411[[#This Row],[BASE]]/Tabla551857211411[[#This Row],[COSTO]]</f>
        <v>9.3558227166599526</v>
      </c>
      <c r="J38" s="151">
        <f>+VLOOKUP(Tabla551857211411[[#This Row],[ADICIONES]],Tabla77[#All],3,0)</f>
        <v>7</v>
      </c>
      <c r="K38" s="152">
        <f t="shared" ref="K38:K39" si="11">+D38/(100-70)*100</f>
        <v>1286.5824205499998</v>
      </c>
      <c r="L38" s="172">
        <f t="shared" ref="L38:L39" si="12">+K38/1.08*0.08</f>
        <v>95.302401522222212</v>
      </c>
      <c r="M38" s="153">
        <f>+Tabla551857211411[[#This Row],[PRECIO SUGERIDO]]+Tabla551857211411[[#This Row],[ICO2]]</f>
        <v>1381.8848220722221</v>
      </c>
      <c r="N38" s="154"/>
      <c r="O38" s="147">
        <f t="shared" si="3"/>
        <v>0</v>
      </c>
      <c r="P38" s="171">
        <f>+Tabla551857211411[[#This Row],[PRECIO N]]-Tabla551857211411[[#This Row],[ICO 8%2]]</f>
        <v>0</v>
      </c>
      <c r="Q38" s="149" t="e">
        <f>+Tabla551857211411[[#This Row],[COSTO]]/Tabla551857211411[[#This Row],[CARTA]]</f>
        <v>#DIV/0!</v>
      </c>
      <c r="R38" s="173">
        <f>+Tabla551857211411[[#This Row],[PRECIO N]]/Tabla551857211411[[#This Row],[COSTO]]</f>
        <v>0</v>
      </c>
    </row>
    <row r="39" spans="1:18" x14ac:dyDescent="0.3">
      <c r="A39" s="126">
        <v>33</v>
      </c>
      <c r="B39" s="145" t="str">
        <f>+ADICIONES!A405</f>
        <v>SALSA MELCOCHA</v>
      </c>
      <c r="C39" s="146"/>
      <c r="D39" s="171">
        <f>+ADICIONES!J408</f>
        <v>2990.1656276099998</v>
      </c>
      <c r="E39" s="147">
        <f>+ADICIONES!J409</f>
        <v>3900</v>
      </c>
      <c r="F39" s="147">
        <f t="shared" si="10"/>
        <v>288.88888888888886</v>
      </c>
      <c r="G39" s="148">
        <f>+Tabla551857211411[[#This Row],[VENTA]]-Tabla551857211411[[#This Row],[ICO 8%]]</f>
        <v>3611.1111111111113</v>
      </c>
      <c r="H39" s="149">
        <f>+Tabla551857211411[[#This Row],[COSTO]]/Tabla551857211411[[#This Row],[BASE]]</f>
        <v>0.82804586610738451</v>
      </c>
      <c r="I39" s="150">
        <f>+Tabla551857211411[[#This Row],[BASE]]/Tabla551857211411[[#This Row],[COSTO]]</f>
        <v>1.2076625715203024</v>
      </c>
      <c r="J39" s="151">
        <f>+VLOOKUP(Tabla551857211411[[#This Row],[ADICIONES]],Tabla77[#All],3,0)</f>
        <v>3</v>
      </c>
      <c r="K39" s="152">
        <f t="shared" si="11"/>
        <v>9967.2187586999989</v>
      </c>
      <c r="L39" s="172">
        <f t="shared" si="12"/>
        <v>738.31250064444441</v>
      </c>
      <c r="M39" s="153">
        <f>+Tabla551857211411[[#This Row],[PRECIO SUGERIDO]]+Tabla551857211411[[#This Row],[ICO2]]</f>
        <v>10705.531259344443</v>
      </c>
      <c r="N39" s="154"/>
      <c r="O39" s="147">
        <f t="shared" si="3"/>
        <v>0</v>
      </c>
      <c r="P39" s="171">
        <f>+Tabla551857211411[[#This Row],[PRECIO N]]-Tabla551857211411[[#This Row],[ICO 8%2]]</f>
        <v>0</v>
      </c>
      <c r="Q39" s="149" t="e">
        <f>+Tabla551857211411[[#This Row],[COSTO]]/Tabla551857211411[[#This Row],[CARTA]]</f>
        <v>#DIV/0!</v>
      </c>
      <c r="R39" s="173">
        <f>+Tabla551857211411[[#This Row],[PRECIO N]]/Tabla551857211411[[#This Row],[COSTO]]</f>
        <v>0</v>
      </c>
    </row>
    <row r="40" spans="1:18" x14ac:dyDescent="0.3">
      <c r="A40" s="126">
        <v>34</v>
      </c>
      <c r="B40" s="145" t="str">
        <f>+ADICIONES!A419</f>
        <v>SALSA TERIYAKI</v>
      </c>
      <c r="C40" s="146"/>
      <c r="D40" s="171">
        <f>+ADICIONES!J422</f>
        <v>326.56999945500002</v>
      </c>
      <c r="E40" s="147">
        <f>+ADICIONES!J423</f>
        <v>4900</v>
      </c>
      <c r="F40" s="147">
        <f t="shared" ref="F40:F41" si="13">+E40/1.08*0.08</f>
        <v>362.96296296296293</v>
      </c>
      <c r="G40" s="148">
        <f>+Tabla551857211411[[#This Row],[VENTA]]-Tabla551857211411[[#This Row],[ICO 8%]]</f>
        <v>4537.0370370370374</v>
      </c>
      <c r="H40" s="149">
        <f>+Tabla551857211411[[#This Row],[COSTO]]/Tabla551857211411[[#This Row],[BASE]]</f>
        <v>7.1978693757428575E-2</v>
      </c>
      <c r="I40" s="150">
        <f>+Tabla551857211411[[#This Row],[BASE]]/Tabla551857211411[[#This Row],[COSTO]]</f>
        <v>13.893000105976428</v>
      </c>
      <c r="J40" s="151">
        <f>+VLOOKUP(Tabla551857211411[[#This Row],[ADICIONES]],Tabla77[#All],3,0)</f>
        <v>4</v>
      </c>
      <c r="K40" s="152">
        <f t="shared" ref="K40:K41" si="14">+D40/(100-70)*100</f>
        <v>1088.5666648500001</v>
      </c>
      <c r="L40" s="172">
        <f t="shared" ref="L40:L41" si="15">+K40/1.08*0.08</f>
        <v>80.634567766666677</v>
      </c>
      <c r="M40" s="153">
        <f>+Tabla551857211411[[#This Row],[PRECIO SUGERIDO]]+Tabla551857211411[[#This Row],[ICO2]]</f>
        <v>1169.2012326166666</v>
      </c>
      <c r="N40" s="154"/>
      <c r="O40" s="147">
        <f t="shared" si="3"/>
        <v>0</v>
      </c>
      <c r="P40" s="171">
        <f>+Tabla551857211411[[#This Row],[PRECIO N]]-Tabla551857211411[[#This Row],[ICO 8%2]]</f>
        <v>0</v>
      </c>
      <c r="Q40" s="149" t="e">
        <f>+Tabla551857211411[[#This Row],[COSTO]]/Tabla551857211411[[#This Row],[CARTA]]</f>
        <v>#DIV/0!</v>
      </c>
      <c r="R40" s="173">
        <f>+Tabla551857211411[[#This Row],[PRECIO N]]/Tabla551857211411[[#This Row],[COSTO]]</f>
        <v>0</v>
      </c>
    </row>
    <row r="41" spans="1:18" x14ac:dyDescent="0.3">
      <c r="A41" s="126">
        <v>35</v>
      </c>
      <c r="B41" s="145" t="str">
        <f>+ADICIONES!A431</f>
        <v>SALSA WONTON</v>
      </c>
      <c r="C41" s="146"/>
      <c r="D41" s="171">
        <f>+ADICIONES!J434</f>
        <v>488.62370549999986</v>
      </c>
      <c r="E41" s="147">
        <f>+ADICIONES!J435</f>
        <v>2900</v>
      </c>
      <c r="F41" s="147">
        <f t="shared" si="13"/>
        <v>214.81481481481481</v>
      </c>
      <c r="G41" s="148">
        <f>+Tabla551857211411[[#This Row],[VENTA]]-Tabla551857211411[[#This Row],[ICO 8%]]</f>
        <v>2685.1851851851852</v>
      </c>
      <c r="H41" s="149">
        <f>+Tabla551857211411[[#This Row],[COSTO]]/Tabla551857211411[[#This Row],[BASE]]</f>
        <v>0.18197020756551718</v>
      </c>
      <c r="I41" s="150">
        <f>+Tabla551857211411[[#This Row],[BASE]]/Tabla551857211411[[#This Row],[COSTO]]</f>
        <v>5.4954050631609928</v>
      </c>
      <c r="J41" s="151" t="e">
        <f>+VLOOKUP(Tabla551857211411[[#This Row],[ADICIONES]],Tabla77[#All],3,0)</f>
        <v>#N/A</v>
      </c>
      <c r="K41" s="152">
        <f t="shared" si="14"/>
        <v>1628.7456849999994</v>
      </c>
      <c r="L41" s="172">
        <f t="shared" si="15"/>
        <v>120.64782851851848</v>
      </c>
      <c r="M41" s="153">
        <f>+Tabla551857211411[[#This Row],[PRECIO SUGERIDO]]+Tabla551857211411[[#This Row],[ICO2]]</f>
        <v>1749.3935135185179</v>
      </c>
      <c r="N41" s="154"/>
      <c r="O41" s="147">
        <f t="shared" si="3"/>
        <v>0</v>
      </c>
      <c r="P41" s="171">
        <f>+Tabla551857211411[[#This Row],[PRECIO N]]-Tabla551857211411[[#This Row],[ICO 8%2]]</f>
        <v>0</v>
      </c>
      <c r="Q41" s="149" t="e">
        <f>+Tabla551857211411[[#This Row],[COSTO]]/Tabla551857211411[[#This Row],[CARTA]]</f>
        <v>#DIV/0!</v>
      </c>
      <c r="R41" s="173">
        <f>+Tabla551857211411[[#This Row],[PRECIO N]]/Tabla551857211411[[#This Row],[COSTO]]</f>
        <v>0</v>
      </c>
    </row>
    <row r="42" spans="1:18" x14ac:dyDescent="0.3">
      <c r="A42" s="126">
        <v>36</v>
      </c>
      <c r="B42" s="145" t="str">
        <f>+ADICIONES!A445</f>
        <v>SHOT LECHE DE TIGRE</v>
      </c>
      <c r="C42" s="146"/>
      <c r="D42" s="171">
        <f>+ADICIONES!J448</f>
        <v>320.65410447000005</v>
      </c>
      <c r="E42" s="147">
        <f>+ADICIONES!J449</f>
        <v>5000</v>
      </c>
      <c r="F42" s="147">
        <f>+E42/1.08*0.08</f>
        <v>370.37037037037038</v>
      </c>
      <c r="G42" s="148">
        <f>+Tabla551857211411[[#This Row],[VENTA]]-Tabla551857211411[[#This Row],[ICO 8%]]</f>
        <v>4629.6296296296296</v>
      </c>
      <c r="H42" s="149">
        <f>+Tabla551857211411[[#This Row],[COSTO]]/Tabla551857211411[[#This Row],[BASE]]</f>
        <v>6.9261286565520011E-2</v>
      </c>
      <c r="I42" s="150">
        <f>+Tabla551857211411[[#This Row],[BASE]]/Tabla551857211411[[#This Row],[COSTO]]</f>
        <v>14.438080052902523</v>
      </c>
      <c r="J42" s="151">
        <f>+VLOOKUP(Tabla551857211411[[#This Row],[ADICIONES]],Tabla77[#All],3,0)</f>
        <v>7</v>
      </c>
      <c r="K42" s="152">
        <f>+D42/(100-70)*100</f>
        <v>1068.8470149000002</v>
      </c>
      <c r="L42" s="172">
        <f>+K42/1.08*0.08</f>
        <v>79.173852955555574</v>
      </c>
      <c r="M42" s="153">
        <f>+Tabla551857211411[[#This Row],[PRECIO SUGERIDO]]+Tabla551857211411[[#This Row],[ICO2]]</f>
        <v>1148.0208678555557</v>
      </c>
      <c r="N42" s="154"/>
      <c r="O42" s="147">
        <f t="shared" si="3"/>
        <v>0</v>
      </c>
      <c r="P42" s="171">
        <f>+Tabla551857211411[[#This Row],[PRECIO N]]-Tabla551857211411[[#This Row],[ICO 8%2]]</f>
        <v>0</v>
      </c>
      <c r="Q42" s="149" t="e">
        <f>+Tabla551857211411[[#This Row],[COSTO]]/Tabla551857211411[[#This Row],[CARTA]]</f>
        <v>#DIV/0!</v>
      </c>
      <c r="R42" s="173">
        <f>+Tabla551857211411[[#This Row],[PRECIO N]]/Tabla551857211411[[#This Row],[COSTO]]</f>
        <v>0</v>
      </c>
    </row>
    <row r="43" spans="1:18" x14ac:dyDescent="0.3">
      <c r="A43" s="126">
        <v>37</v>
      </c>
      <c r="B43" s="145" t="str">
        <f>+ADICIONES!A457</f>
        <v>SOLOMITO ROCOTO</v>
      </c>
      <c r="C43" s="146"/>
      <c r="D43" s="171">
        <f>+ADICIONES!J460</f>
        <v>12894</v>
      </c>
      <c r="E43" s="147">
        <f>+ADICIONES!J461</f>
        <v>11500</v>
      </c>
      <c r="F43" s="147">
        <f>+E43/1.08*0.08</f>
        <v>851.85185185185185</v>
      </c>
      <c r="G43" s="148">
        <f>+Tabla551857211411[[#This Row],[VENTA]]-Tabla551857211411[[#This Row],[ICO 8%]]</f>
        <v>10648.148148148148</v>
      </c>
      <c r="H43" s="149">
        <f>+Tabla551857211411[[#This Row],[COSTO]]/Tabla551857211411[[#This Row],[BASE]]</f>
        <v>1.2109147826086957</v>
      </c>
      <c r="I43" s="150">
        <f>+Tabla551857211411[[#This Row],[BASE]]/Tabla551857211411[[#This Row],[COSTO]]</f>
        <v>0.82582194417156407</v>
      </c>
      <c r="J43" s="151">
        <f>+VLOOKUP(Tabla551857211411[[#This Row],[ADICIONES]],Tabla77[#All],3,0)</f>
        <v>5</v>
      </c>
      <c r="K43" s="152">
        <f>+D43/(100-70)*100</f>
        <v>42980</v>
      </c>
      <c r="L43" s="172">
        <f>+K43/1.08*0.08</f>
        <v>3183.7037037037035</v>
      </c>
      <c r="M43" s="153">
        <f>+Tabla551857211411[[#This Row],[PRECIO SUGERIDO]]+Tabla551857211411[[#This Row],[ICO2]]</f>
        <v>46163.703703703701</v>
      </c>
      <c r="N43" s="154"/>
      <c r="O43" s="147">
        <f t="shared" si="3"/>
        <v>0</v>
      </c>
      <c r="P43" s="171">
        <f>+Tabla551857211411[[#This Row],[PRECIO N]]-Tabla551857211411[[#This Row],[ICO 8%2]]</f>
        <v>0</v>
      </c>
      <c r="Q43" s="149" t="e">
        <f>+Tabla551857211411[[#This Row],[COSTO]]/Tabla551857211411[[#This Row],[CARTA]]</f>
        <v>#DIV/0!</v>
      </c>
      <c r="R43" s="173">
        <f>+Tabla551857211411[[#This Row],[PRECIO N]]/Tabla551857211411[[#This Row],[COSTO]]</f>
        <v>0</v>
      </c>
    </row>
    <row r="44" spans="1:18" x14ac:dyDescent="0.3">
      <c r="A44" s="126">
        <v>38</v>
      </c>
      <c r="B44" s="145" t="str">
        <f>+ADICIONES!A468</f>
        <v>TUBOS DE CALAMAR</v>
      </c>
      <c r="C44" s="146"/>
      <c r="D44" s="171">
        <f>+ADICIONES!J471</f>
        <v>4202.1401273249994</v>
      </c>
      <c r="E44" s="147">
        <f>+ADICIONES!J472</f>
        <v>15000</v>
      </c>
      <c r="F44" s="147">
        <f>+E44/1.08*0.08</f>
        <v>1111.1111111111111</v>
      </c>
      <c r="G44" s="148">
        <f>+Tabla551857211411[[#This Row],[VENTA]]-Tabla551857211411[[#This Row],[ICO 8%]]</f>
        <v>13888.888888888889</v>
      </c>
      <c r="H44" s="149">
        <f>+Tabla551857211411[[#This Row],[COSTO]]/Tabla551857211411[[#This Row],[BASE]]</f>
        <v>0.30255408916739995</v>
      </c>
      <c r="I44" s="150">
        <f>+Tabla551857211411[[#This Row],[BASE]]/Tabla551857211411[[#This Row],[COSTO]]</f>
        <v>3.3051941315746376</v>
      </c>
      <c r="J44" s="151">
        <f>+VLOOKUP(Tabla551857211411[[#This Row],[ADICIONES]],Tabla77[#All],3,0)</f>
        <v>3</v>
      </c>
      <c r="K44" s="152">
        <f>+D44/(100-70)*100</f>
        <v>14007.133757749998</v>
      </c>
      <c r="L44" s="172">
        <f>+K44/1.08*0.08</f>
        <v>1037.565463537037</v>
      </c>
      <c r="M44" s="153">
        <f>+Tabla551857211411[[#This Row],[PRECIO SUGERIDO]]+Tabla551857211411[[#This Row],[ICO2]]</f>
        <v>15044.699221287035</v>
      </c>
      <c r="N44" s="154"/>
      <c r="O44" s="147">
        <f t="shared" si="3"/>
        <v>0</v>
      </c>
      <c r="P44" s="171">
        <f>+Tabla551857211411[[#This Row],[PRECIO N]]-Tabla551857211411[[#This Row],[ICO 8%2]]</f>
        <v>0</v>
      </c>
      <c r="Q44" s="149" t="e">
        <f>+Tabla551857211411[[#This Row],[COSTO]]/Tabla551857211411[[#This Row],[CARTA]]</f>
        <v>#DIV/0!</v>
      </c>
      <c r="R44" s="173">
        <f>+Tabla551857211411[[#This Row],[PRECIO N]]/Tabla551857211411[[#This Row],[COSTO]]</f>
        <v>0</v>
      </c>
    </row>
    <row r="45" spans="1:18" x14ac:dyDescent="0.3">
      <c r="A45" s="126">
        <v>39</v>
      </c>
      <c r="B45" s="145" t="str">
        <f>+ADICIONES!A479</f>
        <v>VEGETALES SALTADOS (R)</v>
      </c>
      <c r="C45" s="146"/>
      <c r="D45" s="171">
        <f>+ADICIONES!J482</f>
        <v>2414.9999940569996</v>
      </c>
      <c r="E45" s="147">
        <f>+ADICIONES!J483</f>
        <v>8900</v>
      </c>
      <c r="F45" s="147">
        <f>+E45/1.08*0.08</f>
        <v>659.25925925925924</v>
      </c>
      <c r="G45" s="148">
        <f>+Tabla551857211411[[#This Row],[VENTA]]-Tabla551857211411[[#This Row],[ICO 8%]]</f>
        <v>8240.7407407407409</v>
      </c>
      <c r="H45" s="149">
        <f>+Tabla551857211411[[#This Row],[COSTO]]/Tabla551857211411[[#This Row],[BASE]]</f>
        <v>0.2930561790541078</v>
      </c>
      <c r="I45" s="150">
        <f>+Tabla551857211411[[#This Row],[BASE]]/Tabla551857211411[[#This Row],[COSTO]]</f>
        <v>3.4123150149151678</v>
      </c>
      <c r="J45" s="151">
        <f>+VLOOKUP(Tabla551857211411[[#This Row],[ADICIONES]],Tabla77[#All],3,0)</f>
        <v>145</v>
      </c>
      <c r="K45" s="152">
        <f>+D45/(100-70)*100</f>
        <v>8049.9999801899985</v>
      </c>
      <c r="L45" s="172">
        <f>+K45/1.08*0.08</f>
        <v>596.29629482888868</v>
      </c>
      <c r="M45" s="153">
        <f>+Tabla551857211411[[#This Row],[PRECIO SUGERIDO]]+Tabla551857211411[[#This Row],[ICO2]]</f>
        <v>8646.2962750188872</v>
      </c>
      <c r="N45" s="154"/>
      <c r="O45" s="147">
        <f t="shared" si="3"/>
        <v>0</v>
      </c>
      <c r="P45" s="171">
        <f>+Tabla551857211411[[#This Row],[PRECIO N]]-Tabla551857211411[[#This Row],[ICO 8%2]]</f>
        <v>0</v>
      </c>
      <c r="Q45" s="149" t="e">
        <f>+Tabla551857211411[[#This Row],[COSTO]]/Tabla551857211411[[#This Row],[CARTA]]</f>
        <v>#DIV/0!</v>
      </c>
      <c r="R45" s="173">
        <f>+Tabla551857211411[[#This Row],[PRECIO N]]/Tabla551857211411[[#This Row],[COSTO]]</f>
        <v>0</v>
      </c>
    </row>
    <row r="46" spans="1:18" x14ac:dyDescent="0.3">
      <c r="A46" s="126"/>
      <c r="B46" s="155" t="str">
        <f>+ADICIONES!A491</f>
        <v>ARROZ AL AJI AMARILLO</v>
      </c>
      <c r="C46" s="156"/>
      <c r="D46" s="201">
        <f>+ADICIONES!J494</f>
        <v>3055.7161912200004</v>
      </c>
      <c r="E46" s="202">
        <f>+ADICIONES!J495</f>
        <v>8900</v>
      </c>
      <c r="F46" s="202">
        <f>+E46/1.08*0.08</f>
        <v>659.25925925925924</v>
      </c>
      <c r="G46" s="203">
        <f>+Tabla551857211411[[#This Row],[VENTA]]-Tabla551857211411[[#This Row],[ICO 8%]]</f>
        <v>8240.7407407407409</v>
      </c>
      <c r="H46" s="204">
        <f>+Tabla551857211411[[#This Row],[COSTO]]/Tabla551857211411[[#This Row],[BASE]]</f>
        <v>0.37080600972107869</v>
      </c>
      <c r="I46" s="205">
        <f>+Tabla551857211411[[#This Row],[BASE]]/Tabla551857211411[[#This Row],[COSTO]]</f>
        <v>2.6968279202168346</v>
      </c>
      <c r="J46" s="157" t="e">
        <f>+VLOOKUP(Tabla551857211411[[#This Row],[ADICIONES]],Tabla77[#All],3,0)</f>
        <v>#N/A</v>
      </c>
      <c r="K46" s="206">
        <f>+D46/(100-70)*100</f>
        <v>10185.720637400002</v>
      </c>
      <c r="L46" s="207">
        <f>+K46/1.08*0.08</f>
        <v>754.49782499259265</v>
      </c>
      <c r="M46" s="208">
        <f>+Tabla551857211411[[#This Row],[PRECIO SUGERIDO]]+Tabla551857211411[[#This Row],[ICO2]]</f>
        <v>10940.218462392595</v>
      </c>
      <c r="N46" s="209"/>
      <c r="O46" s="202">
        <f>+N46/1.08*0.08</f>
        <v>0</v>
      </c>
      <c r="P46" s="201">
        <f>+Tabla551857211411[[#This Row],[PRECIO N]]-Tabla551857211411[[#This Row],[ICO 8%2]]</f>
        <v>0</v>
      </c>
      <c r="Q46" s="204" t="e">
        <f>+Tabla551857211411[[#This Row],[COSTO]]/Tabla551857211411[[#This Row],[CARTA]]</f>
        <v>#DIV/0!</v>
      </c>
      <c r="R46" s="175">
        <f>+Tabla551857211411[[#This Row],[PRECIO N]]/Tabla551857211411[[#This Row],[COSTO]]</f>
        <v>0</v>
      </c>
    </row>
    <row r="47" spans="1:18" x14ac:dyDescent="0.3">
      <c r="B47" s="155" t="s">
        <v>30</v>
      </c>
      <c r="C47" s="156"/>
      <c r="D47" s="174"/>
      <c r="E47" s="157"/>
      <c r="F47" s="157"/>
      <c r="G47" s="157"/>
      <c r="H47" s="158" t="e">
        <f>SUBTOTAL(101,Tabla551857211411[%])</f>
        <v>#DIV/0!</v>
      </c>
      <c r="I47" s="157"/>
      <c r="J47" s="157"/>
      <c r="K47" s="159"/>
      <c r="L47" s="174"/>
      <c r="M47" s="157"/>
      <c r="N47" s="160"/>
      <c r="O47" s="157"/>
      <c r="P47" s="174"/>
      <c r="Q47" s="157"/>
      <c r="R47" s="175" t="e">
        <f>SUBTOTAL(109,Tabla551857211411[RATION])</f>
        <v>#DIV/0!</v>
      </c>
    </row>
    <row r="49" spans="1:18" ht="14.4" customHeight="1" x14ac:dyDescent="0.3">
      <c r="B49" s="116"/>
      <c r="C49" s="59"/>
      <c r="D49" s="137"/>
      <c r="E49" s="117" t="s">
        <v>21</v>
      </c>
      <c r="F49" s="116"/>
      <c r="G49" s="118"/>
      <c r="H49" s="116"/>
      <c r="I49" s="116"/>
      <c r="J49" s="93"/>
      <c r="K49" s="278" t="s">
        <v>25</v>
      </c>
      <c r="L49" s="278"/>
      <c r="M49" s="278"/>
      <c r="N49" s="59"/>
      <c r="O49" s="59"/>
      <c r="P49" s="118"/>
    </row>
    <row r="50" spans="1:18" x14ac:dyDescent="0.3">
      <c r="B50" s="176" t="s">
        <v>112</v>
      </c>
      <c r="C50" s="140" t="s">
        <v>111</v>
      </c>
      <c r="D50" s="169" t="s">
        <v>7</v>
      </c>
      <c r="E50" s="141" t="s">
        <v>16</v>
      </c>
      <c r="F50" s="142" t="s">
        <v>29</v>
      </c>
      <c r="G50" s="140" t="s">
        <v>22</v>
      </c>
      <c r="H50" s="143" t="s">
        <v>17</v>
      </c>
      <c r="I50" s="140" t="s">
        <v>18</v>
      </c>
      <c r="J50" s="140" t="s">
        <v>19</v>
      </c>
      <c r="K50" s="140" t="s">
        <v>23</v>
      </c>
      <c r="L50" s="169" t="s">
        <v>28</v>
      </c>
      <c r="M50" s="140" t="s">
        <v>24</v>
      </c>
      <c r="N50" s="161" t="s">
        <v>26</v>
      </c>
      <c r="O50" s="169" t="s">
        <v>351</v>
      </c>
      <c r="P50" s="169" t="s">
        <v>21</v>
      </c>
      <c r="Q50" s="143" t="s">
        <v>27</v>
      </c>
      <c r="R50" s="170" t="s">
        <v>20</v>
      </c>
    </row>
    <row r="51" spans="1:18" x14ac:dyDescent="0.3">
      <c r="A51" s="126">
        <v>1</v>
      </c>
      <c r="B51" s="145" t="str">
        <f>+ENTRADAS!B6</f>
        <v>TIRADITO TRES SABORES</v>
      </c>
      <c r="C51" s="210" t="s">
        <v>967</v>
      </c>
      <c r="D51" s="171">
        <f>+ENTRADAS!K9</f>
        <v>12979.94386703994</v>
      </c>
      <c r="E51" s="147">
        <f>+ENTRADAS!K10</f>
        <v>57000</v>
      </c>
      <c r="F51" s="147">
        <f t="shared" ref="F51:F60" si="16">+E51/1.08*0.08</f>
        <v>4222.2222222222217</v>
      </c>
      <c r="G51" s="148">
        <f>+Tabla5518110[[#This Row],[VENTA]]-Tabla5518110[[#This Row],[ICO 8%]]</f>
        <v>52777.777777777781</v>
      </c>
      <c r="H51" s="149">
        <f>+Tabla5518110[[#This Row],[COSTO]]/Tabla5518110[[#This Row],[BASE]]</f>
        <v>0.2459357785333883</v>
      </c>
      <c r="I51" s="150">
        <f>+Tabla5518110[[#This Row],[BASE]]/Tabla5518110[[#This Row],[COSTO]]</f>
        <v>4.0661021587155517</v>
      </c>
      <c r="J51" s="151">
        <f>+VLOOKUP(Tabla5518110[[#This Row],[ENTRADAS]],Tabla77[#All],3,0)</f>
        <v>199</v>
      </c>
      <c r="K51" s="152">
        <f t="shared" ref="K51:K60" si="17">+D51/(100-70)*100</f>
        <v>43266.479556799801</v>
      </c>
      <c r="L51" s="172">
        <f t="shared" ref="L51:L60" si="18">+K51/1.08*0.08</f>
        <v>3204.9244116147997</v>
      </c>
      <c r="M51" s="153">
        <f>+Tabla5518110[[#This Row],[PRECIO SUGERIDO]]+Tabla5518110[[#This Row],[ICO2]]</f>
        <v>46471.403968414597</v>
      </c>
      <c r="N51" s="154"/>
      <c r="O51" s="147">
        <f t="shared" ref="O51:O60" si="19">+N51/1.08*0.08</f>
        <v>0</v>
      </c>
      <c r="P51" s="171">
        <f>+Tabla5518110[[#This Row],[PRECIO N]]-Tabla5518110[[#This Row],[ICO 8%2]]</f>
        <v>0</v>
      </c>
      <c r="Q51" s="149" t="e">
        <f>+Tabla5518110[[#This Row],[COSTO]]/Tabla5518110[[#This Row],[CARTA]]</f>
        <v>#DIV/0!</v>
      </c>
      <c r="R51" s="173">
        <f>+Tabla5518110[[#This Row],[PRECIO N]]/Tabla5518110[[#This Row],[COSTO]]</f>
        <v>0</v>
      </c>
    </row>
    <row r="52" spans="1:18" x14ac:dyDescent="0.3">
      <c r="A52" s="126">
        <v>2</v>
      </c>
      <c r="B52" s="145" t="str">
        <f>+ENTRADAS!B129</f>
        <v>TARTAR DE LA CASA</v>
      </c>
      <c r="C52" s="210" t="s">
        <v>968</v>
      </c>
      <c r="D52" s="171">
        <f>+ENTRADAS!K132</f>
        <v>11592.688324308001</v>
      </c>
      <c r="E52" s="147">
        <f>+ENTRADAS!K133</f>
        <v>39000</v>
      </c>
      <c r="F52" s="147">
        <f t="shared" si="16"/>
        <v>2888.8888888888887</v>
      </c>
      <c r="G52" s="148">
        <f>+Tabla5518110[[#This Row],[VENTA]]-Tabla5518110[[#This Row],[ICO 8%]]</f>
        <v>36111.111111111109</v>
      </c>
      <c r="H52" s="149">
        <f>+Tabla5518110[[#This Row],[COSTO]]/Tabla5518110[[#This Row],[BASE]]</f>
        <v>0.32102829205776007</v>
      </c>
      <c r="I52" s="150">
        <f>+Tabla5518110[[#This Row],[BASE]]/Tabla5518110[[#This Row],[COSTO]]</f>
        <v>3.1149902508283538</v>
      </c>
      <c r="J52" s="151">
        <f>+VLOOKUP(Tabla5518110[[#This Row],[ENTRADAS]],Tabla77[#All],3,0)</f>
        <v>88</v>
      </c>
      <c r="K52" s="152">
        <f t="shared" si="17"/>
        <v>38642.294414360003</v>
      </c>
      <c r="L52" s="172">
        <f t="shared" si="18"/>
        <v>2862.3921788414818</v>
      </c>
      <c r="M52" s="153">
        <f>+Tabla5518110[[#This Row],[PRECIO SUGERIDO]]+Tabla5518110[[#This Row],[ICO2]]</f>
        <v>41504.686593201484</v>
      </c>
      <c r="N52" s="154"/>
      <c r="O52" s="147">
        <f t="shared" si="19"/>
        <v>0</v>
      </c>
      <c r="P52" s="171">
        <f>+Tabla5518110[[#This Row],[PRECIO N]]-Tabla5518110[[#This Row],[ICO 8%2]]</f>
        <v>0</v>
      </c>
      <c r="Q52" s="149" t="e">
        <f>+Tabla5518110[[#This Row],[COSTO]]/Tabla5518110[[#This Row],[CARTA]]</f>
        <v>#DIV/0!</v>
      </c>
      <c r="R52" s="173">
        <f>+Tabla5518110[[#This Row],[PRECIO N]]/Tabla5518110[[#This Row],[COSTO]]</f>
        <v>0</v>
      </c>
    </row>
    <row r="53" spans="1:18" x14ac:dyDescent="0.3">
      <c r="A53" s="126">
        <v>3</v>
      </c>
      <c r="B53" s="145" t="str">
        <f>+ENTRADAS!B117</f>
        <v>TORNADO DE SALMÃ“N</v>
      </c>
      <c r="C53" s="210" t="s">
        <v>969</v>
      </c>
      <c r="D53" s="171">
        <f>+ENTRADAS!K120</f>
        <v>8269.0670533275006</v>
      </c>
      <c r="E53" s="147">
        <f>+ENTRADAS!K121</f>
        <v>43000</v>
      </c>
      <c r="F53" s="147">
        <f t="shared" si="16"/>
        <v>3185.1851851851848</v>
      </c>
      <c r="G53" s="148">
        <f>+Tabla5518110[[#This Row],[VENTA]]-Tabla5518110[[#This Row],[ICO 8%]]</f>
        <v>39814.814814814818</v>
      </c>
      <c r="H53" s="149">
        <f>+Tabla5518110[[#This Row],[COSTO]]/Tabla5518110[[#This Row],[BASE]]</f>
        <v>0.20768819575799302</v>
      </c>
      <c r="I53" s="150">
        <f>+Tabla5518110[[#This Row],[BASE]]/Tabla5518110[[#This Row],[COSTO]]</f>
        <v>4.8149101413796371</v>
      </c>
      <c r="J53" s="151">
        <f>+VLOOKUP(Tabla5518110[[#This Row],[ENTRADAS]],Tabla77[#All],3,0)</f>
        <v>105</v>
      </c>
      <c r="K53" s="152">
        <f t="shared" si="17"/>
        <v>27563.556844424998</v>
      </c>
      <c r="L53" s="172">
        <f t="shared" si="18"/>
        <v>2041.7449514388886</v>
      </c>
      <c r="M53" s="153">
        <f>+Tabla5518110[[#This Row],[PRECIO SUGERIDO]]+Tabla5518110[[#This Row],[ICO2]]</f>
        <v>29605.301795863888</v>
      </c>
      <c r="N53" s="154"/>
      <c r="O53" s="147">
        <f t="shared" si="19"/>
        <v>0</v>
      </c>
      <c r="P53" s="171">
        <f>+Tabla5518110[[#This Row],[PRECIO N]]-Tabla5518110[[#This Row],[ICO 8%2]]</f>
        <v>0</v>
      </c>
      <c r="Q53" s="149" t="e">
        <f>+Tabla5518110[[#This Row],[COSTO]]/Tabla5518110[[#This Row],[CARTA]]</f>
        <v>#DIV/0!</v>
      </c>
      <c r="R53" s="173">
        <f>+Tabla5518110[[#This Row],[PRECIO N]]/Tabla5518110[[#This Row],[COSTO]]</f>
        <v>0</v>
      </c>
    </row>
    <row r="54" spans="1:18" x14ac:dyDescent="0.3">
      <c r="A54" s="126">
        <v>4</v>
      </c>
      <c r="B54" s="145" t="str">
        <f>+ENTRADAS!B36</f>
        <v>CHICHARRONCITOS ACEVICHADOS</v>
      </c>
      <c r="C54" s="210" t="s">
        <v>970</v>
      </c>
      <c r="D54" s="171">
        <f>+ENTRADAS!K39</f>
        <v>11845.561215389998</v>
      </c>
      <c r="E54" s="147">
        <f>+ENTRADAS!K40</f>
        <v>49000</v>
      </c>
      <c r="F54" s="147">
        <f t="shared" si="16"/>
        <v>3629.6296296296291</v>
      </c>
      <c r="G54" s="148">
        <f>+Tabla5518110[[#This Row],[VENTA]]-Tabla5518110[[#This Row],[ICO 8%]]</f>
        <v>45370.370370370372</v>
      </c>
      <c r="H54" s="149">
        <f>+Tabla5518110[[#This Row],[COSTO]]/Tabla5518110[[#This Row],[BASE]]</f>
        <v>0.26108583903308569</v>
      </c>
      <c r="I54" s="150">
        <f>+Tabla5518110[[#This Row],[BASE]]/Tabla5518110[[#This Row],[COSTO]]</f>
        <v>3.8301579423205587</v>
      </c>
      <c r="J54" s="151">
        <f>+VLOOKUP(Tabla5518110[[#This Row],[ENTRADAS]],Tabla77[#All],3,0)</f>
        <v>628</v>
      </c>
      <c r="K54" s="152">
        <f t="shared" si="17"/>
        <v>39485.204051299996</v>
      </c>
      <c r="L54" s="172">
        <f t="shared" si="18"/>
        <v>2924.8299297259255</v>
      </c>
      <c r="M54" s="153">
        <f>+Tabla5518110[[#This Row],[PRECIO SUGERIDO]]+Tabla5518110[[#This Row],[ICO2]]</f>
        <v>42410.033981025917</v>
      </c>
      <c r="N54" s="154"/>
      <c r="O54" s="147">
        <f t="shared" si="19"/>
        <v>0</v>
      </c>
      <c r="P54" s="171">
        <f>+Tabla5518110[[#This Row],[PRECIO N]]-Tabla5518110[[#This Row],[ICO 8%2]]</f>
        <v>0</v>
      </c>
      <c r="Q54" s="149" t="e">
        <f>+Tabla5518110[[#This Row],[COSTO]]/Tabla5518110[[#This Row],[CARTA]]</f>
        <v>#DIV/0!</v>
      </c>
      <c r="R54" s="173">
        <f>+Tabla5518110[[#This Row],[PRECIO N]]/Tabla5518110[[#This Row],[COSTO]]</f>
        <v>0</v>
      </c>
    </row>
    <row r="55" spans="1:18" x14ac:dyDescent="0.3">
      <c r="A55" s="126">
        <v>5</v>
      </c>
      <c r="B55" s="145" t="str">
        <f>+ENTRADAS!B69</f>
        <v>TORNADO TRUFADO</v>
      </c>
      <c r="C55" s="210" t="s">
        <v>971</v>
      </c>
      <c r="D55" s="171">
        <f>+ENTRADAS!K72</f>
        <v>11555.125392352502</v>
      </c>
      <c r="E55" s="147">
        <f>+ENTRADAS!K73</f>
        <v>42000</v>
      </c>
      <c r="F55" s="147">
        <f t="shared" si="16"/>
        <v>3111.1111111111109</v>
      </c>
      <c r="G55" s="148">
        <f>+Tabla5518110[[#This Row],[VENTA]]-Tabla5518110[[#This Row],[ICO 8%]]</f>
        <v>38888.888888888891</v>
      </c>
      <c r="H55" s="149">
        <f>+Tabla5518110[[#This Row],[COSTO]]/Tabla5518110[[#This Row],[BASE]]</f>
        <v>0.29713179580335003</v>
      </c>
      <c r="I55" s="150">
        <f>+Tabla5518110[[#This Row],[BASE]]/Tabla5518110[[#This Row],[COSTO]]</f>
        <v>3.3655098987178991</v>
      </c>
      <c r="J55" s="151">
        <f>+VLOOKUP(Tabla5518110[[#This Row],[ENTRADAS]],Tabla77[#All],3,0)</f>
        <v>79</v>
      </c>
      <c r="K55" s="152">
        <f t="shared" si="17"/>
        <v>38517.08464117501</v>
      </c>
      <c r="L55" s="172">
        <f t="shared" si="18"/>
        <v>2853.1173808277781</v>
      </c>
      <c r="M55" s="153">
        <f>+Tabla5518110[[#This Row],[PRECIO SUGERIDO]]+Tabla5518110[[#This Row],[ICO2]]</f>
        <v>41370.202022002792</v>
      </c>
      <c r="N55" s="154"/>
      <c r="O55" s="147">
        <f t="shared" si="19"/>
        <v>0</v>
      </c>
      <c r="P55" s="171">
        <f>+Tabla5518110[[#This Row],[PRECIO N]]-Tabla5518110[[#This Row],[ICO 8%2]]</f>
        <v>0</v>
      </c>
      <c r="Q55" s="149" t="e">
        <f>+Tabla5518110[[#This Row],[COSTO]]/Tabla5518110[[#This Row],[CARTA]]</f>
        <v>#DIV/0!</v>
      </c>
      <c r="R55" s="173">
        <f>+Tabla5518110[[#This Row],[PRECIO N]]/Tabla5518110[[#This Row],[COSTO]]</f>
        <v>0</v>
      </c>
    </row>
    <row r="56" spans="1:18" x14ac:dyDescent="0.3">
      <c r="A56" s="126">
        <v>6</v>
      </c>
      <c r="B56" s="145" t="str">
        <f>+ENTRADAS!B53</f>
        <v>PULPO SALTADO</v>
      </c>
      <c r="C56" s="216" t="s">
        <v>996</v>
      </c>
      <c r="D56" s="171">
        <f>+ENTRADAS!K56</f>
        <v>30205.315934797502</v>
      </c>
      <c r="E56" s="147">
        <f>+ENTRADAS!K57</f>
        <v>99000</v>
      </c>
      <c r="F56" s="147">
        <f t="shared" si="16"/>
        <v>7333.333333333333</v>
      </c>
      <c r="G56" s="148">
        <f>+Tabla5518110[[#This Row],[VENTA]]-Tabla5518110[[#This Row],[ICO 8%]]</f>
        <v>91666.666666666672</v>
      </c>
      <c r="H56" s="149">
        <f>+Tabla5518110[[#This Row],[COSTO]]/Tabla5518110[[#This Row],[BASE]]</f>
        <v>0.32951253747051817</v>
      </c>
      <c r="I56" s="150">
        <f>+Tabla5518110[[#This Row],[BASE]]/Tabla5518110[[#This Row],[COSTO]]</f>
        <v>3.0347858921436974</v>
      </c>
      <c r="J56" s="151">
        <f>+VLOOKUP(Tabla5518110[[#This Row],[ENTRADAS]],Tabla77[#All],3,0)</f>
        <v>238</v>
      </c>
      <c r="K56" s="152">
        <f t="shared" si="17"/>
        <v>100684.386449325</v>
      </c>
      <c r="L56" s="172">
        <f t="shared" si="18"/>
        <v>7458.10269995</v>
      </c>
      <c r="M56" s="153">
        <f>+Tabla5518110[[#This Row],[PRECIO SUGERIDO]]+Tabla5518110[[#This Row],[ICO2]]</f>
        <v>108142.489149275</v>
      </c>
      <c r="N56" s="154"/>
      <c r="O56" s="147">
        <f t="shared" si="19"/>
        <v>0</v>
      </c>
      <c r="P56" s="171">
        <f>+Tabla5518110[[#This Row],[PRECIO N]]-Tabla5518110[[#This Row],[ICO 8%2]]</f>
        <v>0</v>
      </c>
      <c r="Q56" s="149" t="e">
        <f>+Tabla5518110[[#This Row],[COSTO]]/Tabla5518110[[#This Row],[CARTA]]</f>
        <v>#DIV/0!</v>
      </c>
      <c r="R56" s="173">
        <f>+Tabla5518110[[#This Row],[PRECIO N]]/Tabla5518110[[#This Row],[COSTO]]</f>
        <v>0</v>
      </c>
    </row>
    <row r="57" spans="1:18" x14ac:dyDescent="0.3">
      <c r="A57" s="126">
        <v>7</v>
      </c>
      <c r="B57" s="145" t="str">
        <f>+ENTRADAS!B105</f>
        <v>LANGOSTINOS CROCANTES</v>
      </c>
      <c r="C57" s="216" t="s">
        <v>972</v>
      </c>
      <c r="D57" s="171">
        <f>+ENTRADAS!K108</f>
        <v>16391.164894597499</v>
      </c>
      <c r="E57" s="147">
        <f>+ENTRADAS!K109</f>
        <v>59000</v>
      </c>
      <c r="F57" s="147">
        <f t="shared" si="16"/>
        <v>4370.3703703703704</v>
      </c>
      <c r="G57" s="148">
        <f>+Tabla5518110[[#This Row],[VENTA]]-Tabla5518110[[#This Row],[ICO 8%]]</f>
        <v>54629.629629629628</v>
      </c>
      <c r="H57" s="149">
        <f>+Tabla5518110[[#This Row],[COSTO]]/Tabla5518110[[#This Row],[BASE]]</f>
        <v>0.30004166247737796</v>
      </c>
      <c r="I57" s="150">
        <f>+Tabla5518110[[#This Row],[BASE]]/Tabla5518110[[#This Row],[COSTO]]</f>
        <v>3.3328704811965784</v>
      </c>
      <c r="J57" s="151">
        <f>+VLOOKUP(Tabla5518110[[#This Row],[ENTRADAS]],Tabla77[#All],3,0)</f>
        <v>229</v>
      </c>
      <c r="K57" s="152">
        <f t="shared" si="17"/>
        <v>54637.216315325</v>
      </c>
      <c r="L57" s="172">
        <f t="shared" si="18"/>
        <v>4047.2012085425927</v>
      </c>
      <c r="M57" s="153">
        <f>+Tabla5518110[[#This Row],[PRECIO SUGERIDO]]+Tabla5518110[[#This Row],[ICO2]]</f>
        <v>58684.417523867596</v>
      </c>
      <c r="N57" s="154"/>
      <c r="O57" s="147">
        <f t="shared" si="19"/>
        <v>0</v>
      </c>
      <c r="P57" s="171">
        <f>+Tabla5518110[[#This Row],[PRECIO N]]-Tabla5518110[[#This Row],[ICO 8%2]]</f>
        <v>0</v>
      </c>
      <c r="Q57" s="149" t="e">
        <f>+Tabla5518110[[#This Row],[COSTO]]/Tabla5518110[[#This Row],[CARTA]]</f>
        <v>#DIV/0!</v>
      </c>
      <c r="R57" s="173">
        <f>+Tabla5518110[[#This Row],[PRECIO N]]/Tabla5518110[[#This Row],[COSTO]]</f>
        <v>0</v>
      </c>
    </row>
    <row r="58" spans="1:18" x14ac:dyDescent="0.3">
      <c r="A58" s="126">
        <v>8</v>
      </c>
      <c r="B58" s="145" t="str">
        <f>+ENTRADAS!B82</f>
        <v>SPRING ROLLS AJÃ DE GALLINA</v>
      </c>
      <c r="C58" s="210" t="s">
        <v>973</v>
      </c>
      <c r="D58" s="171">
        <f>+ENTRADAS!K85</f>
        <v>10080.636249159001</v>
      </c>
      <c r="E58" s="147">
        <f>+ENTRADAS!K86</f>
        <v>32000</v>
      </c>
      <c r="F58" s="147">
        <f t="shared" si="16"/>
        <v>2370.3703703703704</v>
      </c>
      <c r="G58" s="148">
        <f>+Tabla5518110[[#This Row],[VENTA]]-Tabla5518110[[#This Row],[ICO 8%]]</f>
        <v>29629.629629629628</v>
      </c>
      <c r="H58" s="149">
        <f>+Tabla5518110[[#This Row],[COSTO]]/Tabla5518110[[#This Row],[BASE]]</f>
        <v>0.34022147340911629</v>
      </c>
      <c r="I58" s="150">
        <f>+Tabla5518110[[#This Row],[BASE]]/Tabla5518110[[#This Row],[COSTO]]</f>
        <v>2.9392618578119554</v>
      </c>
      <c r="J58" s="151">
        <f>+VLOOKUP(Tabla5518110[[#This Row],[ENTRADAS]],Tabla77[#All],3,0)</f>
        <v>183</v>
      </c>
      <c r="K58" s="152">
        <f t="shared" si="17"/>
        <v>33602.120830530002</v>
      </c>
      <c r="L58" s="172">
        <f t="shared" si="18"/>
        <v>2489.0459874466669</v>
      </c>
      <c r="M58" s="153">
        <f>+Tabla5518110[[#This Row],[PRECIO SUGERIDO]]+Tabla5518110[[#This Row],[ICO2]]</f>
        <v>36091.166817976671</v>
      </c>
      <c r="N58" s="154"/>
      <c r="O58" s="147">
        <f t="shared" si="19"/>
        <v>0</v>
      </c>
      <c r="P58" s="171">
        <f>+Tabla5518110[[#This Row],[PRECIO N]]-Tabla5518110[[#This Row],[ICO 8%2]]</f>
        <v>0</v>
      </c>
      <c r="Q58" s="149" t="e">
        <f>+Tabla5518110[[#This Row],[COSTO]]/Tabla5518110[[#This Row],[CARTA]]</f>
        <v>#DIV/0!</v>
      </c>
      <c r="R58" s="173">
        <f>+Tabla5518110[[#This Row],[PRECIO N]]/Tabla5518110[[#This Row],[COSTO]]</f>
        <v>0</v>
      </c>
    </row>
    <row r="59" spans="1:18" x14ac:dyDescent="0.3">
      <c r="A59" s="126">
        <v>9</v>
      </c>
      <c r="B59" s="145" t="str">
        <f>+ENTRADAS!B93</f>
        <v>EMPANADAS ROCOTO</v>
      </c>
      <c r="C59" s="210" t="s">
        <v>974</v>
      </c>
      <c r="D59" s="171">
        <f>+ENTRADAS!K96</f>
        <v>7345.8781205250007</v>
      </c>
      <c r="E59" s="147">
        <f>+ENTRADAS!K97</f>
        <v>45000</v>
      </c>
      <c r="F59" s="147">
        <f t="shared" si="16"/>
        <v>3333.333333333333</v>
      </c>
      <c r="G59" s="148">
        <f>+Tabla5518110[[#This Row],[VENTA]]-Tabla5518110[[#This Row],[ICO 8%]]</f>
        <v>41666.666666666664</v>
      </c>
      <c r="H59" s="149">
        <f>+Tabla5518110[[#This Row],[COSTO]]/Tabla5518110[[#This Row],[BASE]]</f>
        <v>0.17630107489260002</v>
      </c>
      <c r="I59" s="150">
        <f>+Tabla5518110[[#This Row],[BASE]]/Tabla5518110[[#This Row],[COSTO]]</f>
        <v>5.6721151621405879</v>
      </c>
      <c r="J59" s="151">
        <f>+VLOOKUP(Tabla5518110[[#This Row],[ENTRADAS]],Tabla77[#All],3,0)</f>
        <v>253</v>
      </c>
      <c r="K59" s="152">
        <f t="shared" si="17"/>
        <v>24486.260401750002</v>
      </c>
      <c r="L59" s="172">
        <f t="shared" si="18"/>
        <v>1813.7970667962963</v>
      </c>
      <c r="M59" s="153">
        <f>+Tabla5518110[[#This Row],[PRECIO SUGERIDO]]+Tabla5518110[[#This Row],[ICO2]]</f>
        <v>26300.0574685463</v>
      </c>
      <c r="N59" s="154"/>
      <c r="O59" s="147">
        <f t="shared" si="19"/>
        <v>0</v>
      </c>
      <c r="P59" s="171">
        <f>+Tabla5518110[[#This Row],[PRECIO N]]-Tabla5518110[[#This Row],[ICO 8%2]]</f>
        <v>0</v>
      </c>
      <c r="Q59" s="149" t="e">
        <f>+Tabla5518110[[#This Row],[COSTO]]/Tabla5518110[[#This Row],[CARTA]]</f>
        <v>#DIV/0!</v>
      </c>
      <c r="R59" s="173">
        <f>+Tabla5518110[[#This Row],[PRECIO N]]/Tabla5518110[[#This Row],[COSTO]]</f>
        <v>0</v>
      </c>
    </row>
    <row r="60" spans="1:18" x14ac:dyDescent="0.3">
      <c r="A60" s="126">
        <v>10</v>
      </c>
      <c r="B60" s="145" t="str">
        <f>+ENTRADAS!B25</f>
        <v>CHIPS</v>
      </c>
      <c r="C60" s="210" t="s">
        <v>975</v>
      </c>
      <c r="D60" s="171">
        <f>+ENTRADAS!K28</f>
        <v>2060.5958470649998</v>
      </c>
      <c r="E60" s="147">
        <f>+ENTRADAS!K29</f>
        <v>29900</v>
      </c>
      <c r="F60" s="147">
        <f t="shared" si="16"/>
        <v>2214.8148148148148</v>
      </c>
      <c r="G60" s="148">
        <f>+Tabla5518110[[#This Row],[VENTA]]-Tabla5518110[[#This Row],[ICO 8%]]</f>
        <v>27685.185185185186</v>
      </c>
      <c r="H60" s="149">
        <f>+Tabla5518110[[#This Row],[COSTO]]/Tabla5518110[[#This Row],[BASE]]</f>
        <v>7.4429548990976577E-2</v>
      </c>
      <c r="I60" s="150">
        <f>+Tabla5518110[[#This Row],[BASE]]/Tabla5518110[[#This Row],[COSTO]]</f>
        <v>13.435524110474381</v>
      </c>
      <c r="J60" s="151">
        <f>+VLOOKUP(Tabla5518110[[#This Row],[ENTRADAS]],Tabla77[#All],3,0)</f>
        <v>289</v>
      </c>
      <c r="K60" s="152">
        <f t="shared" si="17"/>
        <v>6868.6528235499991</v>
      </c>
      <c r="L60" s="172">
        <f t="shared" si="18"/>
        <v>508.78909804074067</v>
      </c>
      <c r="M60" s="153">
        <f>+Tabla5518110[[#This Row],[PRECIO SUGERIDO]]+Tabla5518110[[#This Row],[ICO2]]</f>
        <v>7377.4419215907401</v>
      </c>
      <c r="N60" s="154"/>
      <c r="O60" s="147">
        <f t="shared" si="19"/>
        <v>0</v>
      </c>
      <c r="P60" s="171">
        <f>+Tabla5518110[[#This Row],[PRECIO N]]-Tabla5518110[[#This Row],[ICO 8%2]]</f>
        <v>0</v>
      </c>
      <c r="Q60" s="149" t="e">
        <f>+Tabla5518110[[#This Row],[COSTO]]/Tabla5518110[[#This Row],[CARTA]]</f>
        <v>#DIV/0!</v>
      </c>
      <c r="R60" s="173">
        <f>+Tabla5518110[[#This Row],[PRECIO N]]/Tabla5518110[[#This Row],[COSTO]]</f>
        <v>0</v>
      </c>
    </row>
    <row r="61" spans="1:18" x14ac:dyDescent="0.3">
      <c r="A61" s="126">
        <v>11</v>
      </c>
      <c r="B61" s="155" t="str">
        <f>+ENTRADAS!B142</f>
        <v>TRILOGIA DE CAUSAS</v>
      </c>
      <c r="C61" s="210"/>
      <c r="D61" s="201">
        <f>+ENTRADAS!K145</f>
        <v>12817.124583154502</v>
      </c>
      <c r="E61" s="202">
        <f>+ENTRADAS!K146</f>
        <v>58000</v>
      </c>
      <c r="F61" s="202">
        <f>+E61/1.08*0.08</f>
        <v>4296.2962962962965</v>
      </c>
      <c r="G61" s="203">
        <f>+Tabla5518110[[#This Row],[VENTA]]-Tabla5518110[[#This Row],[ICO 8%]]</f>
        <v>53703.703703703701</v>
      </c>
      <c r="H61" s="204">
        <f>+Tabla5518110[[#This Row],[COSTO]]/Tabla5518110[[#This Row],[BASE]]</f>
        <v>0.23866369913460109</v>
      </c>
      <c r="I61" s="205">
        <f>+Tabla5518110[[#This Row],[BASE]]/Tabla5518110[[#This Row],[COSTO]]</f>
        <v>4.1899962316264192</v>
      </c>
      <c r="J61" s="157">
        <f>+VLOOKUP(Tabla5518110[[#This Row],[ENTRADAS]],Tabla77[#All],3,0)</f>
        <v>136</v>
      </c>
      <c r="K61" s="206">
        <f>+D61/(100-70)*100</f>
        <v>42723.748610515009</v>
      </c>
      <c r="L61" s="207">
        <f>+K61/1.08*0.08</f>
        <v>3164.722119297408</v>
      </c>
      <c r="M61" s="208">
        <f>+Tabla5518110[[#This Row],[PRECIO SUGERIDO]]+Tabla5518110[[#This Row],[ICO2]]</f>
        <v>45888.470729812419</v>
      </c>
      <c r="N61" s="209"/>
      <c r="O61" s="202">
        <f>+N61/1.08*0.08</f>
        <v>0</v>
      </c>
      <c r="P61" s="201">
        <f>+Tabla5518110[[#This Row],[PRECIO N]]-Tabla5518110[[#This Row],[ICO 8%2]]</f>
        <v>0</v>
      </c>
      <c r="Q61" s="204" t="e">
        <f>+Tabla5518110[[#This Row],[COSTO]]/Tabla5518110[[#This Row],[CARTA]]</f>
        <v>#DIV/0!</v>
      </c>
      <c r="R61" s="175">
        <f>+Tabla5518110[[#This Row],[PRECIO N]]/Tabla5518110[[#This Row],[COSTO]]</f>
        <v>0</v>
      </c>
    </row>
    <row r="62" spans="1:18" x14ac:dyDescent="0.3">
      <c r="B62" s="155" t="s">
        <v>30</v>
      </c>
      <c r="C62" s="156"/>
      <c r="D62" s="174"/>
      <c r="E62" s="157"/>
      <c r="F62" s="157"/>
      <c r="G62" s="157"/>
      <c r="H62" s="158">
        <f>SUBTOTAL(101,Tabla5518110[%])</f>
        <v>0.25382180886916073</v>
      </c>
      <c r="I62" s="157"/>
      <c r="J62" s="157"/>
      <c r="K62" s="159"/>
      <c r="L62" s="174"/>
      <c r="M62" s="157"/>
      <c r="N62" s="160"/>
      <c r="O62" s="157"/>
      <c r="P62" s="174"/>
      <c r="Q62" s="157"/>
      <c r="R62" s="175">
        <f>SUBTOTAL(109,Tabla5518110[RATION])</f>
        <v>0</v>
      </c>
    </row>
    <row r="64" spans="1:18" x14ac:dyDescent="0.3">
      <c r="B64" s="116"/>
      <c r="C64" s="59"/>
      <c r="D64" s="137"/>
      <c r="E64" s="117" t="s">
        <v>21</v>
      </c>
      <c r="F64" s="116"/>
      <c r="G64" s="118"/>
      <c r="H64" s="116"/>
      <c r="I64" s="116"/>
      <c r="J64" s="93"/>
      <c r="K64" s="278" t="s">
        <v>25</v>
      </c>
      <c r="L64" s="278"/>
      <c r="M64" s="278"/>
      <c r="N64" s="59"/>
      <c r="O64" s="59"/>
      <c r="P64" s="118"/>
    </row>
    <row r="65" spans="1:18" x14ac:dyDescent="0.3">
      <c r="B65" s="176" t="s">
        <v>139</v>
      </c>
      <c r="C65" s="140" t="s">
        <v>111</v>
      </c>
      <c r="D65" s="169" t="s">
        <v>7</v>
      </c>
      <c r="E65" s="141" t="s">
        <v>16</v>
      </c>
      <c r="F65" s="142" t="s">
        <v>29</v>
      </c>
      <c r="G65" s="140" t="s">
        <v>22</v>
      </c>
      <c r="H65" s="143" t="s">
        <v>17</v>
      </c>
      <c r="I65" s="140" t="s">
        <v>18</v>
      </c>
      <c r="J65" s="140" t="s">
        <v>19</v>
      </c>
      <c r="K65" s="140" t="s">
        <v>23</v>
      </c>
      <c r="L65" s="169" t="s">
        <v>28</v>
      </c>
      <c r="M65" s="140" t="s">
        <v>24</v>
      </c>
      <c r="N65" s="161" t="s">
        <v>26</v>
      </c>
      <c r="O65" s="169" t="s">
        <v>351</v>
      </c>
      <c r="P65" s="169" t="s">
        <v>21</v>
      </c>
      <c r="Q65" s="143" t="s">
        <v>27</v>
      </c>
      <c r="R65" s="170" t="s">
        <v>20</v>
      </c>
    </row>
    <row r="66" spans="1:18" x14ac:dyDescent="0.3">
      <c r="B66" s="145" t="str">
        <f>+'PARA COMPARTIR'!B6</f>
        <v>JALEA MIXTA</v>
      </c>
      <c r="C66" s="146" t="s">
        <v>201</v>
      </c>
      <c r="D66" s="171" t="e">
        <f>+'PARA COMPARTIR'!K9</f>
        <v>#N/A</v>
      </c>
      <c r="E66" s="147">
        <f>+'PARA COMPARTIR'!K10</f>
        <v>99000</v>
      </c>
      <c r="F66" s="147">
        <f>+E66/1.08*0.08</f>
        <v>7333.333333333333</v>
      </c>
      <c r="G66" s="148">
        <f>+Tabla551857211[[#This Row],[VENTA]]-Tabla551857211[[#This Row],[ICO 8%]]</f>
        <v>91666.666666666672</v>
      </c>
      <c r="H66" s="149" t="e">
        <f>+Tabla551857211[[#This Row],[COSTO]]/Tabla551857211[[#This Row],[BASE]]</f>
        <v>#N/A</v>
      </c>
      <c r="I66" s="150" t="e">
        <f>+Tabla551857211[[#This Row],[BASE]]/Tabla551857211[[#This Row],[COSTO]]</f>
        <v>#N/A</v>
      </c>
      <c r="J66" s="151" t="e">
        <f>+VLOOKUP(Tabla551857211[[#This Row],[PARA COMPARTIR]],Tabla77[#All],3,0)</f>
        <v>#N/A</v>
      </c>
      <c r="K66" s="152" t="e">
        <f>+D66/(100-70)*100</f>
        <v>#N/A</v>
      </c>
      <c r="L66" s="172" t="e">
        <f>+K66/1.08*0.08</f>
        <v>#N/A</v>
      </c>
      <c r="M66" s="153" t="e">
        <f>+Tabla551857211[[#This Row],[PRECIO SUGERIDO]]+Tabla551857211[[#This Row],[ICO2]]</f>
        <v>#N/A</v>
      </c>
      <c r="N66" s="154">
        <v>99000</v>
      </c>
      <c r="O66" s="147">
        <f t="shared" ref="O66:O68" si="20">+N66/1.08*0.08</f>
        <v>7333.333333333333</v>
      </c>
      <c r="P66" s="171">
        <f>+Tabla551857211[[#This Row],[PRECIO N]]-Tabla551857211[[#This Row],[ICO 8%2]]</f>
        <v>91666.666666666672</v>
      </c>
      <c r="Q66" s="149" t="e">
        <f>+Tabla551857211[[#This Row],[COSTO]]/Tabla551857211[[#This Row],[CARTA]]</f>
        <v>#N/A</v>
      </c>
      <c r="R66" s="173" t="e">
        <f>+Tabla551857211[[#This Row],[PRECIO N]]/Tabla551857211[[#This Row],[COSTO]]</f>
        <v>#N/A</v>
      </c>
    </row>
    <row r="67" spans="1:18" x14ac:dyDescent="0.3">
      <c r="B67" s="145" t="str">
        <f>+'PARA COMPARTIR'!B24</f>
        <v xml:space="preserve">PIQUEO DE MAR </v>
      </c>
      <c r="C67" s="146" t="s">
        <v>202</v>
      </c>
      <c r="D67" s="171">
        <f>+'PARA COMPARTIR'!K26</f>
        <v>20782.774927046998</v>
      </c>
      <c r="E67" s="147">
        <f>+'PARA COMPARTIR'!K27</f>
        <v>85000</v>
      </c>
      <c r="F67" s="147">
        <f>+E67/1.08*0.08</f>
        <v>6296.2962962962956</v>
      </c>
      <c r="G67" s="148">
        <f>+Tabla551857211[[#This Row],[VENTA]]-Tabla551857211[[#This Row],[ICO 8%]]</f>
        <v>78703.703703703708</v>
      </c>
      <c r="H67" s="149">
        <f>+Tabla551857211[[#This Row],[COSTO]]/Tabla551857211[[#This Row],[BASE]]</f>
        <v>0.26406349319071476</v>
      </c>
      <c r="I67" s="150">
        <f>+Tabla551857211[[#This Row],[BASE]]/Tabla551857211[[#This Row],[COSTO]]</f>
        <v>3.7869680049932888</v>
      </c>
      <c r="J67" s="151">
        <f>+VLOOKUP(Tabla551857211[[#This Row],[PARA COMPARTIR]],Tabla77[#All],3,0)</f>
        <v>256</v>
      </c>
      <c r="K67" s="152">
        <f>+D67/(100-70)*100</f>
        <v>69275.916423489994</v>
      </c>
      <c r="L67" s="172">
        <f>+K67/1.08*0.08</f>
        <v>5131.5493647029625</v>
      </c>
      <c r="M67" s="153">
        <f>+Tabla551857211[[#This Row],[PRECIO SUGERIDO]]+Tabla551857211[[#This Row],[ICO2]]</f>
        <v>74407.46578819296</v>
      </c>
      <c r="N67" s="154"/>
      <c r="O67" s="147">
        <f t="shared" si="20"/>
        <v>0</v>
      </c>
      <c r="P67" s="171">
        <f>+Tabla551857211[[#This Row],[PRECIO N]]-Tabla551857211[[#This Row],[ICO 8%2]]</f>
        <v>0</v>
      </c>
      <c r="Q67" s="149" t="e">
        <f>+Tabla551857211[[#This Row],[COSTO]]/Tabla551857211[[#This Row],[CARTA]]</f>
        <v>#DIV/0!</v>
      </c>
      <c r="R67" s="173">
        <f>+Tabla551857211[[#This Row],[PRECIO N]]/Tabla551857211[[#This Row],[COSTO]]</f>
        <v>0</v>
      </c>
    </row>
    <row r="68" spans="1:18" x14ac:dyDescent="0.3">
      <c r="B68" s="145" t="str">
        <f>+'PARA COMPARTIR'!B50</f>
        <v>PARRILLA MAR Y TIERRA</v>
      </c>
      <c r="C68" s="210" t="s">
        <v>994</v>
      </c>
      <c r="D68" s="171">
        <f>+'PARA COMPARTIR'!K53</f>
        <v>88635.966683019011</v>
      </c>
      <c r="E68" s="147">
        <f>+'PARA COMPARTIR'!K54</f>
        <v>299000</v>
      </c>
      <c r="F68" s="147">
        <f>+E68/1.08*0.08</f>
        <v>22148.14814814815</v>
      </c>
      <c r="G68" s="148">
        <f>+Tabla551857211[[#This Row],[VENTA]]-Tabla551857211[[#This Row],[ICO 8%]]</f>
        <v>276851.85185185185</v>
      </c>
      <c r="H68" s="149">
        <f>+Tabla551857211[[#This Row],[COSTO]]/Tabla551857211[[#This Row],[BASE]]</f>
        <v>0.32015666895538641</v>
      </c>
      <c r="I68" s="150">
        <f>+Tabla551857211[[#This Row],[BASE]]/Tabla551857211[[#This Row],[COSTO]]</f>
        <v>3.1234707784248883</v>
      </c>
      <c r="J68" s="151">
        <f>+VLOOKUP(Tabla551857211[[#This Row],[PARA COMPARTIR]],Tabla77[#All],3,0)</f>
        <v>16</v>
      </c>
      <c r="K68" s="152">
        <f>+D68/(100-70)*100</f>
        <v>295453.22227673006</v>
      </c>
      <c r="L68" s="172">
        <f>+K68/1.08*0.08</f>
        <v>21885.423872350377</v>
      </c>
      <c r="M68" s="153">
        <f>+Tabla551857211[[#This Row],[PRECIO SUGERIDO]]+Tabla551857211[[#This Row],[ICO2]]</f>
        <v>317338.64614908042</v>
      </c>
      <c r="N68" s="154"/>
      <c r="O68" s="147">
        <f t="shared" si="20"/>
        <v>0</v>
      </c>
      <c r="P68" s="171">
        <f>+Tabla551857211[[#This Row],[PRECIO N]]-Tabla551857211[[#This Row],[ICO 8%2]]</f>
        <v>0</v>
      </c>
      <c r="Q68" s="149" t="e">
        <f>+Tabla551857211[[#This Row],[COSTO]]/Tabla551857211[[#This Row],[CARTA]]</f>
        <v>#DIV/0!</v>
      </c>
      <c r="R68" s="173">
        <f>+Tabla551857211[[#This Row],[PRECIO N]]/Tabla551857211[[#This Row],[COSTO]]</f>
        <v>0</v>
      </c>
    </row>
    <row r="69" spans="1:18" x14ac:dyDescent="0.3">
      <c r="B69" s="155" t="s">
        <v>30</v>
      </c>
      <c r="C69" s="156"/>
      <c r="D69" s="174"/>
      <c r="E69" s="157"/>
      <c r="F69" s="157"/>
      <c r="G69" s="157"/>
      <c r="H69" s="158" t="e">
        <f>SUBTOTAL(101,Tabla551857211[%])</f>
        <v>#N/A</v>
      </c>
      <c r="I69" s="157"/>
      <c r="J69" s="157"/>
      <c r="K69" s="159"/>
      <c r="L69" s="174"/>
      <c r="M69" s="157"/>
      <c r="N69" s="160"/>
      <c r="O69" s="157"/>
      <c r="P69" s="174"/>
      <c r="Q69" s="157"/>
      <c r="R69" s="175" t="e">
        <f>SUBTOTAL(109,Tabla551857211[RATION])</f>
        <v>#N/A</v>
      </c>
    </row>
    <row r="70" spans="1:18" x14ac:dyDescent="0.3">
      <c r="B70" s="27"/>
      <c r="C70" s="27"/>
      <c r="D70" s="162"/>
      <c r="E70" s="126"/>
      <c r="F70" s="126"/>
      <c r="G70" s="126"/>
      <c r="H70" s="131"/>
      <c r="I70" s="126"/>
      <c r="J70" s="126"/>
      <c r="K70" s="93"/>
      <c r="L70" s="162"/>
      <c r="M70" s="126"/>
      <c r="N70" s="132"/>
      <c r="O70" s="126"/>
      <c r="P70" s="162"/>
      <c r="Q70" s="126"/>
      <c r="R70" s="182"/>
    </row>
    <row r="71" spans="1:18" x14ac:dyDescent="0.3">
      <c r="B71" s="27"/>
      <c r="C71" s="27"/>
      <c r="D71" s="162"/>
      <c r="E71" s="126"/>
      <c r="F71" s="126"/>
      <c r="G71" s="126"/>
      <c r="H71" s="131"/>
      <c r="I71" s="126"/>
      <c r="J71" s="126"/>
      <c r="K71" s="93"/>
      <c r="L71" s="162"/>
      <c r="M71" s="126"/>
      <c r="N71" s="132"/>
      <c r="O71" s="126"/>
      <c r="P71" s="162"/>
      <c r="Q71" s="126"/>
      <c r="R71" s="182"/>
    </row>
    <row r="72" spans="1:18" x14ac:dyDescent="0.3">
      <c r="B72" s="27"/>
      <c r="C72" s="27"/>
      <c r="D72" s="162"/>
      <c r="E72" s="126"/>
      <c r="F72" s="126"/>
      <c r="G72" s="126"/>
      <c r="H72" s="131"/>
      <c r="I72" s="126"/>
      <c r="J72" s="126"/>
      <c r="K72" s="93"/>
      <c r="L72" s="162"/>
      <c r="M72" s="126"/>
      <c r="N72" s="132"/>
      <c r="O72" s="126"/>
      <c r="P72" s="162"/>
      <c r="Q72" s="126"/>
      <c r="R72" s="182"/>
    </row>
    <row r="73" spans="1:18" x14ac:dyDescent="0.3">
      <c r="B73" s="116"/>
      <c r="C73" s="59"/>
      <c r="D73" s="137"/>
      <c r="E73" s="117" t="s">
        <v>21</v>
      </c>
      <c r="F73" s="116"/>
      <c r="G73" s="118"/>
      <c r="H73" s="116"/>
      <c r="I73" s="116"/>
      <c r="J73" s="93"/>
      <c r="K73" s="278" t="s">
        <v>25</v>
      </c>
      <c r="L73" s="278"/>
      <c r="M73" s="278"/>
      <c r="N73" s="59"/>
      <c r="O73" s="59"/>
      <c r="P73" s="118"/>
    </row>
    <row r="74" spans="1:18" x14ac:dyDescent="0.3">
      <c r="B74" s="176" t="s">
        <v>145</v>
      </c>
      <c r="C74" s="140" t="s">
        <v>111</v>
      </c>
      <c r="D74" s="169" t="s">
        <v>7</v>
      </c>
      <c r="E74" s="141" t="s">
        <v>16</v>
      </c>
      <c r="F74" s="142" t="s">
        <v>29</v>
      </c>
      <c r="G74" s="140" t="s">
        <v>22</v>
      </c>
      <c r="H74" s="143" t="s">
        <v>17</v>
      </c>
      <c r="I74" s="140" t="s">
        <v>18</v>
      </c>
      <c r="J74" s="140" t="s">
        <v>19</v>
      </c>
      <c r="K74" s="140" t="s">
        <v>23</v>
      </c>
      <c r="L74" s="169" t="s">
        <v>28</v>
      </c>
      <c r="M74" s="140" t="s">
        <v>24</v>
      </c>
      <c r="N74" s="161" t="s">
        <v>26</v>
      </c>
      <c r="O74" s="169" t="s">
        <v>351</v>
      </c>
      <c r="P74" s="169" t="s">
        <v>21</v>
      </c>
      <c r="Q74" s="143" t="s">
        <v>27</v>
      </c>
      <c r="R74" s="170" t="s">
        <v>20</v>
      </c>
    </row>
    <row r="75" spans="1:18" x14ac:dyDescent="0.3">
      <c r="A75" s="162">
        <v>1</v>
      </c>
      <c r="B75" s="145" t="str">
        <f>+CEVICHES!B6</f>
        <v>CHEVICHE PARRILLADO</v>
      </c>
      <c r="C75" s="210" t="s">
        <v>200</v>
      </c>
      <c r="D75" s="171">
        <f>+CEVICHES!K9</f>
        <v>24518.676136256407</v>
      </c>
      <c r="E75" s="147">
        <f>+CEVICHES!K10</f>
        <v>79000</v>
      </c>
      <c r="F75" s="147">
        <f>+E75/1.08*0.08</f>
        <v>5851.8518518518522</v>
      </c>
      <c r="G75" s="148">
        <f>+Tabla551857178[[#This Row],[VENTA]]-Tabla551857178[[#This Row],[ICO 8%]]</f>
        <v>73148.148148148146</v>
      </c>
      <c r="H75" s="149">
        <f>+Tabla551857178[[#This Row],[COSTO]]/Tabla551857178[[#This Row],[BASE]]</f>
        <v>0.33519202819185973</v>
      </c>
      <c r="I75" s="150">
        <f>+Tabla551857178[[#This Row],[BASE]]/Tabla551857178[[#This Row],[COSTO]]</f>
        <v>2.9833645071881376</v>
      </c>
      <c r="J75" s="151">
        <f>+VLOOKUP(Tabla551857178[[#This Row],[CEVICHES]],Tabla77[#All],3,0)</f>
        <v>227</v>
      </c>
      <c r="K75" s="152">
        <f>+D75/(100-70)*100</f>
        <v>81728.920454188017</v>
      </c>
      <c r="L75" s="172">
        <f>+K75/1.08*0.08</f>
        <v>6053.9941077176309</v>
      </c>
      <c r="M75" s="153">
        <f>+Tabla551857178[[#This Row],[PRECIO SUGERIDO]]+Tabla551857178[[#This Row],[ICO2]]</f>
        <v>87782.914561905651</v>
      </c>
      <c r="N75" s="154">
        <v>79000</v>
      </c>
      <c r="O75" s="147">
        <f t="shared" ref="O75:O80" si="21">+N75/1.08*0.08</f>
        <v>5851.8518518518522</v>
      </c>
      <c r="P75" s="171">
        <f>+Tabla551857178[[#This Row],[PRECIO N]]-Tabla551857178[[#This Row],[ICO 8%2]]</f>
        <v>73148.148148148146</v>
      </c>
      <c r="Q75" s="149">
        <f>+Tabla551857178[[#This Row],[COSTO]]/Tabla551857178[[#This Row],[CARTA]]</f>
        <v>0.33519202819185973</v>
      </c>
      <c r="R75" s="173">
        <f>+Tabla551857178[[#This Row],[PRECIO N]]/Tabla551857178[[#This Row],[COSTO]]</f>
        <v>3.2220336677631889</v>
      </c>
    </row>
    <row r="76" spans="1:18" x14ac:dyDescent="0.3">
      <c r="A76" s="162">
        <v>2</v>
      </c>
      <c r="B76" s="145" t="str">
        <f>+CEVICHES!B22</f>
        <v>CEVICHE ROCOTO</v>
      </c>
      <c r="C76" s="210" t="s">
        <v>976</v>
      </c>
      <c r="D76" s="171">
        <f>+CEVICHES!K24</f>
        <v>16550.451892642501</v>
      </c>
      <c r="E76" s="147">
        <f>+CEVICHES!K25</f>
        <v>62000</v>
      </c>
      <c r="F76" s="147">
        <f>+E76/1.08*0.08</f>
        <v>4592.5925925925922</v>
      </c>
      <c r="G76" s="148">
        <f>+Tabla551857178[[#This Row],[VENTA]]-Tabla551857178[[#This Row],[ICO 8%]]</f>
        <v>57407.407407407409</v>
      </c>
      <c r="H76" s="149">
        <f>+Tabla551857178[[#This Row],[COSTO]]/Tabla551857178[[#This Row],[BASE]]</f>
        <v>0.28829819425893388</v>
      </c>
      <c r="I76" s="150">
        <f>+Tabla551857178[[#This Row],[BASE]]/Tabla551857178[[#This Row],[COSTO]]</f>
        <v>3.4686308132122878</v>
      </c>
      <c r="J76" s="151">
        <f>+VLOOKUP(Tabla551857178[[#This Row],[CEVICHES]],Tabla77[#All],3,0)</f>
        <v>229</v>
      </c>
      <c r="K76" s="152">
        <f>+D76/(100-70)*100</f>
        <v>55168.172975474998</v>
      </c>
      <c r="L76" s="172">
        <f>+K76/1.08*0.08</f>
        <v>4086.5313315166663</v>
      </c>
      <c r="M76" s="153">
        <f>+Tabla551857178[[#This Row],[PRECIO SUGERIDO]]+Tabla551857178[[#This Row],[ICO2]]</f>
        <v>59254.704306991662</v>
      </c>
      <c r="N76" s="154"/>
      <c r="O76" s="147">
        <f t="shared" si="21"/>
        <v>0</v>
      </c>
      <c r="P76" s="171">
        <f>+Tabla551857178[[#This Row],[PRECIO N]]-Tabla551857178[[#This Row],[ICO 8%2]]</f>
        <v>0</v>
      </c>
      <c r="Q76" s="149" t="e">
        <f>+Tabla551857178[[#This Row],[COSTO]]/Tabla551857178[[#This Row],[CARTA]]</f>
        <v>#DIV/0!</v>
      </c>
      <c r="R76" s="173">
        <f>+Tabla551857178[[#This Row],[PRECIO N]]/Tabla551857178[[#This Row],[COSTO]]</f>
        <v>0</v>
      </c>
    </row>
    <row r="77" spans="1:18" x14ac:dyDescent="0.3">
      <c r="A77" s="162">
        <v>3</v>
      </c>
      <c r="B77" s="145" t="str">
        <f>+CEVICHES!B61</f>
        <v>MIXTO TRADICIONAL</v>
      </c>
      <c r="C77" s="210" t="s">
        <v>977</v>
      </c>
      <c r="D77" s="171">
        <f>+CEVICHES!K64</f>
        <v>15690.988256233499</v>
      </c>
      <c r="E77" s="147">
        <f>+CEVICHES!K65</f>
        <v>52000</v>
      </c>
      <c r="F77" s="147">
        <f>+E77/1.08*0.08</f>
        <v>3851.8518518518517</v>
      </c>
      <c r="G77" s="148">
        <f>+Tabla551857178[[#This Row],[VENTA]]-Tabla551857178[[#This Row],[ICO 8%]]</f>
        <v>48148.148148148146</v>
      </c>
      <c r="H77" s="149">
        <f>+Tabla551857178[[#This Row],[COSTO]]/Tabla551857178[[#This Row],[BASE]]</f>
        <v>0.32588975609100346</v>
      </c>
      <c r="I77" s="150">
        <f>+Tabla551857178[[#This Row],[BASE]]/Tabla551857178[[#This Row],[COSTO]]</f>
        <v>3.0685223493823286</v>
      </c>
      <c r="J77" s="151">
        <f>+VLOOKUP(Tabla551857178[[#This Row],[CEVICHES]],Tabla77[#All],3,0)</f>
        <v>360</v>
      </c>
      <c r="K77" s="152">
        <f>+D77/(100-70)*100</f>
        <v>52303.294187444997</v>
      </c>
      <c r="L77" s="172">
        <f>+K77/1.08*0.08</f>
        <v>3874.3180879588886</v>
      </c>
      <c r="M77" s="153">
        <f>+Tabla551857178[[#This Row],[PRECIO SUGERIDO]]+Tabla551857178[[#This Row],[ICO2]]</f>
        <v>56177.612275403888</v>
      </c>
      <c r="N77" s="154"/>
      <c r="O77" s="147">
        <f t="shared" si="21"/>
        <v>0</v>
      </c>
      <c r="P77" s="171">
        <f>+Tabla551857178[[#This Row],[PRECIO N]]-Tabla551857178[[#This Row],[ICO 8%2]]</f>
        <v>0</v>
      </c>
      <c r="Q77" s="149" t="e">
        <f>+Tabla551857178[[#This Row],[COSTO]]/Tabla551857178[[#This Row],[CARTA]]</f>
        <v>#DIV/0!</v>
      </c>
      <c r="R77" s="173">
        <f>+Tabla551857178[[#This Row],[PRECIO N]]/Tabla551857178[[#This Row],[COSTO]]</f>
        <v>0</v>
      </c>
    </row>
    <row r="78" spans="1:18" x14ac:dyDescent="0.3">
      <c r="A78" s="162">
        <v>4</v>
      </c>
      <c r="B78" s="145" t="str">
        <f>+CEVICHES!B82</f>
        <v>CEVICHE PERUANO</v>
      </c>
      <c r="C78" s="210" t="s">
        <v>978</v>
      </c>
      <c r="D78" s="171">
        <f>+CEVICHES!K85</f>
        <v>9247.1729066850003</v>
      </c>
      <c r="E78" s="147">
        <f>+CEVICHES!K86</f>
        <v>39900</v>
      </c>
      <c r="F78" s="147">
        <f t="shared" ref="F78" si="22">+E78/1.08*0.08</f>
        <v>2955.5555555555557</v>
      </c>
      <c r="G78" s="148">
        <f>+Tabla551857178[[#This Row],[VENTA]]-Tabla551857178[[#This Row],[ICO 8%]]</f>
        <v>36944.444444444445</v>
      </c>
      <c r="H78" s="149">
        <f>+Tabla551857178[[#This Row],[COSTO]]/Tabla551857178[[#This Row],[BASE]]</f>
        <v>0.25029941702305264</v>
      </c>
      <c r="I78" s="150">
        <f>+Tabla551857178[[#This Row],[BASE]]/Tabla551857178[[#This Row],[COSTO]]</f>
        <v>3.9952150584030317</v>
      </c>
      <c r="J78" s="151">
        <f>+VLOOKUP(Tabla551857178[[#This Row],[CEVICHES]],Tabla77[#All],3,0)</f>
        <v>297</v>
      </c>
      <c r="K78" s="152">
        <f t="shared" ref="K78" si="23">+D78/(100-70)*100</f>
        <v>30823.90968895</v>
      </c>
      <c r="L78" s="172">
        <f t="shared" ref="L78" si="24">+K78/1.08*0.08</f>
        <v>2283.252569551852</v>
      </c>
      <c r="M78" s="153">
        <f>+Tabla551857178[[#This Row],[PRECIO SUGERIDO]]+Tabla551857178[[#This Row],[ICO2]]</f>
        <v>33107.162258501849</v>
      </c>
      <c r="N78" s="154"/>
      <c r="O78" s="147">
        <f t="shared" si="21"/>
        <v>0</v>
      </c>
      <c r="P78" s="171">
        <f>+Tabla551857178[[#This Row],[PRECIO N]]-Tabla551857178[[#This Row],[ICO 8%2]]</f>
        <v>0</v>
      </c>
      <c r="Q78" s="149" t="e">
        <f>+Tabla551857178[[#This Row],[COSTO]]/Tabla551857178[[#This Row],[CARTA]]</f>
        <v>#DIV/0!</v>
      </c>
      <c r="R78" s="173">
        <f>+Tabla551857178[[#This Row],[PRECIO N]]/Tabla551857178[[#This Row],[COSTO]]</f>
        <v>0</v>
      </c>
    </row>
    <row r="79" spans="1:18" x14ac:dyDescent="0.3">
      <c r="A79" s="162">
        <v>5</v>
      </c>
      <c r="B79" s="145" t="str">
        <f>+CEVICHES!B114</f>
        <v>CEVICHE DE CHAMPIÑON</v>
      </c>
      <c r="C79" s="146"/>
      <c r="D79" s="171">
        <f>+CEVICHES!K118</f>
        <v>9003.4438200525001</v>
      </c>
      <c r="E79" s="147">
        <f>+CEVICHES!K119</f>
        <v>39000</v>
      </c>
      <c r="F79" s="147">
        <f>+E79/1.08*0.08</f>
        <v>2888.8888888888887</v>
      </c>
      <c r="G79" s="148">
        <f>+Tabla551857178[[#This Row],[VENTA]]-Tabla551857178[[#This Row],[ICO 8%]]</f>
        <v>36111.111111111109</v>
      </c>
      <c r="H79" s="149">
        <f>+Tabla551857178[[#This Row],[COSTO]]/Tabla551857178[[#This Row],[BASE]]</f>
        <v>0.2493261365553</v>
      </c>
      <c r="I79" s="150">
        <f>+Tabla551857178[[#This Row],[BASE]]/Tabla551857178[[#This Row],[COSTO]]</f>
        <v>4.0108109555461793</v>
      </c>
      <c r="J79" s="151" t="e">
        <f>+VLOOKUP(Tabla551857178[[#This Row],[CEVICHES]],Tabla77[#All],3,0)</f>
        <v>#N/A</v>
      </c>
      <c r="K79" s="152">
        <f>+D79/(100-70)*100</f>
        <v>30011.479400175002</v>
      </c>
      <c r="L79" s="172">
        <f>+K79/1.08*0.08</f>
        <v>2223.0725481611112</v>
      </c>
      <c r="M79" s="153">
        <f>+Tabla551857178[[#This Row],[PRECIO SUGERIDO]]+Tabla551857178[[#This Row],[ICO2]]</f>
        <v>32234.551948336113</v>
      </c>
      <c r="N79" s="154"/>
      <c r="O79" s="147">
        <f t="shared" si="21"/>
        <v>0</v>
      </c>
      <c r="P79" s="171">
        <f>+Tabla551857178[[#This Row],[PRECIO N]]-Tabla551857178[[#This Row],[ICO 8%2]]</f>
        <v>0</v>
      </c>
      <c r="Q79" s="149" t="e">
        <f>+Tabla551857178[[#This Row],[COSTO]]/Tabla551857178[[#This Row],[CARTA]]</f>
        <v>#DIV/0!</v>
      </c>
      <c r="R79" s="173">
        <f>+Tabla551857178[[#This Row],[PRECIO N]]/Tabla551857178[[#This Row],[COSTO]]</f>
        <v>0</v>
      </c>
    </row>
    <row r="80" spans="1:18" x14ac:dyDescent="0.3">
      <c r="A80" s="162">
        <v>6</v>
      </c>
      <c r="B80" s="145" t="str">
        <f>+CEVICHES!B96</f>
        <v>LECHE DE TIGRE 2.0</v>
      </c>
      <c r="C80" s="210" t="s">
        <v>979</v>
      </c>
      <c r="D80" s="171">
        <f>+CEVICHES!K99</f>
        <v>12929.166654389996</v>
      </c>
      <c r="E80" s="147">
        <f>+CEVICHES!K100</f>
        <v>49900</v>
      </c>
      <c r="F80" s="147">
        <f>+E80/1.08*0.08</f>
        <v>3696.2962962962961</v>
      </c>
      <c r="G80" s="148">
        <f>+Tabla551857178[[#This Row],[VENTA]]-Tabla551857178[[#This Row],[ICO 8%]]</f>
        <v>46203.703703703701</v>
      </c>
      <c r="H80" s="149">
        <f>+Tabla551857178[[#This Row],[COSTO]]/Tabla551857178[[#This Row],[BASE]]</f>
        <v>0.27982965905292978</v>
      </c>
      <c r="I80" s="150">
        <f>+Tabla551857178[[#This Row],[BASE]]/Tabla551857178[[#This Row],[COSTO]]</f>
        <v>3.5736026101895439</v>
      </c>
      <c r="J80" s="151">
        <f>+VLOOKUP(Tabla551857178[[#This Row],[CEVICHES]],Tabla77[#All],3,0)</f>
        <v>120</v>
      </c>
      <c r="K80" s="152">
        <f>+D80/(100-70)*100</f>
        <v>43097.222181299985</v>
      </c>
      <c r="L80" s="172">
        <f>+K80/1.08*0.08</f>
        <v>3192.3868282444432</v>
      </c>
      <c r="M80" s="153">
        <f>+Tabla551857178[[#This Row],[PRECIO SUGERIDO]]+Tabla551857178[[#This Row],[ICO2]]</f>
        <v>46289.609009544431</v>
      </c>
      <c r="N80" s="154"/>
      <c r="O80" s="147">
        <f t="shared" si="21"/>
        <v>0</v>
      </c>
      <c r="P80" s="171">
        <f>+Tabla551857178[[#This Row],[PRECIO N]]-Tabla551857178[[#This Row],[ICO 8%2]]</f>
        <v>0</v>
      </c>
      <c r="Q80" s="149" t="e">
        <f>+Tabla551857178[[#This Row],[COSTO]]/Tabla551857178[[#This Row],[CARTA]]</f>
        <v>#DIV/0!</v>
      </c>
      <c r="R80" s="173">
        <f>+Tabla551857178[[#This Row],[PRECIO N]]/Tabla551857178[[#This Row],[COSTO]]</f>
        <v>0</v>
      </c>
    </row>
    <row r="81" spans="1:18" x14ac:dyDescent="0.3">
      <c r="B81" s="155" t="str">
        <f>+CEVICHES!B132</f>
        <v>CEVICHE DE CAMARONES</v>
      </c>
      <c r="C81" s="221"/>
      <c r="D81" s="201">
        <f>+CEVICHES!K135</f>
        <v>9876.2447113470007</v>
      </c>
      <c r="E81" s="202"/>
      <c r="F81" s="202">
        <f>+E81/1.08*0.08</f>
        <v>0</v>
      </c>
      <c r="G81" s="203">
        <f>+Tabla551857178[[#This Row],[VENTA]]-Tabla551857178[[#This Row],[ICO 8%]]</f>
        <v>0</v>
      </c>
      <c r="H81" s="204" t="e">
        <f>+Tabla551857178[[#This Row],[COSTO]]/Tabla551857178[[#This Row],[BASE]]</f>
        <v>#DIV/0!</v>
      </c>
      <c r="I81" s="205">
        <f>+Tabla551857178[[#This Row],[BASE]]/Tabla551857178[[#This Row],[COSTO]]</f>
        <v>0</v>
      </c>
      <c r="J81" s="157">
        <f>+VLOOKUP(Tabla551857178[[#This Row],[CEVICHES]],Tabla77[#All],3,0)</f>
        <v>8</v>
      </c>
      <c r="K81" s="206">
        <f>+D81/(100-70)*100</f>
        <v>32920.81570449</v>
      </c>
      <c r="L81" s="207">
        <f>+K81/1.08*0.08</f>
        <v>2438.5789410733332</v>
      </c>
      <c r="M81" s="208">
        <f>+Tabla551857178[[#This Row],[PRECIO SUGERIDO]]+Tabla551857178[[#This Row],[ICO2]]</f>
        <v>35359.394645563334</v>
      </c>
      <c r="N81" s="209">
        <v>39000</v>
      </c>
      <c r="O81" s="202">
        <f>+N81/1.08*0.08</f>
        <v>2888.8888888888887</v>
      </c>
      <c r="P81" s="201">
        <f>+Tabla551857178[[#This Row],[PRECIO N]]-Tabla551857178[[#This Row],[ICO 8%2]]</f>
        <v>36111.111111111109</v>
      </c>
      <c r="Q81" s="204">
        <f>+Tabla551857178[[#This Row],[COSTO]]/Tabla551857178[[#This Row],[CARTA]]</f>
        <v>0.27349600739114771</v>
      </c>
      <c r="R81" s="175">
        <f>+Tabla551857178[[#This Row],[PRECIO N]]/Tabla551857178[[#This Row],[COSTO]]</f>
        <v>3.9488693465839475</v>
      </c>
    </row>
    <row r="82" spans="1:18" x14ac:dyDescent="0.3">
      <c r="B82" s="155" t="s">
        <v>30</v>
      </c>
      <c r="C82" s="156"/>
      <c r="D82" s="174"/>
      <c r="E82" s="157"/>
      <c r="F82" s="157"/>
      <c r="G82" s="157"/>
      <c r="H82" s="158" t="e">
        <f>SUBTOTAL(101,Tabla551857178[%])</f>
        <v>#DIV/0!</v>
      </c>
      <c r="I82" s="157"/>
      <c r="J82" s="157"/>
      <c r="K82" s="159"/>
      <c r="L82" s="174"/>
      <c r="M82" s="157"/>
      <c r="N82" s="160"/>
      <c r="O82" s="157"/>
      <c r="P82" s="174"/>
      <c r="Q82" s="157"/>
      <c r="R82" s="175">
        <f>SUBTOTAL(109,Tabla551857178[RATION])</f>
        <v>7.170903014347136</v>
      </c>
    </row>
    <row r="83" spans="1:18" x14ac:dyDescent="0.3">
      <c r="B83" s="27"/>
      <c r="C83" s="27"/>
      <c r="D83" s="162"/>
      <c r="E83" s="126"/>
      <c r="F83" s="126"/>
      <c r="G83" s="126"/>
      <c r="H83" s="131"/>
      <c r="I83" s="126"/>
      <c r="J83" s="126"/>
      <c r="K83" s="93"/>
      <c r="L83" s="162"/>
      <c r="M83" s="126"/>
      <c r="N83" s="132"/>
      <c r="O83" s="126"/>
      <c r="P83" s="162"/>
      <c r="Q83" s="126"/>
      <c r="R83" s="182"/>
    </row>
    <row r="84" spans="1:18" x14ac:dyDescent="0.3">
      <c r="B84" s="27"/>
      <c r="C84" s="27"/>
      <c r="D84" s="162"/>
      <c r="E84" s="126"/>
      <c r="F84" s="126"/>
      <c r="G84" s="126"/>
      <c r="H84" s="131"/>
      <c r="I84" s="126"/>
      <c r="J84" s="126"/>
      <c r="K84" s="93"/>
      <c r="L84" s="162"/>
      <c r="M84" s="126"/>
      <c r="N84" s="132"/>
      <c r="O84" s="126"/>
      <c r="P84" s="162"/>
      <c r="Q84" s="126"/>
      <c r="R84" s="182"/>
    </row>
    <row r="85" spans="1:18" x14ac:dyDescent="0.3">
      <c r="B85" s="27"/>
      <c r="C85" s="27"/>
      <c r="D85" s="162"/>
      <c r="E85" s="126"/>
      <c r="F85" s="126"/>
      <c r="G85" s="126"/>
      <c r="H85" s="131"/>
      <c r="I85" s="126"/>
      <c r="J85" s="126"/>
      <c r="K85" s="93"/>
      <c r="L85" s="162"/>
      <c r="M85" s="126"/>
      <c r="N85" s="132"/>
      <c r="O85" s="126"/>
      <c r="P85" s="162"/>
      <c r="Q85" s="126"/>
      <c r="R85" s="182"/>
    </row>
    <row r="86" spans="1:18" x14ac:dyDescent="0.3">
      <c r="B86" s="116"/>
      <c r="C86" s="59"/>
      <c r="D86" s="137"/>
      <c r="E86" s="117" t="s">
        <v>21</v>
      </c>
      <c r="F86" s="116"/>
      <c r="G86" s="118"/>
      <c r="H86" s="116"/>
      <c r="I86" s="116"/>
      <c r="J86" s="93"/>
      <c r="K86" s="278" t="s">
        <v>25</v>
      </c>
      <c r="L86" s="278"/>
      <c r="M86" s="278"/>
      <c r="N86" s="59"/>
      <c r="O86" s="59"/>
      <c r="P86" s="118"/>
    </row>
    <row r="87" spans="1:18" x14ac:dyDescent="0.3">
      <c r="B87" s="176" t="s">
        <v>147</v>
      </c>
      <c r="C87" s="140" t="s">
        <v>111</v>
      </c>
      <c r="D87" s="169" t="s">
        <v>7</v>
      </c>
      <c r="E87" s="141" t="s">
        <v>16</v>
      </c>
      <c r="F87" s="142" t="s">
        <v>29</v>
      </c>
      <c r="G87" s="140" t="s">
        <v>22</v>
      </c>
      <c r="H87" s="143" t="s">
        <v>17</v>
      </c>
      <c r="I87" s="140" t="s">
        <v>18</v>
      </c>
      <c r="J87" s="140" t="s">
        <v>19</v>
      </c>
      <c r="K87" s="140" t="s">
        <v>23</v>
      </c>
      <c r="L87" s="169" t="s">
        <v>28</v>
      </c>
      <c r="M87" s="140" t="s">
        <v>24</v>
      </c>
      <c r="N87" s="161" t="s">
        <v>26</v>
      </c>
      <c r="O87" s="169" t="s">
        <v>351</v>
      </c>
      <c r="P87" s="169" t="s">
        <v>21</v>
      </c>
      <c r="Q87" s="143" t="s">
        <v>27</v>
      </c>
      <c r="R87" s="170" t="s">
        <v>20</v>
      </c>
    </row>
    <row r="88" spans="1:18" x14ac:dyDescent="0.3">
      <c r="A88" s="162">
        <v>1</v>
      </c>
      <c r="B88" s="145" t="str">
        <f>+CAUSAS!B49</f>
        <v>CAUSA ACEVICHADA</v>
      </c>
      <c r="C88" s="210" t="s">
        <v>203</v>
      </c>
      <c r="D88" s="171">
        <f>+CAUSAS!K52</f>
        <v>5023.5549000000001</v>
      </c>
      <c r="E88" s="183" t="e">
        <f>+CAUSAS!#REF!</f>
        <v>#REF!</v>
      </c>
      <c r="F88" s="147" t="e">
        <f t="shared" ref="F88:F89" si="25">+E88/1.08*0.08</f>
        <v>#REF!</v>
      </c>
      <c r="G88" s="148" t="e">
        <f>+Tabla5518100179[[#This Row],[VENTA]]-Tabla5518100179[[#This Row],[ICO 8%]]</f>
        <v>#REF!</v>
      </c>
      <c r="H88" s="149" t="e">
        <f>+Tabla5518100179[[#This Row],[COSTO]]/Tabla5518100179[[#This Row],[BASE]]</f>
        <v>#REF!</v>
      </c>
      <c r="I88" s="150" t="e">
        <f>+Tabla5518100179[[#This Row],[BASE]]/Tabla5518100179[[#This Row],[COSTO]]</f>
        <v>#REF!</v>
      </c>
      <c r="J88" s="151" t="e">
        <f>+VLOOKUP(Tabla5518100179[[#This Row],[CAUSAS]],Tabla77[#All],3,0)</f>
        <v>#N/A</v>
      </c>
      <c r="K88" s="152">
        <f t="shared" ref="K88:K89" si="26">+D88/(100-70)*100</f>
        <v>16745.183000000001</v>
      </c>
      <c r="L88" s="172">
        <f t="shared" ref="L88:L89" si="27">+K88/1.08*0.08</f>
        <v>1240.383925925926</v>
      </c>
      <c r="M88" s="153">
        <f>+Tabla5518100179[[#This Row],[PRECIO SUGERIDO]]+Tabla5518100179[[#This Row],[ICO2]]</f>
        <v>17985.566925925927</v>
      </c>
      <c r="N88" s="154">
        <v>45900</v>
      </c>
      <c r="O88" s="147">
        <f t="shared" ref="O88:O89" si="28">+N88/1.08*0.08</f>
        <v>3400</v>
      </c>
      <c r="P88" s="171">
        <f>+Tabla5518100179[[#This Row],[PRECIO N]]-Tabla5518100179[[#This Row],[ICO 8%2]]</f>
        <v>42500</v>
      </c>
      <c r="Q88" s="149">
        <f>+Tabla5518100179[[#This Row],[COSTO]]/Tabla5518100179[[#This Row],[CARTA]]</f>
        <v>0.11820129176470588</v>
      </c>
      <c r="R88" s="173">
        <f>+Tabla5518100179[[#This Row],[PRECIO N]]/Tabla5518100179[[#This Row],[COSTO]]</f>
        <v>9.1369559831027232</v>
      </c>
    </row>
    <row r="89" spans="1:18" x14ac:dyDescent="0.3">
      <c r="A89" s="162">
        <v>2</v>
      </c>
      <c r="B89" s="145" t="s">
        <v>680</v>
      </c>
      <c r="C89" s="146"/>
      <c r="D89" s="171">
        <f>+CAUSAS!K10</f>
        <v>5023.5549000000001</v>
      </c>
      <c r="E89" s="147">
        <f>+CAUSAS!K11</f>
        <v>37000</v>
      </c>
      <c r="F89" s="147">
        <f t="shared" si="25"/>
        <v>2740.7407407407404</v>
      </c>
      <c r="G89" s="148">
        <f>+Tabla5518100179[[#This Row],[VENTA]]-Tabla5518100179[[#This Row],[ICO 8%]]</f>
        <v>34259.259259259263</v>
      </c>
      <c r="H89" s="149">
        <f>+Tabla5518100179[[#This Row],[COSTO]]/Tabla5518100179[[#This Row],[BASE]]</f>
        <v>0.14663349437837836</v>
      </c>
      <c r="I89" s="150">
        <f>+Tabla5518100179[[#This Row],[BASE]]/Tabla5518100179[[#This Row],[COSTO]]</f>
        <v>6.8197242672234477</v>
      </c>
      <c r="J89" s="151" t="e">
        <f>+VLOOKUP(Tabla5518100179[[#This Row],[CAUSAS]],Tabla77[#All],3,0)</f>
        <v>#N/A</v>
      </c>
      <c r="K89" s="152">
        <f t="shared" si="26"/>
        <v>16745.183000000001</v>
      </c>
      <c r="L89" s="172">
        <f t="shared" si="27"/>
        <v>1240.383925925926</v>
      </c>
      <c r="M89" s="153">
        <f>+Tabla5518100179[[#This Row],[PRECIO SUGERIDO]]+Tabla5518100179[[#This Row],[ICO2]]</f>
        <v>17985.566925925927</v>
      </c>
      <c r="N89" s="154">
        <v>40900</v>
      </c>
      <c r="O89" s="147">
        <f t="shared" si="28"/>
        <v>3029.6296296296291</v>
      </c>
      <c r="P89" s="171">
        <f>+Tabla5518100179[[#This Row],[PRECIO N]]-Tabla5518100179[[#This Row],[ICO 8%2]]</f>
        <v>37870.370370370372</v>
      </c>
      <c r="Q89" s="149">
        <f>+Tabla5518100179[[#This Row],[COSTO]]/Tabla5518100179[[#This Row],[CARTA]]</f>
        <v>0.13265132743276284</v>
      </c>
      <c r="R89" s="173">
        <f>+Tabla5518100179[[#This Row],[PRECIO N]]/Tabla5518100179[[#This Row],[COSTO]]</f>
        <v>8.1416448738322735</v>
      </c>
    </row>
    <row r="90" spans="1:18" x14ac:dyDescent="0.3">
      <c r="A90" s="162">
        <v>3</v>
      </c>
      <c r="B90" s="155" t="str">
        <f>+CAUSAS!B20</f>
        <v>CAUSA DE ATUN</v>
      </c>
      <c r="C90" s="156"/>
      <c r="D90" s="201">
        <f>+CAUSAS!K23</f>
        <v>4214.7778727249997</v>
      </c>
      <c r="E90" s="202">
        <f>+CAUSAS!K24</f>
        <v>37000</v>
      </c>
      <c r="F90" s="202">
        <f>+E90/1.08*0.08</f>
        <v>2740.7407407407404</v>
      </c>
      <c r="G90" s="203">
        <f>+Tabla5518100179[[#This Row],[VENTA]]-Tabla5518100179[[#This Row],[ICO 8%]]</f>
        <v>34259.259259259263</v>
      </c>
      <c r="H90" s="204">
        <f>+Tabla5518100179[[#This Row],[COSTO]]/Tabla5518100179[[#This Row],[BASE]]</f>
        <v>0.12302594871737836</v>
      </c>
      <c r="I90" s="205">
        <f>+Tabla5518100179[[#This Row],[BASE]]/Tabla5518100179[[#This Row],[COSTO]]</f>
        <v>8.1283664984957955</v>
      </c>
      <c r="J90" s="157" t="e">
        <f>+VLOOKUP(Tabla5518100179[[#This Row],[CAUSAS]],Tabla77[#All],3,0)</f>
        <v>#N/A</v>
      </c>
      <c r="K90" s="206">
        <f>+D90/(100-70)*100</f>
        <v>14049.25957575</v>
      </c>
      <c r="L90" s="207">
        <f>+K90/1.08*0.08</f>
        <v>1040.6858944999999</v>
      </c>
      <c r="M90" s="208">
        <f>+Tabla5518100179[[#This Row],[PRECIO SUGERIDO]]+Tabla5518100179[[#This Row],[ICO2]]</f>
        <v>15089.945470250001</v>
      </c>
      <c r="N90" s="154">
        <v>40900</v>
      </c>
      <c r="O90" s="202">
        <f>+N90/1.08*0.08</f>
        <v>3029.6296296296291</v>
      </c>
      <c r="P90" s="201">
        <f>+Tabla5518100179[[#This Row],[PRECIO N]]-Tabla5518100179[[#This Row],[ICO 8%2]]</f>
        <v>37870.370370370372</v>
      </c>
      <c r="Q90" s="204">
        <f>+Tabla5518100179[[#This Row],[COSTO]]/Tabla5518100179[[#This Row],[CARTA]]</f>
        <v>0.11129486803283617</v>
      </c>
      <c r="R90" s="175">
        <f>+Tabla5518100179[[#This Row],[PRECIO N]]/Tabla5518100179[[#This Row],[COSTO]]</f>
        <v>9.7039514857177362</v>
      </c>
    </row>
    <row r="91" spans="1:18" x14ac:dyDescent="0.3">
      <c r="A91" s="162">
        <v>4</v>
      </c>
      <c r="B91" s="155" t="str">
        <f>+CAUSAS!B35</f>
        <v>CAUSA DE CAMARONES</v>
      </c>
      <c r="C91" s="156"/>
      <c r="D91" s="201">
        <f>+CAUSAS!K38</f>
        <v>9143.5499999549993</v>
      </c>
      <c r="E91" s="202">
        <f>+CAUSAS!K39</f>
        <v>37000</v>
      </c>
      <c r="F91" s="202">
        <f>+E91/1.08*0.08</f>
        <v>2740.7407407407404</v>
      </c>
      <c r="G91" s="203">
        <f>+Tabla5518100179[[#This Row],[VENTA]]-Tabla5518100179[[#This Row],[ICO 8%]]</f>
        <v>34259.259259259263</v>
      </c>
      <c r="H91" s="204">
        <f>+Tabla5518100179[[#This Row],[COSTO]]/Tabla5518100179[[#This Row],[BASE]]</f>
        <v>0.26689281080949723</v>
      </c>
      <c r="I91" s="205">
        <f>+Tabla5518100179[[#This Row],[BASE]]/Tabla5518100179[[#This Row],[COSTO]]</f>
        <v>3.7468225426041166</v>
      </c>
      <c r="J91" s="157" t="e">
        <f>+VLOOKUP(Tabla5518100179[[#This Row],[CAUSAS]],Tabla77[#All],3,0)</f>
        <v>#N/A</v>
      </c>
      <c r="K91" s="206">
        <f>+D91/(100-70)*100</f>
        <v>30478.499999849999</v>
      </c>
      <c r="L91" s="207">
        <f>+K91/1.08*0.08</f>
        <v>2257.6666666555552</v>
      </c>
      <c r="M91" s="208">
        <f>+Tabla5518100179[[#This Row],[PRECIO SUGERIDO]]+Tabla5518100179[[#This Row],[ICO2]]</f>
        <v>32736.166666505553</v>
      </c>
      <c r="N91" s="154">
        <v>40900</v>
      </c>
      <c r="O91" s="202">
        <f>+N91/1.08*0.08</f>
        <v>3029.6296296296291</v>
      </c>
      <c r="P91" s="201">
        <f>+Tabla5518100179[[#This Row],[PRECIO N]]-Tabla5518100179[[#This Row],[ICO 8%2]]</f>
        <v>37870.370370370372</v>
      </c>
      <c r="Q91" s="204">
        <f>+Tabla5518100179[[#This Row],[COSTO]]/Tabla5518100179[[#This Row],[CARTA]]</f>
        <v>0.2414433740819413</v>
      </c>
      <c r="R91" s="175">
        <f>+Tabla5518100179[[#This Row],[PRECIO N]]/Tabla5518100179[[#This Row],[COSTO]]</f>
        <v>4.4730985230245688</v>
      </c>
    </row>
    <row r="92" spans="1:18" x14ac:dyDescent="0.3">
      <c r="B92" s="155" t="str">
        <f>+CAUSAS!B69</f>
        <v>CAUSA DE SALMON ACEVICHADA</v>
      </c>
      <c r="C92" s="156"/>
      <c r="D92" s="201">
        <f>+CAUSAS!K72</f>
        <v>7822.0197269655</v>
      </c>
      <c r="E92" s="202"/>
      <c r="F92" s="202">
        <f>+E92/1.08*0.08</f>
        <v>0</v>
      </c>
      <c r="G92" s="203">
        <f>+Tabla5518100179[[#This Row],[VENTA]]-Tabla5518100179[[#This Row],[ICO 8%]]</f>
        <v>0</v>
      </c>
      <c r="H92" s="204" t="e">
        <f>+Tabla5518100179[[#This Row],[COSTO]]/Tabla5518100179[[#This Row],[BASE]]</f>
        <v>#DIV/0!</v>
      </c>
      <c r="I92" s="205">
        <f>+Tabla5518100179[[#This Row],[BASE]]/Tabla5518100179[[#This Row],[COSTO]]</f>
        <v>0</v>
      </c>
      <c r="J92" s="157" t="e">
        <f>+VLOOKUP(Tabla5518100179[[#This Row],[CAUSAS]],Tabla77[#All],3,0)</f>
        <v>#N/A</v>
      </c>
      <c r="K92" s="206">
        <f>+D92/(100-70)*100</f>
        <v>26073.399089884999</v>
      </c>
      <c r="L92" s="207">
        <f>+K92/1.08*0.08</f>
        <v>1931.3628955470369</v>
      </c>
      <c r="M92" s="208">
        <f>+Tabla5518100179[[#This Row],[PRECIO SUGERIDO]]+Tabla5518100179[[#This Row],[ICO2]]</f>
        <v>28004.761985432036</v>
      </c>
      <c r="N92" s="209">
        <v>42500</v>
      </c>
      <c r="O92" s="202">
        <f>+N92/1.08*0.08</f>
        <v>3148.1481481481478</v>
      </c>
      <c r="P92" s="201">
        <f>+Tabla5518100179[[#This Row],[PRECIO N]]-Tabla5518100179[[#This Row],[ICO 8%2]]</f>
        <v>39351.851851851854</v>
      </c>
      <c r="Q92" s="204">
        <f>+Tabla5518100179[[#This Row],[COSTO]]/Tabla5518100179[[#This Row],[CARTA]]</f>
        <v>0.19877132482641741</v>
      </c>
      <c r="R92" s="175">
        <f>+Tabla5518100179[[#This Row],[PRECIO N]]/Tabla5518100179[[#This Row],[COSTO]]</f>
        <v>5.4333792912188921</v>
      </c>
    </row>
    <row r="93" spans="1:18" x14ac:dyDescent="0.3">
      <c r="B93" s="155" t="s">
        <v>30</v>
      </c>
      <c r="C93" s="156"/>
      <c r="D93" s="174"/>
      <c r="E93" s="157"/>
      <c r="F93" s="157"/>
      <c r="G93" s="157"/>
      <c r="H93" s="158" t="e">
        <f>SUBTOTAL(101,Tabla5518100179[%])</f>
        <v>#REF!</v>
      </c>
      <c r="I93" s="157"/>
      <c r="J93" s="157"/>
      <c r="K93" s="159"/>
      <c r="L93" s="174"/>
      <c r="M93" s="157"/>
      <c r="N93" s="160"/>
      <c r="O93" s="157"/>
      <c r="P93" s="174"/>
      <c r="Q93" s="157"/>
      <c r="R93" s="175">
        <f>SUBTOTAL(109,Tabla5518100179[RATION])</f>
        <v>36.88903015689619</v>
      </c>
    </row>
    <row r="94" spans="1:18" x14ac:dyDescent="0.3">
      <c r="B94" s="27"/>
      <c r="C94" s="27"/>
      <c r="D94" s="162"/>
      <c r="E94" s="126"/>
      <c r="F94" s="126"/>
      <c r="G94" s="126"/>
      <c r="H94" s="131"/>
      <c r="I94" s="126"/>
      <c r="J94" s="126"/>
      <c r="K94" s="93"/>
      <c r="L94" s="162"/>
      <c r="M94" s="126"/>
      <c r="N94" s="132"/>
      <c r="O94" s="126"/>
      <c r="P94" s="162"/>
      <c r="Q94" s="126"/>
      <c r="R94" s="182"/>
    </row>
    <row r="95" spans="1:18" x14ac:dyDescent="0.3">
      <c r="B95" s="27"/>
      <c r="C95" s="27"/>
      <c r="D95" s="162"/>
      <c r="E95" s="126"/>
      <c r="F95" s="126"/>
      <c r="G95" s="126"/>
      <c r="H95" s="131"/>
      <c r="I95" s="126"/>
      <c r="J95" s="126"/>
      <c r="K95" s="93"/>
      <c r="L95" s="162"/>
      <c r="M95" s="126"/>
      <c r="N95" s="132"/>
      <c r="O95" s="126"/>
      <c r="P95" s="162"/>
      <c r="Q95" s="126"/>
      <c r="R95" s="182"/>
    </row>
    <row r="96" spans="1:18" x14ac:dyDescent="0.3">
      <c r="B96" s="116"/>
      <c r="C96" s="59"/>
      <c r="D96" s="137"/>
      <c r="E96" s="117" t="s">
        <v>21</v>
      </c>
      <c r="F96" s="116"/>
      <c r="G96" s="118"/>
      <c r="H96" s="116"/>
      <c r="I96" s="116"/>
      <c r="J96" s="93"/>
      <c r="K96" s="278" t="s">
        <v>25</v>
      </c>
      <c r="L96" s="278"/>
      <c r="M96" s="278"/>
      <c r="N96" s="59"/>
      <c r="O96" s="59"/>
      <c r="P96" s="118"/>
    </row>
    <row r="97" spans="1:18" x14ac:dyDescent="0.3">
      <c r="B97" s="176" t="s">
        <v>126</v>
      </c>
      <c r="C97" s="140" t="s">
        <v>111</v>
      </c>
      <c r="D97" s="169" t="s">
        <v>7</v>
      </c>
      <c r="E97" s="141" t="s">
        <v>16</v>
      </c>
      <c r="F97" s="142" t="s">
        <v>29</v>
      </c>
      <c r="G97" s="140" t="s">
        <v>22</v>
      </c>
      <c r="H97" s="143" t="s">
        <v>17</v>
      </c>
      <c r="I97" s="140" t="s">
        <v>18</v>
      </c>
      <c r="J97" s="140" t="s">
        <v>19</v>
      </c>
      <c r="K97" s="140" t="s">
        <v>23</v>
      </c>
      <c r="L97" s="169" t="s">
        <v>28</v>
      </c>
      <c r="M97" s="140" t="s">
        <v>24</v>
      </c>
      <c r="N97" s="161" t="s">
        <v>26</v>
      </c>
      <c r="O97" s="169" t="s">
        <v>351</v>
      </c>
      <c r="P97" s="169" t="s">
        <v>21</v>
      </c>
      <c r="Q97" s="143" t="s">
        <v>27</v>
      </c>
      <c r="R97" s="170" t="s">
        <v>20</v>
      </c>
    </row>
    <row r="98" spans="1:18" x14ac:dyDescent="0.3">
      <c r="A98" s="162">
        <v>1</v>
      </c>
      <c r="B98" s="145" t="str">
        <f>+'PESCADOS Y MARISCOS'!B7</f>
        <v>PESCADO MACHO</v>
      </c>
      <c r="C98" s="210" t="s">
        <v>980</v>
      </c>
      <c r="D98" s="171">
        <f>+'PESCADOS Y MARISCOS'!K10</f>
        <v>23110.948398048</v>
      </c>
      <c r="E98" s="147">
        <f>+'PESCADOS Y MARISCOS'!K11</f>
        <v>69900</v>
      </c>
      <c r="F98" s="147">
        <f t="shared" ref="F98:F102" si="29">+E98/1.08*0.08</f>
        <v>5177.7777777777774</v>
      </c>
      <c r="G98" s="148">
        <f>+Tabla5518110158[[#This Row],[VENTA]]-Tabla5518110158[[#This Row],[ICO 8%]]</f>
        <v>64722.222222222219</v>
      </c>
      <c r="H98" s="149">
        <f>+Tabla5518110158[[#This Row],[COSTO]]/Tabla5518110158[[#This Row],[BASE]]</f>
        <v>0.35707903104280175</v>
      </c>
      <c r="I98" s="150">
        <f>+Tabla5518110158[[#This Row],[BASE]]/Tabla5518110158[[#This Row],[COSTO]]</f>
        <v>2.8005004860678411</v>
      </c>
      <c r="J98" s="151">
        <f>+VLOOKUP(Tabla5518110158[[#This Row],[PESCADOS Y MARISCOS]],Tabla77[#All],3,0)</f>
        <v>242</v>
      </c>
      <c r="K98" s="152">
        <f t="shared" ref="K98:K102" si="30">+D98/(100-70)*100</f>
        <v>77036.494660159995</v>
      </c>
      <c r="L98" s="172">
        <f t="shared" ref="L98:L102" si="31">+K98/1.08*0.08</f>
        <v>5706.4070118637037</v>
      </c>
      <c r="M98" s="153">
        <f>+Tabla5518110158[[#This Row],[PRECIO SUGERIDO]]+Tabla5518110158[[#This Row],[ICO2]]</f>
        <v>82742.901672023698</v>
      </c>
      <c r="N98" s="154"/>
      <c r="O98" s="147">
        <f t="shared" ref="O98:O102" si="32">+N98/1.08*0.08</f>
        <v>0</v>
      </c>
      <c r="P98" s="171">
        <f>+Tabla5518110158[[#This Row],[PRECIO N]]-Tabla5518110158[[#This Row],[ICO 8%2]]</f>
        <v>0</v>
      </c>
      <c r="Q98" s="149" t="e">
        <f>+Tabla5518110158[[#This Row],[COSTO]]/Tabla5518110158[[#This Row],[CARTA]]</f>
        <v>#DIV/0!</v>
      </c>
      <c r="R98" s="173">
        <f>+Tabla5518110158[[#This Row],[PRECIO N]]/Tabla5518110158[[#This Row],[COSTO]]</f>
        <v>0</v>
      </c>
    </row>
    <row r="99" spans="1:18" x14ac:dyDescent="0.3">
      <c r="A99" s="162">
        <v>2</v>
      </c>
      <c r="B99" s="145" t="str">
        <f>+'PESCADOS Y MARISCOS'!B33</f>
        <v xml:space="preserve">SALMON MALIBU </v>
      </c>
      <c r="C99" s="210" t="s">
        <v>981</v>
      </c>
      <c r="D99" s="171" t="e">
        <f>+'PESCADOS Y MARISCOS'!K36</f>
        <v>#N/A</v>
      </c>
      <c r="E99" s="147">
        <f>+'PESCADOS Y MARISCOS'!K37</f>
        <v>72900</v>
      </c>
      <c r="F99" s="147">
        <f t="shared" si="29"/>
        <v>5400</v>
      </c>
      <c r="G99" s="148">
        <f>+Tabla5518110158[[#This Row],[VENTA]]-Tabla5518110158[[#This Row],[ICO 8%]]</f>
        <v>67500</v>
      </c>
      <c r="H99" s="149" t="e">
        <f>+Tabla5518110158[[#This Row],[COSTO]]/Tabla5518110158[[#This Row],[BASE]]</f>
        <v>#N/A</v>
      </c>
      <c r="I99" s="150" t="e">
        <f>+Tabla5518110158[[#This Row],[BASE]]/Tabla5518110158[[#This Row],[COSTO]]</f>
        <v>#N/A</v>
      </c>
      <c r="J99" s="151">
        <f>+VLOOKUP(Tabla5518110158[[#This Row],[PESCADOS Y MARISCOS]],Tabla77[#All],3,0)</f>
        <v>505</v>
      </c>
      <c r="K99" s="152" t="e">
        <f t="shared" si="30"/>
        <v>#N/A</v>
      </c>
      <c r="L99" s="172" t="e">
        <f t="shared" si="31"/>
        <v>#N/A</v>
      </c>
      <c r="M99" s="153" t="e">
        <f>+Tabla5518110158[[#This Row],[PRECIO SUGERIDO]]+Tabla5518110158[[#This Row],[ICO2]]</f>
        <v>#N/A</v>
      </c>
      <c r="N99" s="154"/>
      <c r="O99" s="147">
        <f t="shared" si="32"/>
        <v>0</v>
      </c>
      <c r="P99" s="171">
        <f>+Tabla5518110158[[#This Row],[PRECIO N]]-Tabla5518110158[[#This Row],[ICO 8%2]]</f>
        <v>0</v>
      </c>
      <c r="Q99" s="149" t="e">
        <f>+Tabla5518110158[[#This Row],[COSTO]]/Tabla5518110158[[#This Row],[CARTA]]</f>
        <v>#N/A</v>
      </c>
      <c r="R99" s="173" t="e">
        <f>+Tabla5518110158[[#This Row],[PRECIO N]]/Tabla5518110158[[#This Row],[COSTO]]</f>
        <v>#N/A</v>
      </c>
    </row>
    <row r="100" spans="1:18" x14ac:dyDescent="0.3">
      <c r="A100" s="162">
        <v>3</v>
      </c>
      <c r="B100" s="145" t="str">
        <f>+'PESCADOS Y MARISCOS'!B54</f>
        <v>ATUN DE LA CASA</v>
      </c>
      <c r="C100" s="210" t="s">
        <v>982</v>
      </c>
      <c r="D100" s="171" t="e">
        <f>+'PESCADOS Y MARISCOS'!K57</f>
        <v>#N/A</v>
      </c>
      <c r="E100" s="147">
        <f>+'PESCADOS Y MARISCOS'!K58</f>
        <v>58900</v>
      </c>
      <c r="F100" s="147">
        <f t="shared" si="29"/>
        <v>4362.9629629629626</v>
      </c>
      <c r="G100" s="148">
        <f>+Tabla5518110158[[#This Row],[VENTA]]-Tabla5518110158[[#This Row],[ICO 8%]]</f>
        <v>54537.037037037036</v>
      </c>
      <c r="H100" s="149" t="e">
        <f>+Tabla5518110158[[#This Row],[COSTO]]/Tabla5518110158[[#This Row],[BASE]]</f>
        <v>#N/A</v>
      </c>
      <c r="I100" s="150" t="e">
        <f>+Tabla5518110158[[#This Row],[BASE]]/Tabla5518110158[[#This Row],[COSTO]]</f>
        <v>#N/A</v>
      </c>
      <c r="J100" s="151">
        <f>+VLOOKUP(Tabla5518110158[[#This Row],[PESCADOS Y MARISCOS]],Tabla77[#All],3,0)</f>
        <v>465</v>
      </c>
      <c r="K100" s="152" t="e">
        <f t="shared" si="30"/>
        <v>#N/A</v>
      </c>
      <c r="L100" s="172" t="e">
        <f t="shared" si="31"/>
        <v>#N/A</v>
      </c>
      <c r="M100" s="153" t="e">
        <f>+Tabla5518110158[[#This Row],[PRECIO SUGERIDO]]+Tabla5518110158[[#This Row],[ICO2]]</f>
        <v>#N/A</v>
      </c>
      <c r="N100" s="154"/>
      <c r="O100" s="147">
        <f t="shared" si="32"/>
        <v>0</v>
      </c>
      <c r="P100" s="171">
        <f>+Tabla5518110158[[#This Row],[PRECIO N]]-Tabla5518110158[[#This Row],[ICO 8%2]]</f>
        <v>0</v>
      </c>
      <c r="Q100" s="149" t="e">
        <f>+Tabla5518110158[[#This Row],[COSTO]]/Tabla5518110158[[#This Row],[CARTA]]</f>
        <v>#N/A</v>
      </c>
      <c r="R100" s="173" t="e">
        <f>+Tabla5518110158[[#This Row],[PRECIO N]]/Tabla5518110158[[#This Row],[COSTO]]</f>
        <v>#N/A</v>
      </c>
    </row>
    <row r="101" spans="1:18" x14ac:dyDescent="0.3">
      <c r="A101" s="162">
        <v>4</v>
      </c>
      <c r="B101" s="145" t="str">
        <f>+'PESCADOS Y MARISCOS'!B73</f>
        <v>PESCADO CHORRILLANA</v>
      </c>
      <c r="C101" s="210" t="s">
        <v>983</v>
      </c>
      <c r="D101" s="171" t="e">
        <f>+'PESCADOS Y MARISCOS'!K76</f>
        <v>#N/A</v>
      </c>
      <c r="E101" s="147">
        <f>+'PESCADOS Y MARISCOS'!K77</f>
        <v>54500</v>
      </c>
      <c r="F101" s="147">
        <f t="shared" si="29"/>
        <v>4037.0370370370365</v>
      </c>
      <c r="G101" s="148">
        <f>+Tabla5518110158[[#This Row],[VENTA]]-Tabla5518110158[[#This Row],[ICO 8%]]</f>
        <v>50462.962962962964</v>
      </c>
      <c r="H101" s="149" t="e">
        <f>+Tabla5518110158[[#This Row],[COSTO]]/Tabla5518110158[[#This Row],[BASE]]</f>
        <v>#N/A</v>
      </c>
      <c r="I101" s="150" t="e">
        <f>+Tabla5518110158[[#This Row],[BASE]]/Tabla5518110158[[#This Row],[COSTO]]</f>
        <v>#N/A</v>
      </c>
      <c r="J101" s="151">
        <f>+VLOOKUP(Tabla5518110158[[#This Row],[PESCADOS Y MARISCOS]],Tabla77[#All],3,0)</f>
        <v>92</v>
      </c>
      <c r="K101" s="152" t="e">
        <f t="shared" si="30"/>
        <v>#N/A</v>
      </c>
      <c r="L101" s="172" t="e">
        <f t="shared" si="31"/>
        <v>#N/A</v>
      </c>
      <c r="M101" s="153" t="e">
        <f>+Tabla5518110158[[#This Row],[PRECIO SUGERIDO]]+Tabla5518110158[[#This Row],[ICO2]]</f>
        <v>#N/A</v>
      </c>
      <c r="N101" s="154"/>
      <c r="O101" s="147">
        <f t="shared" si="32"/>
        <v>0</v>
      </c>
      <c r="P101" s="171">
        <f>+Tabla5518110158[[#This Row],[PRECIO N]]-Tabla5518110158[[#This Row],[ICO 8%2]]</f>
        <v>0</v>
      </c>
      <c r="Q101" s="149" t="e">
        <f>+Tabla5518110158[[#This Row],[COSTO]]/Tabla5518110158[[#This Row],[CARTA]]</f>
        <v>#N/A</v>
      </c>
      <c r="R101" s="173" t="e">
        <f>+Tabla5518110158[[#This Row],[PRECIO N]]/Tabla5518110158[[#This Row],[COSTO]]</f>
        <v>#N/A</v>
      </c>
    </row>
    <row r="102" spans="1:18" x14ac:dyDescent="0.3">
      <c r="A102" s="162">
        <v>5</v>
      </c>
      <c r="B102" s="145" t="str">
        <f>+'PESCADOS Y MARISCOS'!B96</f>
        <v>TRILOGÃA PERÃš</v>
      </c>
      <c r="C102" s="210" t="s">
        <v>993</v>
      </c>
      <c r="D102" s="171">
        <f>+'PESCADOS Y MARISCOS'!K99</f>
        <v>15708.337424219997</v>
      </c>
      <c r="E102" s="147">
        <f>+'PESCADOS Y MARISCOS'!K100</f>
        <v>62000</v>
      </c>
      <c r="F102" s="147">
        <f t="shared" si="29"/>
        <v>4592.5925925925922</v>
      </c>
      <c r="G102" s="148">
        <f>+Tabla5518110158[[#This Row],[VENTA]]-Tabla5518110158[[#This Row],[ICO 8%]]</f>
        <v>57407.407407407409</v>
      </c>
      <c r="H102" s="149">
        <f>+Tabla5518110158[[#This Row],[COSTO]]/Tabla5518110158[[#This Row],[BASE]]</f>
        <v>0.27362910351867092</v>
      </c>
      <c r="I102" s="150">
        <f>+Tabla5518110158[[#This Row],[BASE]]/Tabla5518110158[[#This Row],[COSTO]]</f>
        <v>3.6545820131730453</v>
      </c>
      <c r="J102" s="151">
        <f>+VLOOKUP(Tabla5518110158[[#This Row],[PESCADOS Y MARISCOS]],Tabla77[#All],3,0)</f>
        <v>490</v>
      </c>
      <c r="K102" s="152">
        <f t="shared" si="30"/>
        <v>52361.12474739999</v>
      </c>
      <c r="L102" s="172">
        <f t="shared" si="31"/>
        <v>3878.6018331407395</v>
      </c>
      <c r="M102" s="153">
        <f>+Tabla5518110158[[#This Row],[PRECIO SUGERIDO]]+Tabla5518110158[[#This Row],[ICO2]]</f>
        <v>56239.72658054073</v>
      </c>
      <c r="N102" s="154"/>
      <c r="O102" s="147">
        <f t="shared" si="32"/>
        <v>0</v>
      </c>
      <c r="P102" s="171">
        <f>+Tabla5518110158[[#This Row],[PRECIO N]]-Tabla5518110158[[#This Row],[ICO 8%2]]</f>
        <v>0</v>
      </c>
      <c r="Q102" s="149" t="e">
        <f>+Tabla5518110158[[#This Row],[COSTO]]/Tabla5518110158[[#This Row],[CARTA]]</f>
        <v>#DIV/0!</v>
      </c>
      <c r="R102" s="173">
        <f>+Tabla5518110158[[#This Row],[PRECIO N]]/Tabla5518110158[[#This Row],[COSTO]]</f>
        <v>0</v>
      </c>
    </row>
    <row r="103" spans="1:18" x14ac:dyDescent="0.3">
      <c r="B103" s="155" t="s">
        <v>30</v>
      </c>
      <c r="C103" s="156"/>
      <c r="D103" s="174"/>
      <c r="E103" s="157"/>
      <c r="F103" s="157"/>
      <c r="G103" s="157"/>
      <c r="H103" s="158" t="e">
        <f>SUBTOTAL(101,Tabla5518110158[%])</f>
        <v>#N/A</v>
      </c>
      <c r="I103" s="157"/>
      <c r="J103" s="157"/>
      <c r="K103" s="159"/>
      <c r="L103" s="174"/>
      <c r="M103" s="157"/>
      <c r="N103" s="160"/>
      <c r="O103" s="157"/>
      <c r="P103" s="174"/>
      <c r="Q103" s="157"/>
      <c r="R103" s="175" t="e">
        <f>SUBTOTAL(109,Tabla5518110158[RATION])</f>
        <v>#N/A</v>
      </c>
    </row>
    <row r="105" spans="1:18" ht="14.4" customHeight="1" x14ac:dyDescent="0.3">
      <c r="B105" s="116"/>
      <c r="C105" s="59"/>
      <c r="D105" s="137"/>
      <c r="E105" s="117" t="s">
        <v>21</v>
      </c>
      <c r="F105" s="116"/>
      <c r="G105" s="118"/>
      <c r="H105" s="116"/>
      <c r="I105" s="116"/>
      <c r="J105" s="93"/>
      <c r="K105" s="278" t="s">
        <v>25</v>
      </c>
      <c r="L105" s="278"/>
      <c r="M105" s="278"/>
      <c r="N105" s="59"/>
      <c r="O105" s="59"/>
      <c r="P105" s="118"/>
    </row>
    <row r="106" spans="1:18" x14ac:dyDescent="0.3">
      <c r="B106" s="176" t="s">
        <v>110</v>
      </c>
      <c r="C106" s="140" t="s">
        <v>111</v>
      </c>
      <c r="D106" s="169" t="s">
        <v>7</v>
      </c>
      <c r="E106" s="141" t="s">
        <v>16</v>
      </c>
      <c r="F106" s="142" t="s">
        <v>29</v>
      </c>
      <c r="G106" s="140" t="s">
        <v>22</v>
      </c>
      <c r="H106" s="143" t="s">
        <v>17</v>
      </c>
      <c r="I106" s="140" t="s">
        <v>18</v>
      </c>
      <c r="J106" s="140" t="s">
        <v>19</v>
      </c>
      <c r="K106" s="140" t="s">
        <v>23</v>
      </c>
      <c r="L106" s="169" t="s">
        <v>28</v>
      </c>
      <c r="M106" s="140" t="s">
        <v>24</v>
      </c>
      <c r="N106" s="161" t="s">
        <v>26</v>
      </c>
      <c r="O106" s="169" t="s">
        <v>351</v>
      </c>
      <c r="P106" s="169" t="s">
        <v>21</v>
      </c>
      <c r="Q106" s="143" t="s">
        <v>27</v>
      </c>
      <c r="R106" s="170" t="s">
        <v>20</v>
      </c>
    </row>
    <row r="107" spans="1:18" x14ac:dyDescent="0.3">
      <c r="A107" s="126">
        <v>1</v>
      </c>
      <c r="B107" s="145" t="str">
        <f>+ARROCES!B135</f>
        <v xml:space="preserve"> ARROZ CHAUFA SOLOMITO  </v>
      </c>
      <c r="C107" s="146"/>
      <c r="D107" s="171">
        <f>+ARROCES!K138</f>
        <v>21781.998849817501</v>
      </c>
      <c r="E107" s="147">
        <f>+ARROCES!K139</f>
        <v>62000</v>
      </c>
      <c r="F107" s="147">
        <f t="shared" ref="F107:F115" si="33">+E107/1.08*0.08</f>
        <v>4592.5925925925922</v>
      </c>
      <c r="G107" s="148">
        <f>+Tabla55[[#This Row],[VENTA]]-Tabla55[[#This Row],[ICO 8%]]</f>
        <v>57407.407407407409</v>
      </c>
      <c r="H107" s="149">
        <f>+Tabla55[[#This Row],[COSTO]]/Tabla55[[#This Row],[BASE]]</f>
        <v>0.37942836706133709</v>
      </c>
      <c r="I107" s="150">
        <f>+Tabla55[[#This Row],[BASE]]/Tabla55[[#This Row],[COSTO]]</f>
        <v>2.6355435882271379</v>
      </c>
      <c r="J107" s="151">
        <f>+VLOOKUP(Tabla55[[#This Row],[ARROCES]],Tabla77[#All],3,0)</f>
        <v>6</v>
      </c>
      <c r="K107" s="152">
        <f t="shared" ref="K107:K116" si="34">+D107/(100-65)*100</f>
        <v>62234.282428050006</v>
      </c>
      <c r="L107" s="172">
        <f t="shared" ref="L107:L115" si="35">+K107/1.08*0.08</f>
        <v>4609.9468465222226</v>
      </c>
      <c r="M107" s="153">
        <f>+Tabla55[[#This Row],[PRECIO SUGERIDO]]+Tabla55[[#This Row],[ICO2]]</f>
        <v>66844.229274572222</v>
      </c>
      <c r="N107" s="154">
        <v>68000</v>
      </c>
      <c r="O107" s="147">
        <f t="shared" ref="O107:O116" si="36">+N107/1.08*0.08</f>
        <v>5037.0370370370365</v>
      </c>
      <c r="P107" s="171">
        <f>+Tabla55[[#This Row],[PRECIO N]]-Tabla55[[#This Row],[ICO 8%2]]</f>
        <v>62962.962962962964</v>
      </c>
      <c r="Q107" s="149">
        <f>+Tabla55[[#This Row],[COSTO]]/Tabla55[[#This Row],[CARTA]]</f>
        <v>0.34594939349710147</v>
      </c>
      <c r="R107" s="173">
        <f>+Tabla55[[#This Row],[PRECIO N]]/Tabla55[[#This Row],[COSTO]]</f>
        <v>3.121843889022597</v>
      </c>
    </row>
    <row r="108" spans="1:18" x14ac:dyDescent="0.3">
      <c r="A108" s="126">
        <v>2</v>
      </c>
      <c r="B108" s="145" t="str">
        <f>+ARROCES!B152</f>
        <v xml:space="preserve"> ARROZ CHAUFA POLLO  </v>
      </c>
      <c r="C108" s="146"/>
      <c r="D108" s="171">
        <f>+ARROCES!K155</f>
        <v>12271.658132212498</v>
      </c>
      <c r="E108" s="147">
        <f>+ARROCES!K156</f>
        <v>62000</v>
      </c>
      <c r="F108" s="147">
        <f t="shared" si="33"/>
        <v>4592.5925925925922</v>
      </c>
      <c r="G108" s="148">
        <f>+Tabla55[[#This Row],[VENTA]]-Tabla55[[#This Row],[ICO 8%]]</f>
        <v>57407.407407407409</v>
      </c>
      <c r="H108" s="149">
        <f>+Tabla55[[#This Row],[COSTO]]/Tabla55[[#This Row],[BASE]]</f>
        <v>0.21376436746434674</v>
      </c>
      <c r="I108" s="150">
        <f>+Tabla55[[#This Row],[BASE]]/Tabla55[[#This Row],[COSTO]]</f>
        <v>4.6780481324455891</v>
      </c>
      <c r="J108" s="151">
        <f>+VLOOKUP(Tabla55[[#This Row],[ARROCES]],Tabla77[#All],3,0)</f>
        <v>18</v>
      </c>
      <c r="K108" s="152">
        <f t="shared" si="34"/>
        <v>35061.88037775</v>
      </c>
      <c r="L108" s="172">
        <f t="shared" si="35"/>
        <v>2597.1763242777774</v>
      </c>
      <c r="M108" s="153">
        <f>+Tabla55[[#This Row],[PRECIO SUGERIDO]]+Tabla55[[#This Row],[ICO2]]</f>
        <v>37659.056702027774</v>
      </c>
      <c r="N108" s="154"/>
      <c r="O108" s="147">
        <f t="shared" si="36"/>
        <v>0</v>
      </c>
      <c r="P108" s="171">
        <f>+Tabla55[[#This Row],[PRECIO N]]-Tabla55[[#This Row],[ICO 8%2]]</f>
        <v>0</v>
      </c>
      <c r="Q108" s="149" t="e">
        <f>+Tabla55[[#This Row],[COSTO]]/Tabla55[[#This Row],[CARTA]]</f>
        <v>#DIV/0!</v>
      </c>
      <c r="R108" s="173">
        <f>+Tabla55[[#This Row],[PRECIO N]]/Tabla55[[#This Row],[COSTO]]</f>
        <v>0</v>
      </c>
    </row>
    <row r="109" spans="1:18" x14ac:dyDescent="0.3">
      <c r="A109" s="126">
        <v>3</v>
      </c>
      <c r="B109" s="253" t="str">
        <f>+ARROCES!B170</f>
        <v>ARROZ CHAUFA CAMARON</v>
      </c>
      <c r="C109" s="254"/>
      <c r="D109" s="171">
        <f>+ARROCES!K173</f>
        <v>15678.3936321495</v>
      </c>
      <c r="E109" s="147">
        <f>+ARROCES!K174</f>
        <v>62000</v>
      </c>
      <c r="F109" s="147">
        <f t="shared" si="33"/>
        <v>4592.5925925925922</v>
      </c>
      <c r="G109" s="148">
        <f>+Tabla55[[#This Row],[VENTA]]-Tabla55[[#This Row],[ICO 8%]]</f>
        <v>57407.407407407409</v>
      </c>
      <c r="H109" s="149">
        <f>+Tabla55[[#This Row],[COSTO]]/Tabla55[[#This Row],[BASE]]</f>
        <v>0.27310750197937839</v>
      </c>
      <c r="I109" s="150">
        <f>+Tabla55[[#This Row],[BASE]]/Tabla55[[#This Row],[COSTO]]</f>
        <v>3.6615618126649165</v>
      </c>
      <c r="J109" s="151" t="e">
        <f>+VLOOKUP(Tabla55[[#This Row],[ARROCES]],Tabla77[#All],3,0)</f>
        <v>#N/A</v>
      </c>
      <c r="K109" s="152">
        <f t="shared" si="34"/>
        <v>44795.410377569999</v>
      </c>
      <c r="L109" s="172">
        <f t="shared" si="35"/>
        <v>3318.1785464866662</v>
      </c>
      <c r="M109" s="153">
        <f>+Tabla55[[#This Row],[PRECIO SUGERIDO]]+Tabla55[[#This Row],[ICO2]]</f>
        <v>48113.588924056661</v>
      </c>
      <c r="N109" s="154"/>
      <c r="O109" s="147">
        <f t="shared" si="36"/>
        <v>0</v>
      </c>
      <c r="P109" s="171">
        <f>+Tabla55[[#This Row],[PRECIO N]]-Tabla55[[#This Row],[ICO 8%2]]</f>
        <v>0</v>
      </c>
      <c r="Q109" s="149" t="e">
        <f>+Tabla55[[#This Row],[COSTO]]/Tabla55[[#This Row],[CARTA]]</f>
        <v>#DIV/0!</v>
      </c>
      <c r="R109" s="173">
        <f>+Tabla55[[#This Row],[PRECIO N]]/Tabla55[[#This Row],[COSTO]]</f>
        <v>0</v>
      </c>
    </row>
    <row r="110" spans="1:18" x14ac:dyDescent="0.3">
      <c r="A110" s="126">
        <v>4</v>
      </c>
      <c r="B110" s="253" t="str">
        <f>+ARROCES!B203</f>
        <v>ARROZ DE CHANCHO</v>
      </c>
      <c r="C110" s="254" t="s">
        <v>986</v>
      </c>
      <c r="D110" s="171">
        <f>+ARROCES!K206</f>
        <v>17927.627530690501</v>
      </c>
      <c r="E110" s="147">
        <f>+ARROCES!K207</f>
        <v>62000</v>
      </c>
      <c r="F110" s="147">
        <f t="shared" si="33"/>
        <v>4592.5925925925922</v>
      </c>
      <c r="G110" s="148">
        <f>+Tabla55[[#This Row],[VENTA]]-Tabla55[[#This Row],[ICO 8%]]</f>
        <v>57407.407407407409</v>
      </c>
      <c r="H110" s="149">
        <f>+Tabla55[[#This Row],[COSTO]]/Tabla55[[#This Row],[BASE]]</f>
        <v>0.3122877053733184</v>
      </c>
      <c r="I110" s="150">
        <f>+Tabla55[[#This Row],[BASE]]/Tabla55[[#This Row],[COSTO]]</f>
        <v>3.2021753748024406</v>
      </c>
      <c r="J110" s="151">
        <f>+VLOOKUP(Tabla55[[#This Row],[ARROCES]],Tabla77[#All],3,0)</f>
        <v>74</v>
      </c>
      <c r="K110" s="152">
        <f t="shared" si="34"/>
        <v>51221.792944829998</v>
      </c>
      <c r="L110" s="172">
        <f t="shared" si="35"/>
        <v>3794.2068848022218</v>
      </c>
      <c r="M110" s="153">
        <f>+Tabla55[[#This Row],[PRECIO SUGERIDO]]+Tabla55[[#This Row],[ICO2]]</f>
        <v>55015.999829632223</v>
      </c>
      <c r="N110" s="154"/>
      <c r="O110" s="147">
        <f t="shared" si="36"/>
        <v>0</v>
      </c>
      <c r="P110" s="171">
        <f>+Tabla55[[#This Row],[PRECIO N]]-Tabla55[[#This Row],[ICO 8%2]]</f>
        <v>0</v>
      </c>
      <c r="Q110" s="149" t="e">
        <f>+Tabla55[[#This Row],[COSTO]]/Tabla55[[#This Row],[CARTA]]</f>
        <v>#DIV/0!</v>
      </c>
      <c r="R110" s="173">
        <f>+Tabla55[[#This Row],[PRECIO N]]/Tabla55[[#This Row],[COSTO]]</f>
        <v>0</v>
      </c>
    </row>
    <row r="111" spans="1:18" x14ac:dyDescent="0.3">
      <c r="A111" s="126">
        <v>6</v>
      </c>
      <c r="B111" s="253" t="str">
        <f>+ARROCES!B30</f>
        <v>ARROZ PERUANO</v>
      </c>
      <c r="C111" s="254" t="s">
        <v>204</v>
      </c>
      <c r="D111" s="171">
        <f>+ARROCES!K33</f>
        <v>18315.141138850497</v>
      </c>
      <c r="E111" s="147">
        <f>+ARROCES!K34</f>
        <v>64000</v>
      </c>
      <c r="F111" s="147">
        <f t="shared" si="33"/>
        <v>4740.7407407407409</v>
      </c>
      <c r="G111" s="148">
        <f>+Tabla55[[#This Row],[VENTA]]-Tabla55[[#This Row],[ICO 8%]]</f>
        <v>59259.259259259255</v>
      </c>
      <c r="H111" s="149">
        <f>+Tabla55[[#This Row],[COSTO]]/Tabla55[[#This Row],[BASE]]</f>
        <v>0.30906800671810214</v>
      </c>
      <c r="I111" s="150">
        <f>+Tabla55[[#This Row],[BASE]]/Tabla55[[#This Row],[COSTO]]</f>
        <v>3.2355338574791084</v>
      </c>
      <c r="J111" s="151" t="e">
        <f>+VLOOKUP(Tabla55[[#This Row],[ARROCES]],Tabla77[#All],3,0)</f>
        <v>#N/A</v>
      </c>
      <c r="K111" s="152">
        <f t="shared" si="34"/>
        <v>52328.974682429987</v>
      </c>
      <c r="L111" s="172">
        <f t="shared" si="35"/>
        <v>3876.2203468466655</v>
      </c>
      <c r="M111" s="153">
        <f>+Tabla55[[#This Row],[PRECIO SUGERIDO]]+Tabla55[[#This Row],[ICO2]]</f>
        <v>56205.195029276656</v>
      </c>
      <c r="N111" s="154"/>
      <c r="O111" s="147">
        <f t="shared" si="36"/>
        <v>0</v>
      </c>
      <c r="P111" s="171">
        <f>+Tabla55[[#This Row],[PRECIO N]]-Tabla55[[#This Row],[ICO 8%2]]</f>
        <v>0</v>
      </c>
      <c r="Q111" s="149" t="e">
        <f>+Tabla55[[#This Row],[COSTO]]/Tabla55[[#This Row],[CARTA]]</f>
        <v>#DIV/0!</v>
      </c>
      <c r="R111" s="173">
        <f>+Tabla55[[#This Row],[PRECIO N]]/Tabla55[[#This Row],[COSTO]]</f>
        <v>0</v>
      </c>
    </row>
    <row r="112" spans="1:18" x14ac:dyDescent="0.3">
      <c r="A112" s="126">
        <v>7</v>
      </c>
      <c r="B112" s="253" t="str">
        <f>+ARROCES!B112</f>
        <v xml:space="preserve">ARROZ CREMOSO </v>
      </c>
      <c r="C112" s="254" t="s">
        <v>985</v>
      </c>
      <c r="D112" s="171" t="e">
        <f>+ARROCES!K115</f>
        <v>#N/A</v>
      </c>
      <c r="E112" s="147">
        <f>+ARROCES!K116</f>
        <v>64000</v>
      </c>
      <c r="F112" s="147">
        <f t="shared" si="33"/>
        <v>4740.7407407407409</v>
      </c>
      <c r="G112" s="148">
        <f>+Tabla55[[#This Row],[VENTA]]-Tabla55[[#This Row],[ICO 8%]]</f>
        <v>59259.259259259255</v>
      </c>
      <c r="H112" s="149" t="e">
        <f>+Tabla55[[#This Row],[COSTO]]/Tabla55[[#This Row],[BASE]]</f>
        <v>#N/A</v>
      </c>
      <c r="I112" s="150" t="e">
        <f>+Tabla55[[#This Row],[BASE]]/Tabla55[[#This Row],[COSTO]]</f>
        <v>#N/A</v>
      </c>
      <c r="J112" s="151">
        <f>+VLOOKUP(Tabla55[[#This Row],[ARROCES]],Tabla77[#All],3,0)</f>
        <v>318</v>
      </c>
      <c r="K112" s="152" t="e">
        <f t="shared" si="34"/>
        <v>#N/A</v>
      </c>
      <c r="L112" s="172" t="e">
        <f t="shared" si="35"/>
        <v>#N/A</v>
      </c>
      <c r="M112" s="153" t="e">
        <f>+Tabla55[[#This Row],[PRECIO SUGERIDO]]+Tabla55[[#This Row],[ICO2]]</f>
        <v>#N/A</v>
      </c>
      <c r="N112" s="154"/>
      <c r="O112" s="147">
        <f t="shared" si="36"/>
        <v>0</v>
      </c>
      <c r="P112" s="171">
        <f>+Tabla55[[#This Row],[PRECIO N]]-Tabla55[[#This Row],[ICO 8%2]]</f>
        <v>0</v>
      </c>
      <c r="Q112" s="149" t="e">
        <f>+Tabla55[[#This Row],[COSTO]]/Tabla55[[#This Row],[CARTA]]</f>
        <v>#N/A</v>
      </c>
      <c r="R112" s="173" t="e">
        <f>+Tabla55[[#This Row],[PRECIO N]]/Tabla55[[#This Row],[COSTO]]</f>
        <v>#N/A</v>
      </c>
    </row>
    <row r="113" spans="1:18" x14ac:dyDescent="0.3">
      <c r="A113" s="126">
        <v>10</v>
      </c>
      <c r="B113" s="262" t="str">
        <f>+ARROCES!B6</f>
        <v>ARROZ ROCOTO</v>
      </c>
      <c r="C113" s="254" t="s">
        <v>984</v>
      </c>
      <c r="D113" s="171" t="e">
        <f>+ARROCES!K9</f>
        <v>#N/A</v>
      </c>
      <c r="E113" s="147">
        <f>+ARROCES!K10</f>
        <v>70000</v>
      </c>
      <c r="F113" s="147">
        <f t="shared" si="33"/>
        <v>5185.1851851851852</v>
      </c>
      <c r="G113" s="148">
        <f>+Tabla55[[#This Row],[VENTA]]-Tabla55[[#This Row],[ICO 8%]]</f>
        <v>64814.814814814818</v>
      </c>
      <c r="H113" s="149" t="e">
        <f>+Tabla55[[#This Row],[COSTO]]/Tabla55[[#This Row],[BASE]]</f>
        <v>#N/A</v>
      </c>
      <c r="I113" s="150" t="e">
        <f>+Tabla55[[#This Row],[BASE]]/Tabla55[[#This Row],[COSTO]]</f>
        <v>#N/A</v>
      </c>
      <c r="J113" s="151">
        <f>+VLOOKUP(Tabla55[[#This Row],[ARROCES]],Tabla77[#All],3,0)</f>
        <v>276</v>
      </c>
      <c r="K113" s="152" t="e">
        <f t="shared" si="34"/>
        <v>#N/A</v>
      </c>
      <c r="L113" s="172" t="e">
        <f t="shared" si="35"/>
        <v>#N/A</v>
      </c>
      <c r="M113" s="153" t="e">
        <f>+Tabla55[[#This Row],[PRECIO SUGERIDO]]+Tabla55[[#This Row],[ICO2]]</f>
        <v>#N/A</v>
      </c>
      <c r="N113" s="211">
        <v>75000</v>
      </c>
      <c r="O113" s="147">
        <f t="shared" si="36"/>
        <v>5555.5555555555547</v>
      </c>
      <c r="P113" s="171">
        <f>+Tabla55[[#This Row],[PRECIO N]]-Tabla55[[#This Row],[ICO 8%2]]</f>
        <v>69444.444444444438</v>
      </c>
      <c r="Q113" s="149" t="e">
        <f>+Tabla55[[#This Row],[COSTO]]/Tabla55[[#This Row],[CARTA]]</f>
        <v>#N/A</v>
      </c>
      <c r="R113" s="173" t="e">
        <f>+Tabla55[[#This Row],[PRECIO N]]/Tabla55[[#This Row],[COSTO]]</f>
        <v>#N/A</v>
      </c>
    </row>
    <row r="114" spans="1:18" x14ac:dyDescent="0.3">
      <c r="A114" s="126">
        <v>11</v>
      </c>
      <c r="B114" s="253" t="str">
        <f>+ARROCES!B93</f>
        <v>ARROZ CHAUFA POLLO Y SOLOMO</v>
      </c>
      <c r="C114" s="254"/>
      <c r="D114" s="171">
        <f>+ARROCES!K96</f>
        <v>17833.35913863</v>
      </c>
      <c r="E114" s="147">
        <f>+ARROCES!K97</f>
        <v>68000</v>
      </c>
      <c r="F114" s="147">
        <f t="shared" si="33"/>
        <v>5037.0370370370365</v>
      </c>
      <c r="G114" s="148">
        <f>+Tabla55[[#This Row],[VENTA]]-Tabla55[[#This Row],[ICO 8%]]</f>
        <v>62962.962962962964</v>
      </c>
      <c r="H114" s="149">
        <f>+Tabla55[[#This Row],[COSTO]]/Tabla55[[#This Row],[BASE]]</f>
        <v>0.28323570396647646</v>
      </c>
      <c r="I114" s="150">
        <f>+Tabla55[[#This Row],[BASE]]/Tabla55[[#This Row],[COSTO]]</f>
        <v>3.5306283282645721</v>
      </c>
      <c r="J114" s="151">
        <f>+VLOOKUP(Tabla55[[#This Row],[ARROCES]],Tabla77[#All],3,0)</f>
        <v>279</v>
      </c>
      <c r="K114" s="152">
        <f t="shared" si="34"/>
        <v>50952.454681799994</v>
      </c>
      <c r="L114" s="172">
        <f t="shared" si="35"/>
        <v>3774.255902355555</v>
      </c>
      <c r="M114" s="153">
        <f>+Tabla55[[#This Row],[PRECIO SUGERIDO]]+Tabla55[[#This Row],[ICO2]]</f>
        <v>54726.710584155546</v>
      </c>
      <c r="N114" s="154"/>
      <c r="O114" s="147">
        <f t="shared" si="36"/>
        <v>0</v>
      </c>
      <c r="P114" s="171">
        <f>+Tabla55[[#This Row],[PRECIO N]]-Tabla55[[#This Row],[ICO 8%2]]</f>
        <v>0</v>
      </c>
      <c r="Q114" s="149" t="e">
        <f>+Tabla55[[#This Row],[COSTO]]/Tabla55[[#This Row],[CARTA]]</f>
        <v>#DIV/0!</v>
      </c>
      <c r="R114" s="173">
        <f>+Tabla55[[#This Row],[PRECIO N]]/Tabla55[[#This Row],[COSTO]]</f>
        <v>0</v>
      </c>
    </row>
    <row r="115" spans="1:18" x14ac:dyDescent="0.3">
      <c r="A115" s="126">
        <v>12</v>
      </c>
      <c r="B115" s="145" t="str">
        <f>+ARROCES!B75</f>
        <v>CHAUFA VEGETARIANA</v>
      </c>
      <c r="C115" s="146"/>
      <c r="D115" s="171">
        <f>+ARROCES!K78</f>
        <v>11002.18219863</v>
      </c>
      <c r="E115" s="147">
        <f>+ARROCES!K79</f>
        <v>62000</v>
      </c>
      <c r="F115" s="147">
        <f t="shared" si="33"/>
        <v>4592.5925925925922</v>
      </c>
      <c r="G115" s="148">
        <f>+Tabla55[[#This Row],[VENTA]]-Tabla55[[#This Row],[ICO 8%]]</f>
        <v>57407.407407407409</v>
      </c>
      <c r="H115" s="149">
        <f>+Tabla55[[#This Row],[COSTO]]/Tabla55[[#This Row],[BASE]]</f>
        <v>0.19165091571807097</v>
      </c>
      <c r="I115" s="150">
        <f>+Tabla55[[#This Row],[BASE]]/Tabla55[[#This Row],[COSTO]]</f>
        <v>5.2178200988669161</v>
      </c>
      <c r="J115" s="151">
        <f>+VLOOKUP(Tabla55[[#This Row],[ARROCES]],Tabla77[#All],3,0)</f>
        <v>15</v>
      </c>
      <c r="K115" s="152">
        <f t="shared" si="34"/>
        <v>31434.806281800003</v>
      </c>
      <c r="L115" s="172">
        <f t="shared" si="35"/>
        <v>2328.5041690222224</v>
      </c>
      <c r="M115" s="153">
        <f>+Tabla55[[#This Row],[PRECIO SUGERIDO]]+Tabla55[[#This Row],[ICO2]]</f>
        <v>33763.310450822224</v>
      </c>
      <c r="N115" s="154"/>
      <c r="O115" s="147">
        <f t="shared" si="36"/>
        <v>0</v>
      </c>
      <c r="P115" s="171">
        <f>+Tabla55[[#This Row],[PRECIO N]]-Tabla55[[#This Row],[ICO 8%2]]</f>
        <v>0</v>
      </c>
      <c r="Q115" s="149" t="e">
        <f>+Tabla55[[#This Row],[COSTO]]/Tabla55[[#This Row],[CARTA]]</f>
        <v>#DIV/0!</v>
      </c>
      <c r="R115" s="173">
        <f>+Tabla55[[#This Row],[PRECIO N]]/Tabla55[[#This Row],[COSTO]]</f>
        <v>0</v>
      </c>
    </row>
    <row r="116" spans="1:18" x14ac:dyDescent="0.3">
      <c r="A116" s="126">
        <v>13</v>
      </c>
      <c r="B116" s="145" t="str">
        <f>+ARROCES!B55</f>
        <v xml:space="preserve">ARROZ CHAUFA MARISCOS </v>
      </c>
      <c r="C116" s="146"/>
      <c r="D116" s="171">
        <f>+ARROCES!K58</f>
        <v>17330.125759506001</v>
      </c>
      <c r="E116" s="147">
        <f>+ARROCES!K59</f>
        <v>68000</v>
      </c>
      <c r="F116" s="147">
        <f>+E116/1.08*0.08</f>
        <v>5037.0370370370365</v>
      </c>
      <c r="G116" s="148">
        <f>+Tabla55[[#This Row],[VENTA]]-Tabla55[[#This Row],[ICO 8%]]</f>
        <v>62962.962962962964</v>
      </c>
      <c r="H116" s="149">
        <f>+Tabla55[[#This Row],[COSTO]]/Tabla55[[#This Row],[BASE]]</f>
        <v>0.27524317382744828</v>
      </c>
      <c r="I116" s="150">
        <f>+Tabla55[[#This Row],[BASE]]/Tabla55[[#This Row],[COSTO]]</f>
        <v>3.633150955550696</v>
      </c>
      <c r="J116" s="151">
        <f>+VLOOKUP(Tabla55[[#This Row],[ARROCES]],Tabla77[#All],3,0)</f>
        <v>12</v>
      </c>
      <c r="K116" s="152">
        <f t="shared" si="34"/>
        <v>49514.645027160004</v>
      </c>
      <c r="L116" s="172">
        <f>+K116/1.08*0.08</f>
        <v>3667.7514834933331</v>
      </c>
      <c r="M116" s="153">
        <f>+Tabla55[[#This Row],[PRECIO SUGERIDO]]+Tabla55[[#This Row],[ICO2]]</f>
        <v>53182.396510653336</v>
      </c>
      <c r="N116" s="154"/>
      <c r="O116" s="147">
        <f t="shared" si="36"/>
        <v>0</v>
      </c>
      <c r="P116" s="171">
        <f>+Tabla55[[#This Row],[PRECIO N]]-Tabla55[[#This Row],[ICO 8%2]]</f>
        <v>0</v>
      </c>
      <c r="Q116" s="149" t="e">
        <f>+Tabla55[[#This Row],[COSTO]]/Tabla55[[#This Row],[CARTA]]</f>
        <v>#DIV/0!</v>
      </c>
      <c r="R116" s="173">
        <f>+Tabla55[[#This Row],[PRECIO N]]/Tabla55[[#This Row],[COSTO]]</f>
        <v>0</v>
      </c>
    </row>
    <row r="117" spans="1:18" x14ac:dyDescent="0.3">
      <c r="A117" s="126"/>
      <c r="B117" s="155" t="str">
        <f>+ARROCES!B216</f>
        <v xml:space="preserve">ARRISOTADO A LA HUANCAINA </v>
      </c>
      <c r="C117" s="156"/>
      <c r="D117" s="201" t="e">
        <f>+ARROCES!K219</f>
        <v>#N/A</v>
      </c>
      <c r="E117" s="202">
        <f>+ARROCES!K220</f>
        <v>74000</v>
      </c>
      <c r="F117" s="202">
        <f>+E117/1.08*0.08</f>
        <v>5481.4814814814808</v>
      </c>
      <c r="G117" s="203">
        <f>+Tabla55[[#This Row],[VENTA]]-Tabla55[[#This Row],[ICO 8%]]</f>
        <v>68518.518518518526</v>
      </c>
      <c r="H117" s="204" t="e">
        <f>+Tabla55[[#This Row],[COSTO]]/Tabla55[[#This Row],[BASE]]</f>
        <v>#N/A</v>
      </c>
      <c r="I117" s="205" t="e">
        <f>+Tabla55[[#This Row],[BASE]]/Tabla55[[#This Row],[COSTO]]</f>
        <v>#N/A</v>
      </c>
      <c r="J117" s="157">
        <f>+VLOOKUP(Tabla55[[#This Row],[ARROCES]],Tabla77[#All],3,0)</f>
        <v>194</v>
      </c>
      <c r="K117" s="206" t="e">
        <f>+D117/(100-65)*100</f>
        <v>#N/A</v>
      </c>
      <c r="L117" s="207" t="e">
        <f>+K117/1.08*0.08</f>
        <v>#N/A</v>
      </c>
      <c r="M117" s="208" t="e">
        <f>+Tabla55[[#This Row],[PRECIO SUGERIDO]]+Tabla55[[#This Row],[ICO2]]</f>
        <v>#N/A</v>
      </c>
      <c r="N117" s="209"/>
      <c r="O117" s="202">
        <f>+N117/1.08*0.08</f>
        <v>0</v>
      </c>
      <c r="P117" s="201">
        <f>+Tabla55[[#This Row],[PRECIO N]]-Tabla55[[#This Row],[ICO 8%2]]</f>
        <v>0</v>
      </c>
      <c r="Q117" s="204" t="e">
        <f>+Tabla55[[#This Row],[COSTO]]/Tabla55[[#This Row],[CARTA]]</f>
        <v>#N/A</v>
      </c>
      <c r="R117" s="175" t="e">
        <f>+Tabla55[[#This Row],[PRECIO N]]/Tabla55[[#This Row],[COSTO]]</f>
        <v>#N/A</v>
      </c>
    </row>
    <row r="118" spans="1:18" x14ac:dyDescent="0.3">
      <c r="B118" s="155" t="s">
        <v>30</v>
      </c>
      <c r="C118" s="156"/>
      <c r="D118" s="174"/>
      <c r="E118" s="157"/>
      <c r="F118" s="157"/>
      <c r="G118" s="157"/>
      <c r="H118" s="158" t="e">
        <f>SUBTOTAL(101,Tabla55[%])</f>
        <v>#N/A</v>
      </c>
      <c r="I118" s="157"/>
      <c r="J118" s="157"/>
      <c r="K118" s="159"/>
      <c r="L118" s="174"/>
      <c r="M118" s="157"/>
      <c r="N118" s="160"/>
      <c r="O118" s="157"/>
      <c r="P118" s="174"/>
      <c r="Q118" s="157"/>
      <c r="R118" s="175" t="e">
        <f>SUBTOTAL(109,Tabla55[RATION])</f>
        <v>#N/A</v>
      </c>
    </row>
    <row r="120" spans="1:18" x14ac:dyDescent="0.3">
      <c r="B120" s="116"/>
      <c r="C120" s="59"/>
      <c r="D120" s="137"/>
      <c r="E120" s="117" t="s">
        <v>21</v>
      </c>
      <c r="F120" s="116"/>
      <c r="G120" s="118"/>
      <c r="H120" s="116"/>
      <c r="I120" s="116"/>
      <c r="J120" s="93"/>
      <c r="K120" s="278" t="s">
        <v>25</v>
      </c>
      <c r="L120" s="278"/>
      <c r="M120" s="278"/>
      <c r="N120" s="59"/>
      <c r="O120" s="59"/>
      <c r="P120" s="118"/>
    </row>
    <row r="121" spans="1:18" x14ac:dyDescent="0.3">
      <c r="B121" s="176" t="s">
        <v>148</v>
      </c>
      <c r="C121" s="140" t="s">
        <v>111</v>
      </c>
      <c r="D121" s="169" t="s">
        <v>7</v>
      </c>
      <c r="E121" s="141" t="s">
        <v>16</v>
      </c>
      <c r="F121" s="142" t="s">
        <v>29</v>
      </c>
      <c r="G121" s="140" t="s">
        <v>22</v>
      </c>
      <c r="H121" s="143" t="s">
        <v>17</v>
      </c>
      <c r="I121" s="140" t="s">
        <v>18</v>
      </c>
      <c r="J121" s="140" t="s">
        <v>19</v>
      </c>
      <c r="K121" s="140" t="s">
        <v>23</v>
      </c>
      <c r="L121" s="169" t="s">
        <v>28</v>
      </c>
      <c r="M121" s="140" t="s">
        <v>24</v>
      </c>
      <c r="N121" s="161" t="s">
        <v>26</v>
      </c>
      <c r="O121" s="169" t="s">
        <v>351</v>
      </c>
      <c r="P121" s="169" t="s">
        <v>21</v>
      </c>
      <c r="Q121" s="143" t="s">
        <v>27</v>
      </c>
      <c r="R121" s="170" t="s">
        <v>20</v>
      </c>
    </row>
    <row r="122" spans="1:18" x14ac:dyDescent="0.3">
      <c r="A122" s="162">
        <v>1</v>
      </c>
      <c r="B122" s="145" t="str">
        <f>+CARNES!B6</f>
        <v>LOMO SALTADO</v>
      </c>
      <c r="C122" s="210" t="s">
        <v>987</v>
      </c>
      <c r="D122" s="171">
        <f>+CARNES!K9</f>
        <v>17549.159170420498</v>
      </c>
      <c r="E122" s="147">
        <f>+CARNES!K10</f>
        <v>59900</v>
      </c>
      <c r="F122" s="147">
        <f t="shared" ref="F122:F127" si="37">+E122/1.08*0.08</f>
        <v>4437.0370370370365</v>
      </c>
      <c r="G122" s="148">
        <f>+Tabla5518101[[#This Row],[VENTA]]-Tabla5518101[[#This Row],[ICO 8%]]</f>
        <v>55462.962962962964</v>
      </c>
      <c r="H122" s="149">
        <f>+Tabla5518101[[#This Row],[COSTO]]/Tabla5518101[[#This Row],[BASE]]</f>
        <v>0.31641221876551151</v>
      </c>
      <c r="I122" s="150">
        <f>+Tabla5518101[[#This Row],[BASE]]/Tabla5518101[[#This Row],[COSTO]]</f>
        <v>3.1604342079503747</v>
      </c>
      <c r="J122" s="151">
        <f>+VLOOKUP(Tabla5518101[[#This Row],[CARNES]],Tabla77[#All],3,0)</f>
        <v>1190</v>
      </c>
      <c r="K122" s="152">
        <f t="shared" ref="K122:K127" si="38">+D122/(100-65)*100</f>
        <v>50140.454772629993</v>
      </c>
      <c r="L122" s="172">
        <f t="shared" ref="L122:L127" si="39">+K122/1.08*0.08</f>
        <v>3714.1077609355552</v>
      </c>
      <c r="M122" s="153">
        <f>+Tabla5518101[[#This Row],[PRECIO SUGERIDO]]+Tabla5518101[[#This Row],[ICO2]]</f>
        <v>53854.56253356555</v>
      </c>
      <c r="N122" s="154"/>
      <c r="O122" s="147">
        <f t="shared" ref="O122:O127" si="40">+N122/1.08*0.08</f>
        <v>0</v>
      </c>
      <c r="P122" s="171">
        <f>+Tabla5518101[[#This Row],[PRECIO N]]-Tabla5518101[[#This Row],[ICO 8%2]]</f>
        <v>0</v>
      </c>
      <c r="Q122" s="149" t="e">
        <f>+Tabla5518101[[#This Row],[COSTO]]/Tabla5518101[[#This Row],[CARTA]]</f>
        <v>#DIV/0!</v>
      </c>
      <c r="R122" s="173">
        <f>+Tabla5518101[[#This Row],[PRECIO N]]/Tabla5518101[[#This Row],[COSTO]]</f>
        <v>0</v>
      </c>
    </row>
    <row r="123" spans="1:18" x14ac:dyDescent="0.3">
      <c r="A123" s="162">
        <v>2</v>
      </c>
      <c r="B123" s="145" t="str">
        <f>+CARNES!B28</f>
        <v>LOMITO SALSA DE QUESO</v>
      </c>
      <c r="C123" s="210" t="s">
        <v>988</v>
      </c>
      <c r="D123" s="171">
        <f>+CARNES!K31</f>
        <v>22790.005775943006</v>
      </c>
      <c r="E123" s="183">
        <f>+CARNES!K32</f>
        <v>65900</v>
      </c>
      <c r="F123" s="147">
        <f t="shared" si="37"/>
        <v>4881.4814814814808</v>
      </c>
      <c r="G123" s="148">
        <f>+Tabla5518101[[#This Row],[VENTA]]-Tabla5518101[[#This Row],[ICO 8%]]</f>
        <v>61018.518518518518</v>
      </c>
      <c r="H123" s="149">
        <f>+Tabla5518101[[#This Row],[COSTO]]/Tabla5518101[[#This Row],[BASE]]</f>
        <v>0.37349326613078065</v>
      </c>
      <c r="I123" s="150">
        <f>+Tabla5518101[[#This Row],[BASE]]/Tabla5518101[[#This Row],[COSTO]]</f>
        <v>2.6774244429077463</v>
      </c>
      <c r="J123" s="151">
        <f>+VLOOKUP(Tabla5518101[[#This Row],[CARNES]],Tabla77[#All],3,0)</f>
        <v>381</v>
      </c>
      <c r="K123" s="152">
        <f t="shared" si="38"/>
        <v>65114.30221698001</v>
      </c>
      <c r="L123" s="172">
        <f t="shared" si="39"/>
        <v>4823.2816457022227</v>
      </c>
      <c r="M123" s="153">
        <f>+Tabla5518101[[#This Row],[PRECIO SUGERIDO]]+Tabla5518101[[#This Row],[ICO2]]</f>
        <v>69937.583862682237</v>
      </c>
      <c r="N123" s="184"/>
      <c r="O123" s="147">
        <f t="shared" si="40"/>
        <v>0</v>
      </c>
      <c r="P123" s="171">
        <f>+Tabla5518101[[#This Row],[PRECIO N]]-Tabla5518101[[#This Row],[ICO 8%2]]</f>
        <v>0</v>
      </c>
      <c r="Q123" s="149" t="e">
        <f>+Tabla5518101[[#This Row],[COSTO]]/Tabla5518101[[#This Row],[CARTA]]</f>
        <v>#DIV/0!</v>
      </c>
      <c r="R123" s="173">
        <f>+Tabla5518101[[#This Row],[PRECIO N]]/Tabla5518101[[#This Row],[COSTO]]</f>
        <v>0</v>
      </c>
    </row>
    <row r="124" spans="1:18" x14ac:dyDescent="0.3">
      <c r="A124" s="162">
        <v>3</v>
      </c>
      <c r="B124" s="145" t="str">
        <f>+CARNES!B51</f>
        <v>LOMO ANTICUCHERO</v>
      </c>
      <c r="C124" s="210" t="s">
        <v>989</v>
      </c>
      <c r="D124" s="171">
        <f>+CARNES!K54</f>
        <v>22470.294966608999</v>
      </c>
      <c r="E124" s="147">
        <f>+CARNES!K55</f>
        <v>63900</v>
      </c>
      <c r="F124" s="147">
        <f t="shared" si="37"/>
        <v>4733.333333333333</v>
      </c>
      <c r="G124" s="148">
        <f>+Tabla5518101[[#This Row],[VENTA]]-Tabla5518101[[#This Row],[ICO 8%]]</f>
        <v>59166.666666666664</v>
      </c>
      <c r="H124" s="149">
        <f>+Tabla5518101[[#This Row],[COSTO]]/Tabla5518101[[#This Row],[BASE]]</f>
        <v>0.37977963323846198</v>
      </c>
      <c r="I124" s="150">
        <f>+Tabla5518101[[#This Row],[BASE]]/Tabla5518101[[#This Row],[COSTO]]</f>
        <v>2.6331059184843237</v>
      </c>
      <c r="J124" s="151">
        <f>+VLOOKUP(Tabla5518101[[#This Row],[CARNES]],Tabla77[#All],3,0)</f>
        <v>283</v>
      </c>
      <c r="K124" s="152">
        <f t="shared" si="38"/>
        <v>64200.842761740001</v>
      </c>
      <c r="L124" s="172">
        <f t="shared" si="39"/>
        <v>4755.6179823511111</v>
      </c>
      <c r="M124" s="153">
        <f>+Tabla5518101[[#This Row],[PRECIO SUGERIDO]]+Tabla5518101[[#This Row],[ICO2]]</f>
        <v>68956.460744091106</v>
      </c>
      <c r="N124" s="154"/>
      <c r="O124" s="147">
        <f t="shared" si="40"/>
        <v>0</v>
      </c>
      <c r="P124" s="171">
        <f>+Tabla5518101[[#This Row],[PRECIO N]]-Tabla5518101[[#This Row],[ICO 8%2]]</f>
        <v>0</v>
      </c>
      <c r="Q124" s="149" t="e">
        <f>+Tabla5518101[[#This Row],[COSTO]]/Tabla5518101[[#This Row],[CARTA]]</f>
        <v>#DIV/0!</v>
      </c>
      <c r="R124" s="173">
        <f>+Tabla5518101[[#This Row],[PRECIO N]]/Tabla5518101[[#This Row],[COSTO]]</f>
        <v>0</v>
      </c>
    </row>
    <row r="125" spans="1:18" x14ac:dyDescent="0.3">
      <c r="A125" s="162">
        <v>4</v>
      </c>
      <c r="B125" s="145" t="str">
        <f>+CARNES!B66</f>
        <v>COSTILLA ROCOTO</v>
      </c>
      <c r="C125" s="210" t="s">
        <v>990</v>
      </c>
      <c r="D125" s="171">
        <f>+CARNES!K69</f>
        <v>21800.6689008045</v>
      </c>
      <c r="E125" s="147">
        <f>+CARNES!K70</f>
        <v>65900</v>
      </c>
      <c r="F125" s="147">
        <f t="shared" si="37"/>
        <v>4881.4814814814808</v>
      </c>
      <c r="G125" s="148">
        <f>+Tabla5518101[[#This Row],[VENTA]]-Tabla5518101[[#This Row],[ICO 8%]]</f>
        <v>61018.518518518518</v>
      </c>
      <c r="H125" s="149">
        <f>+Tabla5518101[[#This Row],[COSTO]]/Tabla5518101[[#This Row],[BASE]]</f>
        <v>0.35727955102987646</v>
      </c>
      <c r="I125" s="150">
        <f>+Tabla5518101[[#This Row],[BASE]]/Tabla5518101[[#This Row],[COSTO]]</f>
        <v>2.7989287299467578</v>
      </c>
      <c r="J125" s="151">
        <f>+VLOOKUP(Tabla5518101[[#This Row],[CARNES]],Tabla77[#All],3,0)</f>
        <v>162</v>
      </c>
      <c r="K125" s="152">
        <f t="shared" si="38"/>
        <v>62287.625430870001</v>
      </c>
      <c r="L125" s="172">
        <f t="shared" si="39"/>
        <v>4613.8981800644442</v>
      </c>
      <c r="M125" s="153">
        <f>+Tabla5518101[[#This Row],[PRECIO SUGERIDO]]+Tabla5518101[[#This Row],[ICO2]]</f>
        <v>66901.523610934441</v>
      </c>
      <c r="N125" s="154"/>
      <c r="O125" s="147">
        <f t="shared" si="40"/>
        <v>0</v>
      </c>
      <c r="P125" s="171">
        <f>+Tabla5518101[[#This Row],[PRECIO N]]-Tabla5518101[[#This Row],[ICO 8%2]]</f>
        <v>0</v>
      </c>
      <c r="Q125" s="149" t="e">
        <f>+Tabla5518101[[#This Row],[COSTO]]/Tabla5518101[[#This Row],[CARTA]]</f>
        <v>#DIV/0!</v>
      </c>
      <c r="R125" s="173">
        <f>+Tabla5518101[[#This Row],[PRECIO N]]/Tabla5518101[[#This Row],[COSTO]]</f>
        <v>0</v>
      </c>
    </row>
    <row r="126" spans="1:18" x14ac:dyDescent="0.3">
      <c r="A126" s="162">
        <v>5</v>
      </c>
      <c r="B126" s="145" t="str">
        <f>+CARNES!B85</f>
        <v>TACU TACU DE LOMO SALTADO CLASICO</v>
      </c>
      <c r="C126" s="210" t="s">
        <v>991</v>
      </c>
      <c r="D126" s="171" t="e">
        <f>+CARNES!K88</f>
        <v>#N/A</v>
      </c>
      <c r="E126" s="147">
        <f>+CARNES!K89</f>
        <v>62000</v>
      </c>
      <c r="F126" s="147">
        <f t="shared" si="37"/>
        <v>4592.5925925925922</v>
      </c>
      <c r="G126" s="148">
        <f>+Tabla5518101[[#This Row],[VENTA]]-Tabla5518101[[#This Row],[ICO 8%]]</f>
        <v>57407.407407407409</v>
      </c>
      <c r="H126" s="149" t="e">
        <f>+Tabla5518101[[#This Row],[COSTO]]/Tabla5518101[[#This Row],[BASE]]</f>
        <v>#N/A</v>
      </c>
      <c r="I126" s="150" t="e">
        <f>+Tabla5518101[[#This Row],[BASE]]/Tabla5518101[[#This Row],[COSTO]]</f>
        <v>#N/A</v>
      </c>
      <c r="J126" s="151">
        <f>+VLOOKUP(Tabla5518101[[#This Row],[CARNES]],Tabla77[#All],3,0)</f>
        <v>15</v>
      </c>
      <c r="K126" s="152" t="e">
        <f t="shared" si="38"/>
        <v>#N/A</v>
      </c>
      <c r="L126" s="172" t="e">
        <f t="shared" si="39"/>
        <v>#N/A</v>
      </c>
      <c r="M126" s="153" t="e">
        <f>+Tabla5518101[[#This Row],[PRECIO SUGERIDO]]+Tabla5518101[[#This Row],[ICO2]]</f>
        <v>#N/A</v>
      </c>
      <c r="N126" s="211"/>
      <c r="O126" s="147">
        <f t="shared" si="40"/>
        <v>0</v>
      </c>
      <c r="P126" s="171">
        <f>+Tabla5518101[[#This Row],[PRECIO N]]-Tabla5518101[[#This Row],[ICO 8%2]]</f>
        <v>0</v>
      </c>
      <c r="Q126" s="149" t="e">
        <f>+Tabla5518101[[#This Row],[COSTO]]/Tabla5518101[[#This Row],[CARTA]]</f>
        <v>#N/A</v>
      </c>
      <c r="R126" s="173" t="e">
        <f>+Tabla5518101[[#This Row],[PRECIO N]]/Tabla5518101[[#This Row],[COSTO]]</f>
        <v>#N/A</v>
      </c>
    </row>
    <row r="127" spans="1:18" x14ac:dyDescent="0.3">
      <c r="A127" s="162">
        <v>6</v>
      </c>
      <c r="B127" s="145" t="str">
        <f>+CARNES!B108</f>
        <v>AJÃ DE GALLINA</v>
      </c>
      <c r="C127" s="210" t="s">
        <v>992</v>
      </c>
      <c r="D127" s="171">
        <f>+CARNES!K111</f>
        <v>15470.472587324999</v>
      </c>
      <c r="E127" s="147">
        <f>+CARNES!K112</f>
        <v>49000</v>
      </c>
      <c r="F127" s="147">
        <f t="shared" si="37"/>
        <v>3629.6296296296291</v>
      </c>
      <c r="G127" s="148">
        <f>+Tabla5518101[[#This Row],[VENTA]]-Tabla5518101[[#This Row],[ICO 8%]]</f>
        <v>45370.370370370372</v>
      </c>
      <c r="H127" s="149">
        <f>+Tabla5518101[[#This Row],[COSTO]]/Tabla5518101[[#This Row],[BASE]]</f>
        <v>0.34098184478185711</v>
      </c>
      <c r="I127" s="150">
        <f>+Tabla5518101[[#This Row],[BASE]]/Tabla5518101[[#This Row],[COSTO]]</f>
        <v>2.9327074602454255</v>
      </c>
      <c r="J127" s="151">
        <f>+VLOOKUP(Tabla5518101[[#This Row],[CARNES]],Tabla77[#All],3,0)</f>
        <v>103</v>
      </c>
      <c r="K127" s="152">
        <f t="shared" si="38"/>
        <v>44201.350249499992</v>
      </c>
      <c r="L127" s="172">
        <f t="shared" si="39"/>
        <v>3274.174092555555</v>
      </c>
      <c r="M127" s="153">
        <f>+Tabla5518101[[#This Row],[PRECIO SUGERIDO]]+Tabla5518101[[#This Row],[ICO2]]</f>
        <v>47475.524342055549</v>
      </c>
      <c r="N127" s="154"/>
      <c r="O127" s="147">
        <f t="shared" si="40"/>
        <v>0</v>
      </c>
      <c r="P127" s="171">
        <f>+Tabla5518101[[#This Row],[PRECIO N]]-Tabla5518101[[#This Row],[ICO 8%2]]</f>
        <v>0</v>
      </c>
      <c r="Q127" s="149" t="e">
        <f>+Tabla5518101[[#This Row],[COSTO]]/Tabla5518101[[#This Row],[CARTA]]</f>
        <v>#DIV/0!</v>
      </c>
      <c r="R127" s="173">
        <f>+Tabla5518101[[#This Row],[PRECIO N]]/Tabla5518101[[#This Row],[COSTO]]</f>
        <v>0</v>
      </c>
    </row>
    <row r="128" spans="1:18" x14ac:dyDescent="0.3">
      <c r="A128" s="162">
        <v>7</v>
      </c>
      <c r="B128" s="155" t="str">
        <f>+CARNES!B128</f>
        <v>FETUCCINI HUANCAINA</v>
      </c>
      <c r="C128" s="221"/>
      <c r="D128" s="201" t="e">
        <f>+CARNES!K131</f>
        <v>#N/A</v>
      </c>
      <c r="E128" s="202"/>
      <c r="F128" s="202">
        <f>+E128/1.08*0.08</f>
        <v>0</v>
      </c>
      <c r="G128" s="203">
        <f>+Tabla5518101[[#This Row],[VENTA]]-Tabla5518101[[#This Row],[ICO 8%]]</f>
        <v>0</v>
      </c>
      <c r="H128" s="204" t="e">
        <f>+Tabla5518101[[#This Row],[COSTO]]/Tabla5518101[[#This Row],[BASE]]</f>
        <v>#N/A</v>
      </c>
      <c r="I128" s="205" t="e">
        <f>+Tabla5518101[[#This Row],[BASE]]/Tabla5518101[[#This Row],[COSTO]]</f>
        <v>#N/A</v>
      </c>
      <c r="J128" s="157">
        <f>+VLOOKUP(Tabla5518101[[#This Row],[CARNES]],Tabla77[#All],3,0)</f>
        <v>213</v>
      </c>
      <c r="K128" s="206" t="e">
        <f>+D128/(100-65)*100</f>
        <v>#N/A</v>
      </c>
      <c r="L128" s="207" t="e">
        <f>+K128/1.08*0.08</f>
        <v>#N/A</v>
      </c>
      <c r="M128" s="208" t="e">
        <f>+Tabla5518101[[#This Row],[PRECIO SUGERIDO]]+Tabla5518101[[#This Row],[ICO2]]</f>
        <v>#N/A</v>
      </c>
      <c r="N128" s="209"/>
      <c r="O128" s="202">
        <f>+N128/1.08*0.08</f>
        <v>0</v>
      </c>
      <c r="P128" s="201">
        <f>+Tabla5518101[[#This Row],[PRECIO N]]-Tabla5518101[[#This Row],[ICO 8%2]]</f>
        <v>0</v>
      </c>
      <c r="Q128" s="204" t="e">
        <f>+Tabla5518101[[#This Row],[COSTO]]/Tabla5518101[[#This Row],[CARTA]]</f>
        <v>#N/A</v>
      </c>
      <c r="R128" s="175" t="e">
        <f>+Tabla5518101[[#This Row],[PRECIO N]]/Tabla5518101[[#This Row],[COSTO]]</f>
        <v>#N/A</v>
      </c>
    </row>
    <row r="129" spans="1:18" x14ac:dyDescent="0.3">
      <c r="B129" s="155" t="s">
        <v>30</v>
      </c>
      <c r="C129" s="156"/>
      <c r="D129" s="174"/>
      <c r="E129" s="157"/>
      <c r="F129" s="157"/>
      <c r="G129" s="157"/>
      <c r="H129" s="158" t="e">
        <f>SUBTOTAL(101,Tabla5518101[%])</f>
        <v>#N/A</v>
      </c>
      <c r="I129" s="157"/>
      <c r="J129" s="157"/>
      <c r="K129" s="159"/>
      <c r="L129" s="174"/>
      <c r="M129" s="157"/>
      <c r="N129" s="160"/>
      <c r="O129" s="157"/>
      <c r="P129" s="174"/>
      <c r="Q129" s="157"/>
      <c r="R129" s="175" t="e">
        <f>SUBTOTAL(109,Tabla5518101[RATION])</f>
        <v>#N/A</v>
      </c>
    </row>
    <row r="132" spans="1:18" x14ac:dyDescent="0.3">
      <c r="B132" s="116"/>
      <c r="C132" s="59"/>
      <c r="D132" s="137"/>
      <c r="E132" s="117" t="s">
        <v>21</v>
      </c>
      <c r="F132" s="116"/>
      <c r="G132" s="118"/>
      <c r="H132" s="116"/>
      <c r="I132" s="116"/>
      <c r="J132" s="93"/>
      <c r="K132" s="278" t="s">
        <v>25</v>
      </c>
      <c r="L132" s="278"/>
      <c r="M132" s="278"/>
      <c r="N132" s="59"/>
      <c r="O132" s="59"/>
      <c r="P132" s="118"/>
    </row>
    <row r="133" spans="1:18" x14ac:dyDescent="0.3">
      <c r="B133" s="176" t="s">
        <v>146</v>
      </c>
      <c r="C133" s="140" t="s">
        <v>111</v>
      </c>
      <c r="D133" s="169" t="s">
        <v>7</v>
      </c>
      <c r="E133" s="141" t="s">
        <v>16</v>
      </c>
      <c r="F133" s="142" t="s">
        <v>29</v>
      </c>
      <c r="G133" s="140" t="s">
        <v>22</v>
      </c>
      <c r="H133" s="143" t="s">
        <v>17</v>
      </c>
      <c r="I133" s="140" t="s">
        <v>18</v>
      </c>
      <c r="J133" s="140" t="s">
        <v>19</v>
      </c>
      <c r="K133" s="140" t="s">
        <v>23</v>
      </c>
      <c r="L133" s="169" t="s">
        <v>28</v>
      </c>
      <c r="M133" s="140" t="s">
        <v>24</v>
      </c>
      <c r="N133" s="161" t="s">
        <v>26</v>
      </c>
      <c r="O133" s="169" t="s">
        <v>351</v>
      </c>
      <c r="P133" s="169" t="s">
        <v>21</v>
      </c>
      <c r="Q133" s="143" t="s">
        <v>27</v>
      </c>
      <c r="R133" s="170" t="s">
        <v>20</v>
      </c>
    </row>
    <row r="134" spans="1:18" x14ac:dyDescent="0.3">
      <c r="B134" s="253" t="str">
        <f>+SOPAS!B7</f>
        <v>PARIHUELA</v>
      </c>
      <c r="C134" s="254" t="s">
        <v>205</v>
      </c>
      <c r="D134" s="255" t="e">
        <f>+SOPAS!K10</f>
        <v>#N/A</v>
      </c>
      <c r="E134" s="256">
        <f>+SOPAS!K11</f>
        <v>67000</v>
      </c>
      <c r="F134" s="147">
        <f>+E134/1.08*0.08</f>
        <v>4962.9629629629626</v>
      </c>
      <c r="G134" s="148">
        <f>+Tabla5518103[[#This Row],[VENTA]]-Tabla5518103[[#This Row],[ICO 8%]]</f>
        <v>62037.037037037036</v>
      </c>
      <c r="H134" s="149" t="e">
        <f>+Tabla5518103[[#This Row],[COSTO]]/Tabla5518103[[#This Row],[BASE]]</f>
        <v>#N/A</v>
      </c>
      <c r="I134" s="150" t="e">
        <f>+Tabla5518103[[#This Row],[BASE]]/Tabla5518103[[#This Row],[COSTO]]</f>
        <v>#N/A</v>
      </c>
      <c r="J134" s="151">
        <f>+VLOOKUP(Tabla5518103[[#This Row],[SOPAS]],Tabla77[#All],3,0)</f>
        <v>55</v>
      </c>
      <c r="K134" s="152" t="e">
        <f t="shared" ref="K134:K135" si="41">+D134/(100-70)*100</f>
        <v>#N/A</v>
      </c>
      <c r="L134" s="172" t="e">
        <f>+K134/1.08*0.08</f>
        <v>#N/A</v>
      </c>
      <c r="M134" s="153" t="e">
        <f>+Tabla5518103[[#This Row],[PRECIO SUGERIDO]]+Tabla5518103[[#This Row],[ICO2]]</f>
        <v>#N/A</v>
      </c>
      <c r="N134" s="154"/>
      <c r="O134" s="147">
        <f t="shared" ref="O134:O135" si="42">+N134/1.08*0.08</f>
        <v>0</v>
      </c>
      <c r="P134" s="171">
        <f>+Tabla5518103[[#This Row],[PRECIO N]]-Tabla5518103[[#This Row],[ICO 8%2]]</f>
        <v>0</v>
      </c>
      <c r="Q134" s="149" t="e">
        <f>+Tabla5518103[[#This Row],[COSTO]]/Tabla5518103[[#This Row],[CARTA]]</f>
        <v>#N/A</v>
      </c>
      <c r="R134" s="173" t="e">
        <f>+Tabla5518103[[#This Row],[PRECIO N]]/Tabla5518103[[#This Row],[COSTO]]</f>
        <v>#N/A</v>
      </c>
    </row>
    <row r="135" spans="1:18" x14ac:dyDescent="0.3">
      <c r="B135" s="145" t="str">
        <f>+SOPAS!B40</f>
        <v>AGUADITO</v>
      </c>
      <c r="C135" s="146" t="s">
        <v>206</v>
      </c>
      <c r="D135" s="171">
        <f>+SOPAS!K43</f>
        <v>17022.9295003845</v>
      </c>
      <c r="E135" s="147">
        <f>+SOPAS!K44</f>
        <v>53500</v>
      </c>
      <c r="F135" s="147">
        <f>+E135/1.08*0.08</f>
        <v>3962.962962962963</v>
      </c>
      <c r="G135" s="148">
        <f>+Tabla5518103[[#This Row],[VENTA]]-Tabla5518103[[#This Row],[ICO 8%]]</f>
        <v>49537.037037037036</v>
      </c>
      <c r="H135" s="149">
        <f>+Tabla5518103[[#This Row],[COSTO]]/Tabla5518103[[#This Row],[BASE]]</f>
        <v>0.34364044598907029</v>
      </c>
      <c r="I135" s="150">
        <f>+Tabla5518103[[#This Row],[BASE]]/Tabla5518103[[#This Row],[COSTO]]</f>
        <v>2.9100183394355321</v>
      </c>
      <c r="J135" s="151">
        <f>+VLOOKUP(Tabla5518103[[#This Row],[SOPAS]],Tabla77[#All],3,0)</f>
        <v>68</v>
      </c>
      <c r="K135" s="152">
        <f t="shared" si="41"/>
        <v>56743.098334615002</v>
      </c>
      <c r="L135" s="172">
        <f>+K135/1.08*0.08</f>
        <v>4203.1924692307412</v>
      </c>
      <c r="M135" s="153">
        <f>+Tabla5518103[[#This Row],[PRECIO SUGERIDO]]+Tabla5518103[[#This Row],[ICO2]]</f>
        <v>60946.290803845746</v>
      </c>
      <c r="N135" s="154"/>
      <c r="O135" s="147">
        <f t="shared" si="42"/>
        <v>0</v>
      </c>
      <c r="P135" s="171">
        <f>+Tabla5518103[[#This Row],[PRECIO N]]-Tabla5518103[[#This Row],[ICO 8%2]]</f>
        <v>0</v>
      </c>
      <c r="Q135" s="149" t="e">
        <f>+Tabla5518103[[#This Row],[COSTO]]/Tabla5518103[[#This Row],[CARTA]]</f>
        <v>#DIV/0!</v>
      </c>
      <c r="R135" s="173">
        <f>+Tabla5518103[[#This Row],[PRECIO N]]/Tabla5518103[[#This Row],[COSTO]]</f>
        <v>0</v>
      </c>
    </row>
    <row r="136" spans="1:18" x14ac:dyDescent="0.3">
      <c r="B136" s="155" t="s">
        <v>30</v>
      </c>
      <c r="C136" s="156"/>
      <c r="D136" s="174"/>
      <c r="E136" s="157"/>
      <c r="F136" s="157"/>
      <c r="G136" s="157"/>
      <c r="H136" s="158" t="e">
        <f>SUBTOTAL(101,Tabla5518103[%])</f>
        <v>#N/A</v>
      </c>
      <c r="I136" s="157"/>
      <c r="J136" s="157"/>
      <c r="K136" s="159"/>
      <c r="L136" s="174"/>
      <c r="M136" s="157"/>
      <c r="N136" s="160"/>
      <c r="O136" s="157"/>
      <c r="P136" s="174"/>
      <c r="Q136" s="157"/>
      <c r="R136" s="175" t="e">
        <f>SUBTOTAL(109,Tabla5518103[RATION])</f>
        <v>#N/A</v>
      </c>
    </row>
    <row r="138" spans="1:18" x14ac:dyDescent="0.3">
      <c r="B138" s="116"/>
      <c r="C138" s="59"/>
      <c r="D138" s="137"/>
      <c r="E138" s="117" t="s">
        <v>21</v>
      </c>
      <c r="F138" s="116"/>
      <c r="G138" s="118"/>
      <c r="H138" s="116"/>
      <c r="I138" s="116"/>
      <c r="J138" s="93"/>
      <c r="K138" s="278" t="s">
        <v>25</v>
      </c>
      <c r="L138" s="278"/>
      <c r="M138" s="278"/>
      <c r="N138" s="59"/>
      <c r="O138" s="59"/>
      <c r="P138" s="118"/>
    </row>
    <row r="139" spans="1:18" x14ac:dyDescent="0.3">
      <c r="B139" s="176" t="s">
        <v>138</v>
      </c>
      <c r="C139" s="140" t="s">
        <v>111</v>
      </c>
      <c r="D139" s="169" t="s">
        <v>7</v>
      </c>
      <c r="E139" s="141" t="s">
        <v>16</v>
      </c>
      <c r="F139" s="142" t="s">
        <v>29</v>
      </c>
      <c r="G139" s="140" t="s">
        <v>22</v>
      </c>
      <c r="H139" s="143" t="s">
        <v>17</v>
      </c>
      <c r="I139" s="140" t="s">
        <v>18</v>
      </c>
      <c r="J139" s="140" t="s">
        <v>19</v>
      </c>
      <c r="K139" s="140" t="s">
        <v>23</v>
      </c>
      <c r="L139" s="169" t="s">
        <v>28</v>
      </c>
      <c r="M139" s="140" t="s">
        <v>24</v>
      </c>
      <c r="N139" s="161" t="s">
        <v>26</v>
      </c>
      <c r="O139" s="169" t="s">
        <v>351</v>
      </c>
      <c r="P139" s="169" t="s">
        <v>21</v>
      </c>
      <c r="Q139" s="143" t="s">
        <v>27</v>
      </c>
      <c r="R139" s="170" t="s">
        <v>20</v>
      </c>
    </row>
    <row r="140" spans="1:18" x14ac:dyDescent="0.3">
      <c r="A140" s="162">
        <v>1</v>
      </c>
      <c r="B140" s="145" t="str">
        <f>+POSTRES!B20</f>
        <v>SPRING ROLLS DE NUTELLA</v>
      </c>
      <c r="C140" s="146" t="s">
        <v>210</v>
      </c>
      <c r="D140" s="171">
        <f>+POSTRES!K23</f>
        <v>7851.082643355001</v>
      </c>
      <c r="E140" s="147">
        <f>+POSTRES!K24</f>
        <v>29000</v>
      </c>
      <c r="F140" s="147">
        <f>+E140/1.08*0.08</f>
        <v>2148.1481481481483</v>
      </c>
      <c r="G140" s="148">
        <f>+Tabla5518105[[#This Row],[VENTA]]-Tabla5518105[[#This Row],[ICO 8%]]</f>
        <v>26851.85185185185</v>
      </c>
      <c r="H140" s="149">
        <f>+Tabla5518105[[#This Row],[COSTO]]/Tabla5518105[[#This Row],[BASE]]</f>
        <v>0.29238514671804833</v>
      </c>
      <c r="I140" s="150">
        <f>+Tabla5518105[[#This Row],[BASE]]/Tabla5518105[[#This Row],[COSTO]]</f>
        <v>3.4201463761916604</v>
      </c>
      <c r="J140" s="151">
        <f>+VLOOKUP(Tabla5518105[[#This Row],[POSTRES]],Tabla77[#All],3,0)</f>
        <v>151</v>
      </c>
      <c r="K140" s="152">
        <f>+D140/(100-70)*100</f>
        <v>26170.275477850002</v>
      </c>
      <c r="L140" s="172">
        <f>+K140/1.08*0.08</f>
        <v>1938.5389242851854</v>
      </c>
      <c r="M140" s="153">
        <f>+Tabla5518105[[#This Row],[PRECIO SUGERIDO]]+Tabla5518105[[#This Row],[ICO2]]</f>
        <v>28108.814402135187</v>
      </c>
      <c r="N140" s="154"/>
      <c r="O140" s="147">
        <f t="shared" ref="O140:O141" si="43">+N140/1.08*0.08</f>
        <v>0</v>
      </c>
      <c r="P140" s="171">
        <f>+Tabla5518105[[#This Row],[PRECIO N]]-Tabla5518105[[#This Row],[ICO 8%2]]</f>
        <v>0</v>
      </c>
      <c r="Q140" s="149" t="e">
        <f>+Tabla5518105[[#This Row],[COSTO]]/Tabla5518105[[#This Row],[CARTA]]</f>
        <v>#DIV/0!</v>
      </c>
      <c r="R140" s="173">
        <f>+Tabla5518105[[#This Row],[PRECIO N]]/Tabla5518105[[#This Row],[COSTO]]</f>
        <v>0</v>
      </c>
    </row>
    <row r="141" spans="1:18" x14ac:dyDescent="0.3">
      <c r="A141" s="162">
        <v>2</v>
      </c>
      <c r="B141" s="145" t="str">
        <f>+POSTRES!B8</f>
        <v>SUSPIRO ROCOTO</v>
      </c>
      <c r="C141" s="146" t="s">
        <v>208</v>
      </c>
      <c r="D141" s="171">
        <f>+POSTRES!K11</f>
        <v>2983.0284521782501</v>
      </c>
      <c r="E141" s="147">
        <f>+POSTRES!K12</f>
        <v>21900</v>
      </c>
      <c r="F141" s="147">
        <f>+E141/1.08*0.08</f>
        <v>1622.2222222222222</v>
      </c>
      <c r="G141" s="148">
        <f>+Tabla5518105[[#This Row],[VENTA]]-Tabla5518105[[#This Row],[ICO 8%]]</f>
        <v>20277.777777777777</v>
      </c>
      <c r="H141" s="149">
        <f>+Tabla5518105[[#This Row],[COSTO]]/Tabla5518105[[#This Row],[BASE]]</f>
        <v>0.14710825243618766</v>
      </c>
      <c r="I141" s="150">
        <f>+Tabla5518105[[#This Row],[BASE]]/Tabla5518105[[#This Row],[COSTO]]</f>
        <v>6.7977151753181078</v>
      </c>
      <c r="J141" s="151">
        <f>+VLOOKUP(Tabla5518105[[#This Row],[POSTRES]],Tabla77[#All],3,0)</f>
        <v>648</v>
      </c>
      <c r="K141" s="152">
        <f>+D141/(100-70)*100</f>
        <v>9943.4281739275011</v>
      </c>
      <c r="L141" s="172">
        <f>+K141/1.08*0.08</f>
        <v>736.55023510574074</v>
      </c>
      <c r="M141" s="153">
        <f>+Tabla5518105[[#This Row],[PRECIO SUGERIDO]]+Tabla5518105[[#This Row],[ICO2]]</f>
        <v>10679.978409033241</v>
      </c>
      <c r="N141" s="154"/>
      <c r="O141" s="147">
        <f t="shared" si="43"/>
        <v>0</v>
      </c>
      <c r="P141" s="171">
        <f>+Tabla5518105[[#This Row],[PRECIO N]]-Tabla5518105[[#This Row],[ICO 8%2]]</f>
        <v>0</v>
      </c>
      <c r="Q141" s="149" t="e">
        <f>+Tabla5518105[[#This Row],[COSTO]]/Tabla5518105[[#This Row],[CARTA]]</f>
        <v>#DIV/0!</v>
      </c>
      <c r="R141" s="173">
        <f>+Tabla5518105[[#This Row],[PRECIO N]]/Tabla5518105[[#This Row],[COSTO]]</f>
        <v>0</v>
      </c>
    </row>
    <row r="142" spans="1:18" x14ac:dyDescent="0.3">
      <c r="A142" s="162">
        <v>3</v>
      </c>
      <c r="B142" s="155" t="str">
        <f>+POSTRES!B31</f>
        <v xml:space="preserve">TORTA DE CHOCOLATE </v>
      </c>
      <c r="C142" s="156"/>
      <c r="D142" s="201">
        <f>+POSTRES!K34</f>
        <v>9655.6686377340011</v>
      </c>
      <c r="E142" s="202"/>
      <c r="F142" s="202">
        <f>+E142/1.08*0.08</f>
        <v>0</v>
      </c>
      <c r="G142" s="203">
        <f>+Tabla5518105[[#This Row],[VENTA]]-Tabla5518105[[#This Row],[ICO 8%]]</f>
        <v>0</v>
      </c>
      <c r="H142" s="204" t="e">
        <f>+Tabla5518105[[#This Row],[COSTO]]/Tabla5518105[[#This Row],[BASE]]</f>
        <v>#DIV/0!</v>
      </c>
      <c r="I142" s="205">
        <f>+Tabla5518105[[#This Row],[BASE]]/Tabla5518105[[#This Row],[COSTO]]</f>
        <v>0</v>
      </c>
      <c r="J142" s="157" t="e">
        <f>+VLOOKUP(Tabla5518105[[#This Row],[POSTRES]],Tabla77[#All],3,0)</f>
        <v>#N/A</v>
      </c>
      <c r="K142" s="206">
        <f>+D142/(100-70)*100</f>
        <v>32185.562125780001</v>
      </c>
      <c r="L142" s="207">
        <f>+K142/1.08*0.08</f>
        <v>2384.1157130207407</v>
      </c>
      <c r="M142" s="208">
        <f>+Tabla5518105[[#This Row],[PRECIO SUGERIDO]]+Tabla5518105[[#This Row],[ICO2]]</f>
        <v>34569.677838800744</v>
      </c>
      <c r="N142" s="209"/>
      <c r="O142" s="202">
        <f>+N142/1.08*0.08</f>
        <v>0</v>
      </c>
      <c r="P142" s="201">
        <f>+Tabla5518105[[#This Row],[PRECIO N]]-Tabla5518105[[#This Row],[ICO 8%2]]</f>
        <v>0</v>
      </c>
      <c r="Q142" s="204" t="e">
        <f>+Tabla5518105[[#This Row],[COSTO]]/Tabla5518105[[#This Row],[CARTA]]</f>
        <v>#DIV/0!</v>
      </c>
      <c r="R142" s="175">
        <f>+Tabla5518105[[#This Row],[PRECIO N]]/Tabla5518105[[#This Row],[COSTO]]</f>
        <v>0</v>
      </c>
    </row>
    <row r="143" spans="1:18" x14ac:dyDescent="0.3">
      <c r="B143" s="155" t="s">
        <v>30</v>
      </c>
      <c r="C143" s="156"/>
      <c r="D143" s="174"/>
      <c r="E143" s="157"/>
      <c r="F143" s="157"/>
      <c r="G143" s="157"/>
      <c r="H143" s="158" t="e">
        <f>SUBTOTAL(101,Tabla5518105[%])</f>
        <v>#DIV/0!</v>
      </c>
      <c r="I143" s="157"/>
      <c r="J143" s="157"/>
      <c r="K143" s="159"/>
      <c r="L143" s="174"/>
      <c r="M143" s="157"/>
      <c r="N143" s="160"/>
      <c r="O143" s="157"/>
      <c r="P143" s="174"/>
      <c r="Q143" s="157"/>
      <c r="R143" s="175">
        <f>SUBTOTAL(109,Tabla5518105[RATION])</f>
        <v>0</v>
      </c>
    </row>
    <row r="144" spans="1:18" x14ac:dyDescent="0.3"/>
    <row r="145" spans="2:18" x14ac:dyDescent="0.3">
      <c r="B145" s="116"/>
      <c r="C145" s="59"/>
      <c r="D145" s="137"/>
      <c r="E145" s="117" t="s">
        <v>21</v>
      </c>
      <c r="F145" s="116"/>
      <c r="G145" s="118"/>
      <c r="H145" s="116"/>
      <c r="I145" s="116"/>
      <c r="J145" s="93"/>
      <c r="K145" s="278" t="s">
        <v>25</v>
      </c>
      <c r="L145" s="278"/>
      <c r="M145" s="278"/>
      <c r="N145" s="59"/>
      <c r="O145" s="59"/>
      <c r="P145" s="118"/>
    </row>
    <row r="146" spans="2:18" x14ac:dyDescent="0.3">
      <c r="B146" s="177" t="s">
        <v>211</v>
      </c>
      <c r="C146" s="60" t="s">
        <v>111</v>
      </c>
      <c r="D146" s="178" t="s">
        <v>7</v>
      </c>
      <c r="E146" s="119" t="s">
        <v>16</v>
      </c>
      <c r="F146" s="120" t="s">
        <v>29</v>
      </c>
      <c r="G146" s="60" t="s">
        <v>22</v>
      </c>
      <c r="H146" s="121" t="s">
        <v>17</v>
      </c>
      <c r="I146" s="60" t="s">
        <v>18</v>
      </c>
      <c r="J146" s="60" t="s">
        <v>19</v>
      </c>
      <c r="K146" s="60" t="s">
        <v>23</v>
      </c>
      <c r="L146" s="178" t="s">
        <v>28</v>
      </c>
      <c r="M146" s="60" t="s">
        <v>24</v>
      </c>
      <c r="N146" s="133" t="s">
        <v>26</v>
      </c>
      <c r="O146" s="169" t="s">
        <v>351</v>
      </c>
      <c r="P146" s="178" t="s">
        <v>21</v>
      </c>
      <c r="Q146" s="121" t="s">
        <v>27</v>
      </c>
      <c r="R146" s="179" t="s">
        <v>20</v>
      </c>
    </row>
    <row r="147" spans="2:18" x14ac:dyDescent="0.3">
      <c r="B147" s="27" t="str">
        <f>+'MENU INFANTIL'!B6</f>
        <v>MENU INFANTIL DE PESCADO</v>
      </c>
      <c r="C147" s="27"/>
      <c r="D147" s="180">
        <f>+'MENU INFANTIL'!K9</f>
        <v>9342.5211537209998</v>
      </c>
      <c r="E147" s="134">
        <f>+'MENU INFANTIL'!K10</f>
        <v>32000</v>
      </c>
      <c r="F147" s="122">
        <f>+E147/1.08*0.08</f>
        <v>2370.3703703703704</v>
      </c>
      <c r="G147" s="123">
        <f>+Tabla5518106[[#This Row],[VENTA]]-Tabla5518106[[#This Row],[ICO 8%]]</f>
        <v>29629.629629629628</v>
      </c>
      <c r="H147" s="124">
        <f>+Tabla5518106[[#This Row],[COSTO]]/Tabla5518106[[#This Row],[BASE]]</f>
        <v>0.31531008893808377</v>
      </c>
      <c r="I147" s="125">
        <f>+Tabla5518106[[#This Row],[BASE]]/Tabla5518106[[#This Row],[COSTO]]</f>
        <v>3.1714811389887565</v>
      </c>
      <c r="J147" s="126">
        <f>+VLOOKUP(Tabla5518106[[#This Row],[MENU INFANTIL]],Tabla77[#All],3,0)</f>
        <v>26</v>
      </c>
      <c r="K147" s="127">
        <f>+D147/(100-70)*100</f>
        <v>31141.737179069998</v>
      </c>
      <c r="L147" s="181">
        <f>+K147/1.08*0.08</f>
        <v>2306.7953465977776</v>
      </c>
      <c r="M147" s="128">
        <f>+Tabla5518106[[#This Row],[PRECIO SUGERIDO]]+Tabla5518106[[#This Row],[ICO2]]</f>
        <v>33448.532525667775</v>
      </c>
      <c r="N147" s="135"/>
      <c r="O147" s="122">
        <f t="shared" ref="O147:O149" si="44">+N147/1.08*0.08</f>
        <v>0</v>
      </c>
      <c r="P147" s="180">
        <f>+Tabla5518106[[#This Row],[PRECIO N]]-Tabla5518106[[#This Row],[ICO 8%2]]</f>
        <v>0</v>
      </c>
      <c r="Q147" s="124" t="e">
        <f>+Tabla5518106[[#This Row],[COSTO]]/Tabla5518106[[#This Row],[CARTA]]</f>
        <v>#DIV/0!</v>
      </c>
      <c r="R147" s="182">
        <f>+Tabla5518106[[#This Row],[PRECIO N]]/Tabla5518106[[#This Row],[COSTO]]</f>
        <v>0</v>
      </c>
    </row>
    <row r="148" spans="2:18" x14ac:dyDescent="0.3">
      <c r="B148" s="27" t="str">
        <f>+'MENU INFANTIL'!B18</f>
        <v>MENU INFANTIL DE POLLO</v>
      </c>
      <c r="C148" s="27"/>
      <c r="D148" s="180">
        <f>+'MENU INFANTIL'!K21</f>
        <v>7417.521283221</v>
      </c>
      <c r="E148" s="134">
        <f>+'MENU INFANTIL'!K22</f>
        <v>32000</v>
      </c>
      <c r="F148" s="122">
        <f>+E148/1.08*0.08</f>
        <v>2370.3703703703704</v>
      </c>
      <c r="G148" s="123">
        <f>+Tabla5518106[[#This Row],[VENTA]]-Tabla5518106[[#This Row],[ICO 8%]]</f>
        <v>29629.629629629628</v>
      </c>
      <c r="H148" s="124">
        <f>+Tabla5518106[[#This Row],[COSTO]]/Tabla5518106[[#This Row],[BASE]]</f>
        <v>0.25034134330870877</v>
      </c>
      <c r="I148" s="125">
        <f>+Tabla5518106[[#This Row],[BASE]]/Tabla5518106[[#This Row],[COSTO]]</f>
        <v>3.994545953869268</v>
      </c>
      <c r="J148" s="126">
        <f>+VLOOKUP(Tabla5518106[[#This Row],[MENU INFANTIL]],Tabla77[#All],3,0)</f>
        <v>21</v>
      </c>
      <c r="K148" s="127">
        <f>+D148/(100-70)*100</f>
        <v>24725.070944070001</v>
      </c>
      <c r="L148" s="181">
        <f>+K148/1.08*0.08</f>
        <v>1831.4867365977777</v>
      </c>
      <c r="M148" s="128">
        <f>+Tabla5518106[[#This Row],[PRECIO SUGERIDO]]+Tabla5518106[[#This Row],[ICO2]]</f>
        <v>26556.557680667778</v>
      </c>
      <c r="N148" s="135"/>
      <c r="O148" s="122">
        <f t="shared" si="44"/>
        <v>0</v>
      </c>
      <c r="P148" s="180">
        <f>+Tabla5518106[[#This Row],[PRECIO N]]-Tabla5518106[[#This Row],[ICO 8%2]]</f>
        <v>0</v>
      </c>
      <c r="Q148" s="124" t="e">
        <f>+Tabla5518106[[#This Row],[COSTO]]/Tabla5518106[[#This Row],[CARTA]]</f>
        <v>#DIV/0!</v>
      </c>
      <c r="R148" s="182">
        <f>+Tabla5518106[[#This Row],[PRECIO N]]/Tabla5518106[[#This Row],[COSTO]]</f>
        <v>0</v>
      </c>
    </row>
    <row r="149" spans="2:18" x14ac:dyDescent="0.3">
      <c r="B149" s="27" t="str">
        <f>+'MENU INFANTIL'!B30</f>
        <v>MENU INFANTIL DE SOLOMITO (ROCOTO)</v>
      </c>
      <c r="C149" s="27"/>
      <c r="D149" s="180">
        <f>+'MENU INFANTIL'!K33</f>
        <v>9805.6879508910006</v>
      </c>
      <c r="E149" s="134">
        <f>+'MENU INFANTIL'!K34</f>
        <v>32000</v>
      </c>
      <c r="F149" s="122">
        <f>+E149/1.08*0.08</f>
        <v>2370.3703703703704</v>
      </c>
      <c r="G149" s="123">
        <f>+Tabla5518106[[#This Row],[VENTA]]-Tabla5518106[[#This Row],[ICO 8%]]</f>
        <v>29629.629629629628</v>
      </c>
      <c r="H149" s="124">
        <f>+Tabla5518106[[#This Row],[COSTO]]/Tabla5518106[[#This Row],[BASE]]</f>
        <v>0.33094196834257128</v>
      </c>
      <c r="I149" s="125">
        <f>+Tabla5518106[[#This Row],[BASE]]/Tabla5518106[[#This Row],[COSTO]]</f>
        <v>3.0216778035382323</v>
      </c>
      <c r="J149" s="126">
        <f>+VLOOKUP(Tabla5518106[[#This Row],[MENU INFANTIL]],Tabla77[#All],3,0)</f>
        <v>42</v>
      </c>
      <c r="K149" s="127">
        <f>+D149/(100-70)*100</f>
        <v>32685.626502970001</v>
      </c>
      <c r="L149" s="181">
        <f>+K149/1.08*0.08</f>
        <v>2421.1575187385183</v>
      </c>
      <c r="M149" s="128">
        <f>+Tabla5518106[[#This Row],[PRECIO SUGERIDO]]+Tabla5518106[[#This Row],[ICO2]]</f>
        <v>35106.784021708518</v>
      </c>
      <c r="N149" s="135"/>
      <c r="O149" s="122">
        <f t="shared" si="44"/>
        <v>0</v>
      </c>
      <c r="P149" s="180">
        <f>+Tabla5518106[[#This Row],[PRECIO N]]-Tabla5518106[[#This Row],[ICO 8%2]]</f>
        <v>0</v>
      </c>
      <c r="Q149" s="124" t="e">
        <f>+Tabla5518106[[#This Row],[COSTO]]/Tabla5518106[[#This Row],[CARTA]]</f>
        <v>#DIV/0!</v>
      </c>
      <c r="R149" s="182">
        <f>+Tabla5518106[[#This Row],[PRECIO N]]/Tabla5518106[[#This Row],[COSTO]]</f>
        <v>0</v>
      </c>
    </row>
    <row r="150" spans="2:18" x14ac:dyDescent="0.3">
      <c r="B150" s="27" t="s">
        <v>30</v>
      </c>
      <c r="C150" s="27"/>
      <c r="D150" s="162"/>
      <c r="E150" s="126"/>
      <c r="F150" s="126"/>
      <c r="G150" s="126"/>
      <c r="H150" s="131">
        <f>SUBTOTAL(101,Tabla5518106[%])</f>
        <v>0.29886446686312124</v>
      </c>
      <c r="I150" s="126"/>
      <c r="J150" s="126"/>
      <c r="K150" s="93"/>
      <c r="L150" s="162"/>
      <c r="M150" s="126"/>
      <c r="N150" s="132"/>
      <c r="O150" s="126"/>
      <c r="P150" s="162"/>
      <c r="Q150" s="126"/>
      <c r="R150" s="182">
        <f>SUBTOTAL(109,Tabla5518106[RATION])</f>
        <v>0</v>
      </c>
    </row>
    <row r="153" spans="2:18" x14ac:dyDescent="0.3">
      <c r="B153" s="116"/>
      <c r="C153" s="59"/>
      <c r="D153" s="137"/>
      <c r="E153" s="117" t="s">
        <v>21</v>
      </c>
      <c r="F153" s="116"/>
      <c r="G153" s="118"/>
      <c r="H153" s="116"/>
      <c r="I153" s="116"/>
      <c r="J153" s="93"/>
      <c r="K153" s="278" t="s">
        <v>25</v>
      </c>
      <c r="L153" s="278"/>
      <c r="M153" s="278"/>
      <c r="N153" s="59"/>
      <c r="O153" s="59"/>
      <c r="P153" s="118"/>
    </row>
    <row r="154" spans="2:18" x14ac:dyDescent="0.3">
      <c r="B154" s="177" t="s">
        <v>212</v>
      </c>
      <c r="C154" s="60" t="s">
        <v>111</v>
      </c>
      <c r="D154" s="178" t="s">
        <v>7</v>
      </c>
      <c r="E154" s="119" t="s">
        <v>16</v>
      </c>
      <c r="F154" s="120" t="s">
        <v>29</v>
      </c>
      <c r="G154" s="60" t="s">
        <v>22</v>
      </c>
      <c r="H154" s="121" t="s">
        <v>17</v>
      </c>
      <c r="I154" s="60" t="s">
        <v>18</v>
      </c>
      <c r="J154" s="60" t="s">
        <v>19</v>
      </c>
      <c r="K154" s="60" t="s">
        <v>23</v>
      </c>
      <c r="L154" s="178" t="s">
        <v>28</v>
      </c>
      <c r="M154" s="60" t="s">
        <v>24</v>
      </c>
      <c r="N154" s="133" t="s">
        <v>26</v>
      </c>
      <c r="O154" s="169" t="s">
        <v>351</v>
      </c>
      <c r="P154" s="178" t="s">
        <v>21</v>
      </c>
      <c r="Q154" s="121" t="s">
        <v>27</v>
      </c>
      <c r="R154" s="179" t="s">
        <v>20</v>
      </c>
    </row>
    <row r="155" spans="2:18" x14ac:dyDescent="0.3">
      <c r="B155" s="27" t="str">
        <f>+SANGRIA!B68</f>
        <v xml:space="preserve">COPA SANGRIA BLANCA </v>
      </c>
      <c r="C155" s="27"/>
      <c r="D155" s="180">
        <f>+SANGRIA!K71</f>
        <v>18044.314133526346</v>
      </c>
      <c r="E155" s="122">
        <f>+SANGRIA!K72</f>
        <v>37000</v>
      </c>
      <c r="F155" s="122">
        <f t="shared" ref="F155:F160" si="45">+E155/1.08*0.08</f>
        <v>2740.7407407407404</v>
      </c>
      <c r="G155" s="123">
        <f>+Tabla5518107[[#This Row],[VENTA]]-Tabla5518107[[#This Row],[ICO 8%]]</f>
        <v>34259.259259259263</v>
      </c>
      <c r="H155" s="124">
        <f>+Tabla5518107[[#This Row],[COSTO]]/Tabla5518107[[#This Row],[BASE]]</f>
        <v>0.52669889903266087</v>
      </c>
      <c r="I155" s="125">
        <f>+Tabla5518107[[#This Row],[BASE]]/Tabla5518107[[#This Row],[COSTO]]</f>
        <v>1.8986179804753864</v>
      </c>
      <c r="J155" s="126">
        <f>+VLOOKUP(Tabla5518107[[#This Row],[SANGRIAS]],Tabla77[#All],3,0)</f>
        <v>16</v>
      </c>
      <c r="K155" s="127">
        <f t="shared" ref="K155:K160" si="46">+D155/(100-70)*100</f>
        <v>60147.713778421152</v>
      </c>
      <c r="L155" s="181">
        <f t="shared" ref="L155:L160" si="47">+K155/1.08*0.08</f>
        <v>4455.3862058089735</v>
      </c>
      <c r="M155" s="128">
        <f>+Tabla5518107[[#This Row],[PRECIO SUGERIDO]]+Tabla5518107[[#This Row],[ICO2]]</f>
        <v>64603.099984230124</v>
      </c>
      <c r="N155" s="129">
        <v>40000</v>
      </c>
      <c r="O155" s="122">
        <f t="shared" ref="O155:O160" si="48">+N155/1.08*0.08</f>
        <v>2962.962962962963</v>
      </c>
      <c r="P155" s="180">
        <f>+Tabla5518107[[#This Row],[PRECIO N]]-Tabla5518107[[#This Row],[ICO 8%2]]</f>
        <v>37037.037037037036</v>
      </c>
      <c r="Q155" s="124">
        <f>+Tabla5518107[[#This Row],[COSTO]]/Tabla5518107[[#This Row],[CARTA]]</f>
        <v>0.48719648160521134</v>
      </c>
      <c r="R155" s="182">
        <f>+Tabla5518107[[#This Row],[PRECIO N]]/Tabla5518107[[#This Row],[COSTO]]</f>
        <v>2.2167647772036942</v>
      </c>
    </row>
    <row r="156" spans="2:18" x14ac:dyDescent="0.3">
      <c r="B156" s="27" t="str">
        <f>+SANGRIA!B45</f>
        <v xml:space="preserve">COPA SANGRIA ROSE </v>
      </c>
      <c r="C156" s="27"/>
      <c r="D156" s="180">
        <f>+SANGRIA!K48</f>
        <v>16588.826130868249</v>
      </c>
      <c r="E156" s="134">
        <f>+SANGRIA!K49</f>
        <v>37000</v>
      </c>
      <c r="F156" s="122">
        <f t="shared" si="45"/>
        <v>2740.7407407407404</v>
      </c>
      <c r="G156" s="123">
        <f>+Tabla5518107[[#This Row],[VENTA]]-Tabla5518107[[#This Row],[ICO 8%]]</f>
        <v>34259.259259259263</v>
      </c>
      <c r="H156" s="124">
        <f>+Tabla5518107[[#This Row],[COSTO]]/Tabla5518107[[#This Row],[BASE]]</f>
        <v>0.48421438436047853</v>
      </c>
      <c r="I156" s="125">
        <f>+Tabla5518107[[#This Row],[BASE]]/Tabla5518107[[#This Row],[COSTO]]</f>
        <v>2.0652009364008057</v>
      </c>
      <c r="J156" s="126">
        <f>+VLOOKUP(Tabla5518107[[#This Row],[SANGRIAS]],Tabla77[#All],3,0)</f>
        <v>69</v>
      </c>
      <c r="K156" s="127">
        <f t="shared" si="46"/>
        <v>55296.087102894162</v>
      </c>
      <c r="L156" s="181">
        <f t="shared" si="47"/>
        <v>4096.0064520662345</v>
      </c>
      <c r="M156" s="128">
        <f>+Tabla5518107[[#This Row],[PRECIO SUGERIDO]]+Tabla5518107[[#This Row],[ICO2]]</f>
        <v>59392.093554960396</v>
      </c>
      <c r="N156" s="135">
        <v>40000</v>
      </c>
      <c r="O156" s="122">
        <f t="shared" si="48"/>
        <v>2962.962962962963</v>
      </c>
      <c r="P156" s="180">
        <f>+Tabla5518107[[#This Row],[PRECIO N]]-Tabla5518107[[#This Row],[ICO 8%2]]</f>
        <v>37037.037037037036</v>
      </c>
      <c r="Q156" s="124">
        <f>+Tabla5518107[[#This Row],[COSTO]]/Tabla5518107[[#This Row],[CARTA]]</f>
        <v>0.44789830553344273</v>
      </c>
      <c r="R156" s="182">
        <f>+Tabla5518107[[#This Row],[PRECIO N]]/Tabla5518107[[#This Row],[COSTO]]</f>
        <v>2.4112616338517512</v>
      </c>
    </row>
    <row r="157" spans="2:18" x14ac:dyDescent="0.3">
      <c r="B157" s="27" t="str">
        <f>+SANGRIA!B20</f>
        <v xml:space="preserve">COPA SANGRIA TINTO </v>
      </c>
      <c r="C157" s="27"/>
      <c r="D157" s="180">
        <f>+SANGRIA!K23</f>
        <v>9945.7743602979281</v>
      </c>
      <c r="E157" s="122">
        <f>+SANGRIA!K24</f>
        <v>37000</v>
      </c>
      <c r="F157" s="122">
        <f t="shared" si="45"/>
        <v>2740.7407407407404</v>
      </c>
      <c r="G157" s="123">
        <f>+Tabla5518107[[#This Row],[VENTA]]-Tabla5518107[[#This Row],[ICO 8%]]</f>
        <v>34259.259259259263</v>
      </c>
      <c r="H157" s="124">
        <f>+Tabla5518107[[#This Row],[COSTO]]/Tabla5518107[[#This Row],[BASE]]</f>
        <v>0.29030908943572326</v>
      </c>
      <c r="I157" s="125">
        <f>+Tabla5518107[[#This Row],[BASE]]/Tabla5518107[[#This Row],[COSTO]]</f>
        <v>3.4446045142565467</v>
      </c>
      <c r="J157" s="126">
        <f>+VLOOKUP(Tabla5518107[[#This Row],[SANGRIAS]],Tabla77[#All],3,0)</f>
        <v>68</v>
      </c>
      <c r="K157" s="127">
        <f t="shared" si="46"/>
        <v>33152.581200993089</v>
      </c>
      <c r="L157" s="181">
        <f t="shared" si="47"/>
        <v>2455.7467556291176</v>
      </c>
      <c r="M157" s="128">
        <f>+Tabla5518107[[#This Row],[PRECIO SUGERIDO]]+Tabla5518107[[#This Row],[ICO2]]</f>
        <v>35608.327956622205</v>
      </c>
      <c r="N157" s="129">
        <v>40000</v>
      </c>
      <c r="O157" s="122">
        <f t="shared" si="48"/>
        <v>2962.962962962963</v>
      </c>
      <c r="P157" s="180">
        <f>+Tabla5518107[[#This Row],[PRECIO N]]-Tabla5518107[[#This Row],[ICO 8%2]]</f>
        <v>37037.037037037036</v>
      </c>
      <c r="Q157" s="124">
        <f>+Tabla5518107[[#This Row],[COSTO]]/Tabla5518107[[#This Row],[CARTA]]</f>
        <v>0.26853590772804409</v>
      </c>
      <c r="R157" s="182">
        <f>+Tabla5518107[[#This Row],[PRECIO N]]/Tabla5518107[[#This Row],[COSTO]]</f>
        <v>4.0218085139427791</v>
      </c>
    </row>
    <row r="158" spans="2:18" x14ac:dyDescent="0.3">
      <c r="B158" s="27" t="str">
        <f>+SANGRIA!B56</f>
        <v>SANGRIA BLANCA ESPUMOSA</v>
      </c>
      <c r="C158" s="27" t="s">
        <v>214</v>
      </c>
      <c r="D158" s="180">
        <f>+SANGRIA!K59</f>
        <v>50835.674910231748</v>
      </c>
      <c r="E158" s="122">
        <f>+SANGRIA!K60</f>
        <v>150000</v>
      </c>
      <c r="F158" s="122">
        <f t="shared" si="45"/>
        <v>11111.111111111109</v>
      </c>
      <c r="G158" s="123">
        <f>+Tabla5518107[[#This Row],[VENTA]]-Tabla5518107[[#This Row],[ICO 8%]]</f>
        <v>138888.88888888888</v>
      </c>
      <c r="H158" s="124">
        <f>+Tabla5518107[[#This Row],[COSTO]]/Tabla5518107[[#This Row],[BASE]]</f>
        <v>0.36601685935366862</v>
      </c>
      <c r="I158" s="125">
        <f>+Tabla5518107[[#This Row],[BASE]]/Tabla5518107[[#This Row],[COSTO]]</f>
        <v>2.73211458555721</v>
      </c>
      <c r="J158" s="126">
        <f>+VLOOKUP(Tabla5518107[[#This Row],[SANGRIAS]],Tabla77[#All],3,0)</f>
        <v>18</v>
      </c>
      <c r="K158" s="127">
        <f t="shared" si="46"/>
        <v>169452.24970077249</v>
      </c>
      <c r="L158" s="181">
        <f t="shared" si="47"/>
        <v>12552.018496353518</v>
      </c>
      <c r="M158" s="128">
        <f>+Tabla5518107[[#This Row],[PRECIO SUGERIDO]]+Tabla5518107[[#This Row],[ICO2]]</f>
        <v>182004.26819712602</v>
      </c>
      <c r="N158" s="129">
        <v>170000</v>
      </c>
      <c r="O158" s="122">
        <f t="shared" si="48"/>
        <v>12592.592592592591</v>
      </c>
      <c r="P158" s="180">
        <f>+Tabla5518107[[#This Row],[PRECIO N]]-Tabla5518107[[#This Row],[ICO 8%2]]</f>
        <v>157407.40740740742</v>
      </c>
      <c r="Q158" s="124">
        <f>+Tabla5518107[[#This Row],[COSTO]]/Tabla5518107[[#This Row],[CARTA]]</f>
        <v>0.32295605237088404</v>
      </c>
      <c r="R158" s="182">
        <f>+Tabla5518107[[#This Row],[PRECIO N]]/Tabla5518107[[#This Row],[COSTO]]</f>
        <v>3.3441082527220254</v>
      </c>
    </row>
    <row r="159" spans="2:18" x14ac:dyDescent="0.3">
      <c r="B159" s="27" t="str">
        <f>+SANGRIA!B34</f>
        <v>SANGRIA LAMBRUSCO ROSE</v>
      </c>
      <c r="C159" s="27" t="s">
        <v>217</v>
      </c>
      <c r="D159" s="180">
        <f>+SANGRIA!K37</f>
        <v>52608.830663266497</v>
      </c>
      <c r="E159" s="134">
        <f>+SANGRIA!K38</f>
        <v>150000</v>
      </c>
      <c r="F159" s="122">
        <f t="shared" si="45"/>
        <v>11111.111111111109</v>
      </c>
      <c r="G159" s="123">
        <f>+Tabla5518107[[#This Row],[VENTA]]-Tabla5518107[[#This Row],[ICO 8%]]</f>
        <v>138888.88888888888</v>
      </c>
      <c r="H159" s="124">
        <f>+Tabla5518107[[#This Row],[COSTO]]/Tabla5518107[[#This Row],[BASE]]</f>
        <v>0.37878358077551882</v>
      </c>
      <c r="I159" s="125">
        <f>+Tabla5518107[[#This Row],[BASE]]/Tabla5518107[[#This Row],[COSTO]]</f>
        <v>2.640029955766845</v>
      </c>
      <c r="J159" s="126">
        <f>+VLOOKUP(Tabla5518107[[#This Row],[SANGRIAS]],Tabla77[#All],3,0)</f>
        <v>93</v>
      </c>
      <c r="K159" s="127">
        <f t="shared" si="46"/>
        <v>175362.76887755498</v>
      </c>
      <c r="L159" s="181">
        <f t="shared" si="47"/>
        <v>12989.834731670739</v>
      </c>
      <c r="M159" s="128">
        <f>+Tabla5518107[[#This Row],[PRECIO SUGERIDO]]+Tabla5518107[[#This Row],[ICO2]]</f>
        <v>188352.60360922571</v>
      </c>
      <c r="N159" s="129">
        <v>170000</v>
      </c>
      <c r="O159" s="122">
        <f t="shared" si="48"/>
        <v>12592.592592592591</v>
      </c>
      <c r="P159" s="180">
        <f>+Tabla5518107[[#This Row],[PRECIO N]]-Tabla5518107[[#This Row],[ICO 8%2]]</f>
        <v>157407.40740740742</v>
      </c>
      <c r="Q159" s="124">
        <f>+Tabla5518107[[#This Row],[COSTO]]/Tabla5518107[[#This Row],[CARTA]]</f>
        <v>0.33422080656663422</v>
      </c>
      <c r="R159" s="182">
        <f>+Tabla5518107[[#This Row],[PRECIO N]]/Tabla5518107[[#This Row],[COSTO]]</f>
        <v>3.2313966658586182</v>
      </c>
    </row>
    <row r="160" spans="2:18" x14ac:dyDescent="0.3">
      <c r="B160" s="27" t="str">
        <f>+SANGRIA!B6</f>
        <v>SANGRIA LAMBRUSCO TINTO</v>
      </c>
      <c r="C160" s="27"/>
      <c r="D160" s="180">
        <f>+SANGRIA!K9</f>
        <v>46177.98760789536</v>
      </c>
      <c r="E160" s="122">
        <f>+SANGRIA!K10</f>
        <v>150000</v>
      </c>
      <c r="F160" s="122">
        <f t="shared" si="45"/>
        <v>11111.111111111109</v>
      </c>
      <c r="G160" s="123">
        <f>+Tabla5518107[[#This Row],[VENTA]]-Tabla5518107[[#This Row],[ICO 8%]]</f>
        <v>138888.88888888888</v>
      </c>
      <c r="H160" s="124">
        <f>+Tabla5518107[[#This Row],[COSTO]]/Tabla5518107[[#This Row],[BASE]]</f>
        <v>0.33248151077684662</v>
      </c>
      <c r="I160" s="125">
        <f>+Tabla5518107[[#This Row],[BASE]]/Tabla5518107[[#This Row],[COSTO]]</f>
        <v>3.0076860444464693</v>
      </c>
      <c r="J160" s="126">
        <f>+VLOOKUP(Tabla5518107[[#This Row],[SANGRIAS]],Tabla77[#All],3,0)</f>
        <v>61</v>
      </c>
      <c r="K160" s="127">
        <f t="shared" si="46"/>
        <v>153926.62535965123</v>
      </c>
      <c r="L160" s="181">
        <f t="shared" si="47"/>
        <v>11401.972248863054</v>
      </c>
      <c r="M160" s="128">
        <f>+Tabla5518107[[#This Row],[PRECIO SUGERIDO]]+Tabla5518107[[#This Row],[ICO2]]</f>
        <v>165328.59760851428</v>
      </c>
      <c r="N160" s="129">
        <v>170000</v>
      </c>
      <c r="O160" s="122">
        <f t="shared" si="48"/>
        <v>12592.592592592591</v>
      </c>
      <c r="P160" s="180">
        <f>+Tabla5518107[[#This Row],[PRECIO N]]-Tabla5518107[[#This Row],[ICO 8%2]]</f>
        <v>157407.40740740742</v>
      </c>
      <c r="Q160" s="124">
        <f>+Tabla5518107[[#This Row],[COSTO]]/Tabla5518107[[#This Row],[CARTA]]</f>
        <v>0.29336603892074697</v>
      </c>
      <c r="R160" s="182">
        <f>+Tabla5518107[[#This Row],[PRECIO N]]/Tabla5518107[[#This Row],[COSTO]]</f>
        <v>3.6814077184024789</v>
      </c>
    </row>
    <row r="161" spans="1:18" x14ac:dyDescent="0.3">
      <c r="B161" s="27" t="s">
        <v>30</v>
      </c>
      <c r="C161" s="27"/>
      <c r="D161" s="162"/>
      <c r="E161" s="126"/>
      <c r="F161" s="126"/>
      <c r="G161" s="126"/>
      <c r="H161" s="131">
        <f>SUBTOTAL(101,Tabla5518107[%])</f>
        <v>0.39641738728914944</v>
      </c>
      <c r="I161" s="126"/>
      <c r="J161" s="126"/>
      <c r="K161" s="93"/>
      <c r="L161" s="162"/>
      <c r="M161" s="126"/>
      <c r="N161" s="132"/>
      <c r="O161" s="126"/>
      <c r="P161" s="162"/>
      <c r="Q161" s="126"/>
      <c r="R161" s="182">
        <f>SUBTOTAL(109,Tabla5518107[RATION])</f>
        <v>18.906747561981348</v>
      </c>
    </row>
    <row r="164" spans="1:18" x14ac:dyDescent="0.3">
      <c r="B164" s="116"/>
      <c r="C164" s="59"/>
      <c r="D164" s="137"/>
      <c r="E164" s="117" t="s">
        <v>21</v>
      </c>
      <c r="F164" s="116"/>
      <c r="G164" s="118"/>
      <c r="H164" s="116"/>
      <c r="I164" s="116"/>
      <c r="J164" s="93"/>
      <c r="K164" s="278" t="s">
        <v>25</v>
      </c>
      <c r="L164" s="278"/>
      <c r="M164" s="278"/>
      <c r="N164" s="59"/>
      <c r="O164" s="59"/>
      <c r="P164" s="118"/>
    </row>
    <row r="165" spans="1:18" ht="14.4" x14ac:dyDescent="0.3">
      <c r="B165" s="260" t="s">
        <v>1274</v>
      </c>
      <c r="C165" s="60" t="s">
        <v>111</v>
      </c>
      <c r="D165" s="178" t="s">
        <v>7</v>
      </c>
      <c r="E165" s="119" t="s">
        <v>16</v>
      </c>
      <c r="F165" s="120" t="s">
        <v>29</v>
      </c>
      <c r="G165" s="60" t="s">
        <v>22</v>
      </c>
      <c r="H165" s="121" t="s">
        <v>17</v>
      </c>
      <c r="I165" s="60" t="s">
        <v>18</v>
      </c>
      <c r="J165" s="60" t="s">
        <v>19</v>
      </c>
      <c r="K165" s="60" t="s">
        <v>23</v>
      </c>
      <c r="L165" s="178" t="s">
        <v>28</v>
      </c>
      <c r="M165" s="60" t="s">
        <v>24</v>
      </c>
      <c r="N165" s="133" t="s">
        <v>26</v>
      </c>
      <c r="O165" s="169" t="s">
        <v>351</v>
      </c>
      <c r="P165" s="178" t="s">
        <v>21</v>
      </c>
      <c r="Q165" s="121" t="s">
        <v>27</v>
      </c>
      <c r="R165" s="179" t="s">
        <v>20</v>
      </c>
    </row>
    <row r="166" spans="1:18" x14ac:dyDescent="0.3">
      <c r="A166" s="162">
        <v>1</v>
      </c>
      <c r="B166" s="27" t="str">
        <f>+'COCTELES A BASE DE PISCO'!B7</f>
        <v>COCONUT SOUR</v>
      </c>
      <c r="C166" s="27"/>
      <c r="D166" s="180">
        <f>+'COCTELES A BASE DE PISCO'!K10</f>
        <v>12509.180253254999</v>
      </c>
      <c r="E166" s="122">
        <f>+'COCTELES A BASE DE PISCO'!K11</f>
        <v>39900</v>
      </c>
      <c r="F166" s="122">
        <f t="shared" ref="F166:F175" si="49">+E166/1.08*0.08</f>
        <v>2955.5555555555557</v>
      </c>
      <c r="G166" s="123">
        <f>+Tabla5518107213[[#This Row],[VENTA]]-Tabla5518107213[[#This Row],[ICO 8%]]</f>
        <v>36944.444444444445</v>
      </c>
      <c r="H166" s="124">
        <f>+Tabla5518107213[[#This Row],[COSTO]]/Tabla5518107213[[#This Row],[BASE]]</f>
        <v>0.33859435271968419</v>
      </c>
      <c r="I166" s="125">
        <f>+Tabla5518107213[[#This Row],[BASE]]/Tabla5518107213[[#This Row],[COSTO]]</f>
        <v>2.9533865286521213</v>
      </c>
      <c r="J166" s="126">
        <f>+VLOOKUP(Tabla5518107213[[#This Row],[COCTELES DE LA CASA]],Tabla77[#All],3,0)</f>
        <v>88</v>
      </c>
      <c r="K166" s="127">
        <f t="shared" ref="K166:K175" si="50">+D166/(100-70)*100</f>
        <v>41697.267510849997</v>
      </c>
      <c r="L166" s="181">
        <f t="shared" ref="L166:L175" si="51">+K166/1.08*0.08</f>
        <v>3088.6864822851849</v>
      </c>
      <c r="M166" s="128">
        <f>+Tabla5518107213[[#This Row],[PRECIO SUGERIDO]]+Tabla5518107213[[#This Row],[ICO2]]</f>
        <v>44785.953993135183</v>
      </c>
      <c r="N166" s="129">
        <v>43900</v>
      </c>
      <c r="O166" s="122">
        <f t="shared" ref="O166:O176" si="52">+N166/1.08*0.08</f>
        <v>3251.8518518518517</v>
      </c>
      <c r="P166" s="180">
        <f>+Tabla5518107213[[#This Row],[PRECIO N]]-Tabla5518107213[[#This Row],[ICO 8%2]]</f>
        <v>40648.148148148146</v>
      </c>
      <c r="Q166" s="124">
        <f>+Tabla5518107213[[#This Row],[COSTO]]/Tabla5518107213[[#This Row],[CARTA]]</f>
        <v>0.30774293105957629</v>
      </c>
      <c r="R166" s="182">
        <f>+Tabla5518107213[[#This Row],[PRECIO N]]/Tabla5518107213[[#This Row],[COSTO]]</f>
        <v>3.5094226089336935</v>
      </c>
    </row>
    <row r="167" spans="1:18" x14ac:dyDescent="0.3">
      <c r="A167" s="162">
        <v>2</v>
      </c>
      <c r="B167" s="27" t="str">
        <f>+'COCTELES A BASE DE PISCO'!B21</f>
        <v xml:space="preserve"> SOUR CLASICO</v>
      </c>
      <c r="C167" s="27"/>
      <c r="D167" s="180">
        <f>+'COCTELES A BASE DE PISCO'!K24</f>
        <v>10097.646133763999</v>
      </c>
      <c r="E167" s="122">
        <f>+'COCTELES A BASE DE PISCO'!K25</f>
        <v>35500</v>
      </c>
      <c r="F167" s="122">
        <f t="shared" si="49"/>
        <v>2629.6296296296291</v>
      </c>
      <c r="G167" s="123">
        <f>+Tabla5518107213[[#This Row],[VENTA]]-Tabla5518107213[[#This Row],[ICO 8%]]</f>
        <v>32870.370370370372</v>
      </c>
      <c r="H167" s="124">
        <f>+Tabla5518107213[[#This Row],[COSTO]]/Tabla5518107213[[#This Row],[BASE]]</f>
        <v>0.30719599505535544</v>
      </c>
      <c r="I167" s="125">
        <f>+Tabla5518107213[[#This Row],[BASE]]/Tabla5518107213[[#This Row],[COSTO]]</f>
        <v>3.2552507718071131</v>
      </c>
      <c r="J167" s="126">
        <f>+VLOOKUP(Tabla5518107213[[#This Row],[COCTELES DE LA CASA]],Tabla77[#All],3,0)</f>
        <v>759</v>
      </c>
      <c r="K167" s="127">
        <f t="shared" si="50"/>
        <v>33658.820445879996</v>
      </c>
      <c r="L167" s="181">
        <f t="shared" si="51"/>
        <v>2493.2459589540736</v>
      </c>
      <c r="M167" s="128">
        <f>+Tabla5518107213[[#This Row],[PRECIO SUGERIDO]]+Tabla5518107213[[#This Row],[ICO2]]</f>
        <v>36152.06640483407</v>
      </c>
      <c r="N167" s="129">
        <v>39000</v>
      </c>
      <c r="O167" s="122">
        <f t="shared" si="52"/>
        <v>2888.8888888888887</v>
      </c>
      <c r="P167" s="180">
        <f>+Tabla5518107213[[#This Row],[PRECIO N]]-Tabla5518107213[[#This Row],[ICO 8%2]]</f>
        <v>36111.111111111109</v>
      </c>
      <c r="Q167" s="124">
        <f>+Tabla5518107213[[#This Row],[COSTO]]/Tabla5518107213[[#This Row],[CARTA]]</f>
        <v>0.27962712370423382</v>
      </c>
      <c r="R167" s="182">
        <f>+Tabla5518107213[[#This Row],[PRECIO N]]/Tabla5518107213[[#This Row],[COSTO]]</f>
        <v>3.8622862678455099</v>
      </c>
    </row>
    <row r="168" spans="1:18" x14ac:dyDescent="0.3">
      <c r="A168" s="162">
        <v>3</v>
      </c>
      <c r="B168" s="261" t="str">
        <f>+'COCTELES A BASE DE PISCO'!B32</f>
        <v xml:space="preserve">COCA SOUR </v>
      </c>
      <c r="C168" s="27"/>
      <c r="D168" s="180">
        <f>+'COCTELES A BASE DE PISCO'!K35</f>
        <v>39531.653280241509</v>
      </c>
      <c r="E168" s="122">
        <f>+'COCTELES A BASE DE PISCO'!K36</f>
        <v>39900</v>
      </c>
      <c r="F168" s="122">
        <f t="shared" si="49"/>
        <v>2955.5555555555557</v>
      </c>
      <c r="G168" s="123">
        <f>+Tabla5518107213[[#This Row],[VENTA]]-Tabla5518107213[[#This Row],[ICO 8%]]</f>
        <v>36944.444444444445</v>
      </c>
      <c r="H168" s="124">
        <f>+Tabla5518107213[[#This Row],[COSTO]]/Tabla5518107213[[#This Row],[BASE]]</f>
        <v>1.0700297128486422</v>
      </c>
      <c r="I168" s="125">
        <f>+Tabla5518107213[[#This Row],[BASE]]/Tabla5518107213[[#This Row],[COSTO]]</f>
        <v>0.93455348762025625</v>
      </c>
      <c r="J168" s="126">
        <f>+VLOOKUP(Tabla5518107213[[#This Row],[COCTELES DE LA CASA]],Tabla77[#All],3,0)</f>
        <v>37</v>
      </c>
      <c r="K168" s="127">
        <f t="shared" si="50"/>
        <v>131772.17760080504</v>
      </c>
      <c r="L168" s="181">
        <f t="shared" si="51"/>
        <v>9760.9020445040769</v>
      </c>
      <c r="M168" s="128">
        <f>+Tabla5518107213[[#This Row],[PRECIO SUGERIDO]]+Tabla5518107213[[#This Row],[ICO2]]</f>
        <v>141533.0796453091</v>
      </c>
      <c r="N168" s="212"/>
      <c r="O168" s="122">
        <f t="shared" si="52"/>
        <v>0</v>
      </c>
      <c r="P168" s="180">
        <f>+Tabla5518107213[[#This Row],[PRECIO N]]-Tabla5518107213[[#This Row],[ICO 8%2]]</f>
        <v>0</v>
      </c>
      <c r="Q168" s="124" t="e">
        <f>+Tabla5518107213[[#This Row],[COSTO]]/Tabla5518107213[[#This Row],[CARTA]]</f>
        <v>#DIV/0!</v>
      </c>
      <c r="R168" s="182">
        <f>+Tabla5518107213[[#This Row],[PRECIO N]]/Tabla5518107213[[#This Row],[COSTO]]</f>
        <v>0</v>
      </c>
    </row>
    <row r="169" spans="1:18" x14ac:dyDescent="0.3">
      <c r="A169" s="162">
        <v>4</v>
      </c>
      <c r="B169" s="27" t="str">
        <f>+'COCTELES A BASE DE PISCO'!B43</f>
        <v xml:space="preserve"> MARACUYA SOUR</v>
      </c>
      <c r="C169" s="27"/>
      <c r="D169" s="180">
        <f>+'COCTELES A BASE DE PISCO'!K46</f>
        <v>10298.611202018999</v>
      </c>
      <c r="E169" s="122">
        <f>+'COCTELES A BASE DE PISCO'!K47</f>
        <v>35500</v>
      </c>
      <c r="F169" s="122">
        <f t="shared" si="49"/>
        <v>2629.6296296296291</v>
      </c>
      <c r="G169" s="123">
        <f>+Tabla5518107213[[#This Row],[VENTA]]-Tabla5518107213[[#This Row],[ICO 8%]]</f>
        <v>32870.370370370372</v>
      </c>
      <c r="H169" s="124">
        <f>+Tabla5518107213[[#This Row],[COSTO]]/Tabla5518107213[[#This Row],[BASE]]</f>
        <v>0.31330986192057797</v>
      </c>
      <c r="I169" s="125">
        <f>+Tabla5518107213[[#This Row],[BASE]]/Tabla5518107213[[#This Row],[COSTO]]</f>
        <v>3.1917284501357108</v>
      </c>
      <c r="J169" s="126">
        <f>+VLOOKUP(Tabla5518107213[[#This Row],[COCTELES DE LA CASA]],Tabla77[#All],3,0)</f>
        <v>313</v>
      </c>
      <c r="K169" s="127">
        <f t="shared" si="50"/>
        <v>34328.704006729997</v>
      </c>
      <c r="L169" s="181">
        <f t="shared" si="51"/>
        <v>2542.8669634614812</v>
      </c>
      <c r="M169" s="128">
        <f>+Tabla5518107213[[#This Row],[PRECIO SUGERIDO]]+Tabla5518107213[[#This Row],[ICO2]]</f>
        <v>36871.570970191475</v>
      </c>
      <c r="N169" s="129">
        <v>39000</v>
      </c>
      <c r="O169" s="122">
        <f t="shared" si="52"/>
        <v>2888.8888888888887</v>
      </c>
      <c r="P169" s="180">
        <f>+Tabla5518107213[[#This Row],[PRECIO N]]-Tabla5518107213[[#This Row],[ICO 8%2]]</f>
        <v>36111.111111111109</v>
      </c>
      <c r="Q169" s="124">
        <f>+Tabla5518107213[[#This Row],[COSTO]]/Tabla5518107213[[#This Row],[CARTA]]</f>
        <v>0.28519231020975694</v>
      </c>
      <c r="R169" s="182">
        <f>+Tabla5518107213[[#This Row],[PRECIO N]]/Tabla5518107213[[#This Row],[COSTO]]</f>
        <v>3.7869183752032716</v>
      </c>
    </row>
    <row r="170" spans="1:18" x14ac:dyDescent="0.3">
      <c r="A170" s="162">
        <v>5</v>
      </c>
      <c r="B170" s="27" t="str">
        <f>+'COCTELES A BASE DE PISCO'!B55</f>
        <v>PISCO &amp; TONIC</v>
      </c>
      <c r="C170" s="27"/>
      <c r="D170" s="180">
        <f>+'COCTELES A BASE DE PISCO'!K58</f>
        <v>8064.3029232441877</v>
      </c>
      <c r="E170" s="122">
        <f>+'COCTELES A BASE DE PISCO'!K59</f>
        <v>39900</v>
      </c>
      <c r="F170" s="122">
        <f t="shared" si="49"/>
        <v>2955.5555555555557</v>
      </c>
      <c r="G170" s="123">
        <f>+Tabla5518107213[[#This Row],[VENTA]]-Tabla5518107213[[#This Row],[ICO 8%]]</f>
        <v>36944.444444444445</v>
      </c>
      <c r="H170" s="124">
        <f>+Tabla5518107213[[#This Row],[COSTO]]/Tabla5518107213[[#This Row],[BASE]]</f>
        <v>0.21828188363668477</v>
      </c>
      <c r="I170" s="125">
        <f>+Tabla5518107213[[#This Row],[BASE]]/Tabla5518107213[[#This Row],[COSTO]]</f>
        <v>4.5812322275193091</v>
      </c>
      <c r="J170" s="126">
        <f>+VLOOKUP(Tabla5518107213[[#This Row],[COCTELES DE LA CASA]],Tabla77[#All],3,0)</f>
        <v>20</v>
      </c>
      <c r="K170" s="127">
        <f t="shared" si="50"/>
        <v>26881.009744147294</v>
      </c>
      <c r="L170" s="181">
        <f t="shared" si="51"/>
        <v>1991.1859069738734</v>
      </c>
      <c r="M170" s="128">
        <f>+Tabla5518107213[[#This Row],[PRECIO SUGERIDO]]+Tabla5518107213[[#This Row],[ICO2]]</f>
        <v>28872.195651121168</v>
      </c>
      <c r="N170" s="129"/>
      <c r="O170" s="122">
        <f t="shared" si="52"/>
        <v>0</v>
      </c>
      <c r="P170" s="180">
        <f>+Tabla5518107213[[#This Row],[PRECIO N]]-Tabla5518107213[[#This Row],[ICO 8%2]]</f>
        <v>0</v>
      </c>
      <c r="Q170" s="124" t="e">
        <f>+Tabla5518107213[[#This Row],[COSTO]]/Tabla5518107213[[#This Row],[CARTA]]</f>
        <v>#DIV/0!</v>
      </c>
      <c r="R170" s="182">
        <f>+Tabla5518107213[[#This Row],[PRECIO N]]/Tabla5518107213[[#This Row],[COSTO]]</f>
        <v>0</v>
      </c>
    </row>
    <row r="171" spans="1:18" x14ac:dyDescent="0.3">
      <c r="A171" s="162">
        <v>6</v>
      </c>
      <c r="B171" s="27" t="str">
        <f>+'COCTELES A BASE DE PISCO'!B66</f>
        <v>PISCO PUNCHS</v>
      </c>
      <c r="C171" s="27"/>
      <c r="D171" s="180">
        <f>+'COCTELES A BASE DE PISCO'!K69</f>
        <v>16627.307683602001</v>
      </c>
      <c r="E171" s="134">
        <f>+'COCTELES A BASE DE PISCO'!K70</f>
        <v>49000</v>
      </c>
      <c r="F171" s="122">
        <f t="shared" si="49"/>
        <v>3629.6296296296291</v>
      </c>
      <c r="G171" s="123">
        <f>+Tabla5518107213[[#This Row],[VENTA]]-Tabla5518107213[[#This Row],[ICO 8%]]</f>
        <v>45370.370370370372</v>
      </c>
      <c r="H171" s="124">
        <f>+Tabla5518107213[[#This Row],[COSTO]]/Tabla5518107213[[#This Row],[BASE]]</f>
        <v>0.36647943465898286</v>
      </c>
      <c r="I171" s="125">
        <f>+Tabla5518107213[[#This Row],[BASE]]/Tabla5518107213[[#This Row],[COSTO]]</f>
        <v>2.7286660735288515</v>
      </c>
      <c r="J171" s="126">
        <f>+VLOOKUP(Tabla5518107213[[#This Row],[COCTELES DE LA CASA]],Tabla77[#All],3,0)</f>
        <v>8</v>
      </c>
      <c r="K171" s="127">
        <f t="shared" si="50"/>
        <v>55424.358945339998</v>
      </c>
      <c r="L171" s="181">
        <f t="shared" si="51"/>
        <v>4105.5080700251847</v>
      </c>
      <c r="M171" s="128">
        <f>+Tabla5518107213[[#This Row],[PRECIO SUGERIDO]]+Tabla5518107213[[#This Row],[ICO2]]</f>
        <v>59529.867015365184</v>
      </c>
      <c r="N171" s="129">
        <v>47000</v>
      </c>
      <c r="O171" s="122">
        <f t="shared" si="52"/>
        <v>3481.4814814814818</v>
      </c>
      <c r="P171" s="180">
        <f>+Tabla5518107213[[#This Row],[PRECIO N]]-Tabla5518107213[[#This Row],[ICO 8%2]]</f>
        <v>43518.518518518518</v>
      </c>
      <c r="Q171" s="124">
        <f>+Tabla5518107213[[#This Row],[COSTO]]/Tabla5518107213[[#This Row],[CARTA]]</f>
        <v>0.38207430421893962</v>
      </c>
      <c r="R171" s="182">
        <f>+Tabla5518107213[[#This Row],[PRECIO N]]/Tabla5518107213[[#This Row],[COSTO]]</f>
        <v>2.8266753039249894</v>
      </c>
    </row>
    <row r="172" spans="1:18" x14ac:dyDescent="0.3">
      <c r="A172" s="162">
        <v>7</v>
      </c>
      <c r="B172" s="27" t="str">
        <f>+'COCTELES A BASE DE PISCO'!B77</f>
        <v>CHILCANO CLASICO</v>
      </c>
      <c r="C172" s="27"/>
      <c r="D172" s="180">
        <f>+'COCTELES A BASE DE PISCO'!K80</f>
        <v>10382.246822071947</v>
      </c>
      <c r="E172" s="122">
        <f>+'COCTELES A BASE DE PISCO'!K81</f>
        <v>39900</v>
      </c>
      <c r="F172" s="122">
        <f t="shared" si="49"/>
        <v>2955.5555555555557</v>
      </c>
      <c r="G172" s="123">
        <f>+Tabla5518107213[[#This Row],[VENTA]]-Tabla5518107213[[#This Row],[ICO 8%]]</f>
        <v>36944.444444444445</v>
      </c>
      <c r="H172" s="124">
        <f>+Tabla5518107213[[#This Row],[COSTO]]/Tabla5518107213[[#This Row],[BASE]]</f>
        <v>0.2810232222515715</v>
      </c>
      <c r="I172" s="125">
        <f>+Tabla5518107213[[#This Row],[BASE]]/Tabla5518107213[[#This Row],[COSTO]]</f>
        <v>3.5584247877735944</v>
      </c>
      <c r="J172" s="126">
        <f>+VLOOKUP(Tabla5518107213[[#This Row],[COCTELES DE LA CASA]],Tabla77[#All],3,0)</f>
        <v>32</v>
      </c>
      <c r="K172" s="127">
        <f t="shared" si="50"/>
        <v>34607.48940690649</v>
      </c>
      <c r="L172" s="181">
        <f t="shared" si="51"/>
        <v>2563.5177338449248</v>
      </c>
      <c r="M172" s="128">
        <f>+Tabla5518107213[[#This Row],[PRECIO SUGERIDO]]+Tabla5518107213[[#This Row],[ICO2]]</f>
        <v>37171.007140751419</v>
      </c>
      <c r="N172" s="129">
        <v>43000</v>
      </c>
      <c r="O172" s="122">
        <f t="shared" si="52"/>
        <v>3185.1851851851848</v>
      </c>
      <c r="P172" s="180">
        <f>+Tabla5518107213[[#This Row],[PRECIO N]]-Tabla5518107213[[#This Row],[ICO 8%2]]</f>
        <v>39814.814814814818</v>
      </c>
      <c r="Q172" s="124">
        <f>+Tabla5518107213[[#This Row],[COSTO]]/Tabla5518107213[[#This Row],[CARTA]]</f>
        <v>0.26076340855436519</v>
      </c>
      <c r="R172" s="182">
        <f>+Tabla5518107213[[#This Row],[PRECIO N]]/Tabla5518107213[[#This Row],[COSTO]]</f>
        <v>4.1416853920853569</v>
      </c>
    </row>
    <row r="173" spans="1:18" x14ac:dyDescent="0.3">
      <c r="A173" s="162">
        <v>8</v>
      </c>
      <c r="B173" s="27" t="str">
        <f>+'COCTELES A BASE DE PISCO'!B89</f>
        <v>CHILCANO DE MARACUYA</v>
      </c>
      <c r="C173" s="27"/>
      <c r="D173" s="180">
        <f>+'COCTELES A BASE DE PISCO'!K92</f>
        <v>7404.5784248088457</v>
      </c>
      <c r="E173" s="134">
        <f>+'COCTELES A BASE DE PISCO'!K93</f>
        <v>44000</v>
      </c>
      <c r="F173" s="122">
        <f t="shared" si="49"/>
        <v>3259.2592592592591</v>
      </c>
      <c r="G173" s="123">
        <f>+Tabla5518107213[[#This Row],[VENTA]]-Tabla5518107213[[#This Row],[ICO 8%]]</f>
        <v>40740.740740740745</v>
      </c>
      <c r="H173" s="124">
        <f>+Tabla5518107213[[#This Row],[COSTO]]/Tabla5518107213[[#This Row],[BASE]]</f>
        <v>0.18174874315439893</v>
      </c>
      <c r="I173" s="125">
        <f>+Tabla5518107213[[#This Row],[BASE]]/Tabla5518107213[[#This Row],[COSTO]]</f>
        <v>5.5021013221009261</v>
      </c>
      <c r="J173" s="126" t="e">
        <f>+VLOOKUP(Tabla5518107213[[#This Row],[COCTELES DE LA CASA]],Tabla77[#All],3,0)</f>
        <v>#N/A</v>
      </c>
      <c r="K173" s="127">
        <f t="shared" si="50"/>
        <v>24681.928082696151</v>
      </c>
      <c r="L173" s="181">
        <f t="shared" si="51"/>
        <v>1828.2909690886038</v>
      </c>
      <c r="M173" s="128">
        <f>+Tabla5518107213[[#This Row],[PRECIO SUGERIDO]]+Tabla5518107213[[#This Row],[ICO2]]</f>
        <v>26510.219051784756</v>
      </c>
      <c r="N173" s="129">
        <v>43000</v>
      </c>
      <c r="O173" s="122">
        <f t="shared" si="52"/>
        <v>3185.1851851851848</v>
      </c>
      <c r="P173" s="180">
        <f>+Tabla5518107213[[#This Row],[PRECIO N]]-Tabla5518107213[[#This Row],[ICO 8%2]]</f>
        <v>39814.814814814818</v>
      </c>
      <c r="Q173" s="124">
        <f>+Tabla5518107213[[#This Row],[COSTO]]/Tabla5518107213[[#This Row],[CARTA]]</f>
        <v>0.18597545811147798</v>
      </c>
      <c r="R173" s="182">
        <f>+Tabla5518107213[[#This Row],[PRECIO N]]/Tabla5518107213[[#This Row],[COSTO]]</f>
        <v>5.8072178499628864</v>
      </c>
    </row>
    <row r="174" spans="1:18" x14ac:dyDescent="0.3">
      <c r="A174" s="162">
        <v>9</v>
      </c>
      <c r="B174" s="27" t="str">
        <f>+'COCTELES A BASE DE PISCO'!B104</f>
        <v>PALOMITA</v>
      </c>
      <c r="C174" s="27"/>
      <c r="D174" s="180">
        <f>+'COCTELES A BASE DE PISCO'!K106</f>
        <v>12105.187862452438</v>
      </c>
      <c r="E174" s="134">
        <f>+'COCTELES A BASE DE PISCO'!K107</f>
        <v>39900</v>
      </c>
      <c r="F174" s="122">
        <f t="shared" si="49"/>
        <v>2955.5555555555557</v>
      </c>
      <c r="G174" s="123">
        <f>+Tabla5518107213[[#This Row],[VENTA]]-Tabla5518107213[[#This Row],[ICO 8%]]</f>
        <v>36944.444444444445</v>
      </c>
      <c r="H174" s="124">
        <f>+Tabla5518107213[[#This Row],[COSTO]]/Tabla5518107213[[#This Row],[BASE]]</f>
        <v>0.32765922033705847</v>
      </c>
      <c r="I174" s="125">
        <f>+Tabla5518107213[[#This Row],[BASE]]/Tabla5518107213[[#This Row],[COSTO]]</f>
        <v>3.0519513504650164</v>
      </c>
      <c r="J174" s="126" t="e">
        <f>+VLOOKUP(Tabla5518107213[[#This Row],[COCTELES DE LA CASA]],Tabla77[#All],3,0)</f>
        <v>#N/A</v>
      </c>
      <c r="K174" s="127">
        <f t="shared" si="50"/>
        <v>40350.626208174792</v>
      </c>
      <c r="L174" s="181">
        <f t="shared" si="51"/>
        <v>2988.9352746796144</v>
      </c>
      <c r="M174" s="128">
        <f>+Tabla5518107213[[#This Row],[PRECIO SUGERIDO]]+Tabla5518107213[[#This Row],[ICO2]]</f>
        <v>43339.561482854406</v>
      </c>
      <c r="N174" s="129"/>
      <c r="O174" s="122">
        <f t="shared" si="52"/>
        <v>0</v>
      </c>
      <c r="P174" s="180">
        <f>+Tabla5518107213[[#This Row],[PRECIO N]]-Tabla5518107213[[#This Row],[ICO 8%2]]</f>
        <v>0</v>
      </c>
      <c r="Q174" s="124" t="e">
        <f>+Tabla5518107213[[#This Row],[COSTO]]/Tabla5518107213[[#This Row],[CARTA]]</f>
        <v>#DIV/0!</v>
      </c>
      <c r="R174" s="182">
        <f>+Tabla5518107213[[#This Row],[PRECIO N]]/Tabla5518107213[[#This Row],[COSTO]]</f>
        <v>0</v>
      </c>
    </row>
    <row r="175" spans="1:18" x14ac:dyDescent="0.3">
      <c r="A175" s="162">
        <v>10</v>
      </c>
      <c r="B175" s="27" t="str">
        <f>+'COCTELES A BASE DE PISCO'!B116</f>
        <v>TRILOGIA DE PISCO</v>
      </c>
      <c r="C175" s="27"/>
      <c r="D175" s="180">
        <f>+'COCTELES A BASE DE PISCO'!K119</f>
        <v>15743.994422530501</v>
      </c>
      <c r="E175" s="122">
        <f>+'COCTELES A BASE DE PISCO'!K120</f>
        <v>49900</v>
      </c>
      <c r="F175" s="122">
        <f t="shared" si="49"/>
        <v>3696.2962962962961</v>
      </c>
      <c r="G175" s="123">
        <f>+Tabla5518107213[[#This Row],[VENTA]]-Tabla5518107213[[#This Row],[ICO 8%]]</f>
        <v>46203.703703703701</v>
      </c>
      <c r="H175" s="124">
        <f>+Tabla5518107213[[#This Row],[COSTO]]/Tabla5518107213[[#This Row],[BASE]]</f>
        <v>0.34075178309284454</v>
      </c>
      <c r="I175" s="125">
        <f>+Tabla5518107213[[#This Row],[BASE]]/Tabla5518107213[[#This Row],[COSTO]]</f>
        <v>2.9346875045626111</v>
      </c>
      <c r="J175" s="126">
        <f>+VLOOKUP(Tabla5518107213[[#This Row],[COCTELES DE LA CASA]],Tabla77[#All],3,0)</f>
        <v>29</v>
      </c>
      <c r="K175" s="127">
        <f t="shared" si="50"/>
        <v>52479.981408435</v>
      </c>
      <c r="L175" s="181">
        <f t="shared" si="51"/>
        <v>3887.4060302544444</v>
      </c>
      <c r="M175" s="128">
        <f>+Tabla5518107213[[#This Row],[PRECIO SUGERIDO]]+Tabla5518107213[[#This Row],[ICO2]]</f>
        <v>56367.387438689446</v>
      </c>
      <c r="N175" s="129"/>
      <c r="O175" s="122">
        <f t="shared" si="52"/>
        <v>0</v>
      </c>
      <c r="P175" s="180">
        <f>+Tabla5518107213[[#This Row],[PRECIO N]]-Tabla5518107213[[#This Row],[ICO 8%2]]</f>
        <v>0</v>
      </c>
      <c r="Q175" s="124" t="e">
        <f>+Tabla5518107213[[#This Row],[COSTO]]/Tabla5518107213[[#This Row],[CARTA]]</f>
        <v>#DIV/0!</v>
      </c>
      <c r="R175" s="182">
        <f>+Tabla5518107213[[#This Row],[PRECIO N]]/Tabla5518107213[[#This Row],[COSTO]]</f>
        <v>0</v>
      </c>
    </row>
    <row r="176" spans="1:18" x14ac:dyDescent="0.3">
      <c r="A176" s="162">
        <v>11</v>
      </c>
      <c r="B176" s="27" t="str">
        <f>+'COCTELES A BASE DE PISCO'!B130</f>
        <v>CHICHA SOUR</v>
      </c>
      <c r="C176" s="27"/>
      <c r="D176" s="180">
        <f>+'COCTELES A BASE DE PISCO'!K133</f>
        <v>10368.577741200001</v>
      </c>
      <c r="E176" s="122">
        <f>+'COCTELES A BASE DE PISCO'!K134</f>
        <v>39900</v>
      </c>
      <c r="F176" s="122">
        <f t="shared" ref="F176:F181" si="53">+E176/1.08*0.08</f>
        <v>2955.5555555555557</v>
      </c>
      <c r="G176" s="123">
        <f>+Tabla5518107213[[#This Row],[VENTA]]-Tabla5518107213[[#This Row],[ICO 8%]]</f>
        <v>36944.444444444445</v>
      </c>
      <c r="H176" s="124">
        <f>+Tabla5518107213[[#This Row],[COSTO]]/Tabla5518107213[[#This Row],[BASE]]</f>
        <v>0.2806532320926316</v>
      </c>
      <c r="I176" s="125">
        <f>+Tabla5518107213[[#This Row],[BASE]]/Tabla5518107213[[#This Row],[COSTO]]</f>
        <v>3.563115922605669</v>
      </c>
      <c r="J176" s="126">
        <f>+VLOOKUP(Tabla5518107213[[#This Row],[COCTELES DE LA CASA]],Tabla77[#All],3,0)</f>
        <v>45</v>
      </c>
      <c r="K176" s="130">
        <f t="shared" ref="K176:K181" si="54">+D176/(100-70)*100</f>
        <v>34561.925804000006</v>
      </c>
      <c r="L176" s="181">
        <f t="shared" ref="L176:L181" si="55">+K176/1.08*0.08</f>
        <v>2560.1426521481485</v>
      </c>
      <c r="M176" s="128">
        <f>+Tabla5518107213[[#This Row],[PRECIO SUGERIDO]]+Tabla5518107213[[#This Row],[ICO2]]</f>
        <v>37122.068456148154</v>
      </c>
      <c r="N176" s="129"/>
      <c r="O176" s="122">
        <f t="shared" si="52"/>
        <v>0</v>
      </c>
      <c r="P176" s="180">
        <f>+Tabla5518107213[[#This Row],[PRECIO N]]-Tabla5518107213[[#This Row],[ICO 8%2]]</f>
        <v>0</v>
      </c>
      <c r="Q176" s="124" t="e">
        <f>+Tabla5518107213[[#This Row],[COSTO]]/Tabla5518107213[[#This Row],[CARTA]]</f>
        <v>#DIV/0!</v>
      </c>
      <c r="R176" s="182">
        <f>+Tabla5518107213[[#This Row],[PRECIO N]]/Tabla5518107213[[#This Row],[COSTO]]</f>
        <v>0</v>
      </c>
    </row>
    <row r="177" spans="1:18" x14ac:dyDescent="0.3">
      <c r="A177" s="162">
        <v>12</v>
      </c>
      <c r="B177" s="27" t="str">
        <f>+'COCTELES '!B192</f>
        <v xml:space="preserve">AHUMADO DE NOCHE BUENA </v>
      </c>
      <c r="C177" s="27"/>
      <c r="D177" s="180">
        <f>+'COCTELES '!K195</f>
        <v>15777.431241537002</v>
      </c>
      <c r="E177" s="122"/>
      <c r="F177" s="122">
        <f t="shared" si="53"/>
        <v>0</v>
      </c>
      <c r="G177" s="123">
        <f>+Tabla5518107213[[#This Row],[VENTA]]-Tabla5518107213[[#This Row],[ICO 8%]]</f>
        <v>0</v>
      </c>
      <c r="H177" s="124" t="e">
        <f>+Tabla5518107213[[#This Row],[COSTO]]/Tabla5518107213[[#This Row],[BASE]]</f>
        <v>#DIV/0!</v>
      </c>
      <c r="I177" s="125">
        <f>+Tabla5518107213[[#This Row],[BASE]]/Tabla5518107213[[#This Row],[COSTO]]</f>
        <v>0</v>
      </c>
      <c r="J177" s="126" t="e">
        <f>+VLOOKUP(Tabla5518107213[[#This Row],[COCTELES DE LA CASA]],Tabla77[#All],3,0)</f>
        <v>#N/A</v>
      </c>
      <c r="K177" s="130">
        <f t="shared" si="54"/>
        <v>52591.437471790006</v>
      </c>
      <c r="L177" s="181">
        <f t="shared" si="55"/>
        <v>3895.6620349474078</v>
      </c>
      <c r="M177" s="128">
        <f>+Tabla5518107213[[#This Row],[PRECIO SUGERIDO]]+Tabla5518107213[[#This Row],[ICO2]]</f>
        <v>56487.099506737417</v>
      </c>
      <c r="N177" s="129"/>
      <c r="O177" s="122">
        <f>+N177/1.08*0.08</f>
        <v>0</v>
      </c>
      <c r="P177" s="180">
        <f>+Tabla5518107213[[#This Row],[PRECIO N]]-Tabla5518107213[[#This Row],[ICO 8%2]]</f>
        <v>0</v>
      </c>
      <c r="Q177" s="124" t="e">
        <f>+Tabla5518107213[[#This Row],[COSTO]]/Tabla5518107213[[#This Row],[CARTA]]</f>
        <v>#DIV/0!</v>
      </c>
      <c r="R177" s="182">
        <f>+Tabla5518107213[[#This Row],[PRECIO N]]/Tabla5518107213[[#This Row],[COSTO]]</f>
        <v>0</v>
      </c>
    </row>
    <row r="178" spans="1:18" x14ac:dyDescent="0.3">
      <c r="A178" s="162">
        <v>13</v>
      </c>
      <c r="B178" s="27" t="str">
        <f>+'COCTELES '!B207</f>
        <v xml:space="preserve">MARGARITA SPICY </v>
      </c>
      <c r="C178" s="27"/>
      <c r="D178" s="180">
        <f>+'COCTELES '!K210</f>
        <v>9436.9914168599989</v>
      </c>
      <c r="E178" s="122"/>
      <c r="F178" s="122">
        <f t="shared" si="53"/>
        <v>0</v>
      </c>
      <c r="G178" s="123">
        <f>+Tabla5518107213[[#This Row],[VENTA]]-Tabla5518107213[[#This Row],[ICO 8%]]</f>
        <v>0</v>
      </c>
      <c r="H178" s="124" t="e">
        <f>+Tabla5518107213[[#This Row],[COSTO]]/Tabla5518107213[[#This Row],[BASE]]</f>
        <v>#DIV/0!</v>
      </c>
      <c r="I178" s="125">
        <f>+Tabla5518107213[[#This Row],[BASE]]/Tabla5518107213[[#This Row],[COSTO]]</f>
        <v>0</v>
      </c>
      <c r="J178" s="126" t="e">
        <f>+VLOOKUP(Tabla5518107213[[#This Row],[COCTELES DE LA CASA]],Tabla77[#All],3,0)</f>
        <v>#N/A</v>
      </c>
      <c r="K178" s="130">
        <f t="shared" si="54"/>
        <v>31456.638056199994</v>
      </c>
      <c r="L178" s="181">
        <f t="shared" si="55"/>
        <v>2330.1213374962958</v>
      </c>
      <c r="M178" s="128">
        <f>+Tabla5518107213[[#This Row],[PRECIO SUGERIDO]]+Tabla5518107213[[#This Row],[ICO2]]</f>
        <v>33786.759393696288</v>
      </c>
      <c r="N178" s="129"/>
      <c r="O178" s="122">
        <f>+N178/1.08*0.08</f>
        <v>0</v>
      </c>
      <c r="P178" s="180">
        <f>+Tabla5518107213[[#This Row],[PRECIO N]]-Tabla5518107213[[#This Row],[ICO 8%2]]</f>
        <v>0</v>
      </c>
      <c r="Q178" s="124" t="e">
        <f>+Tabla5518107213[[#This Row],[COSTO]]/Tabla5518107213[[#This Row],[CARTA]]</f>
        <v>#DIV/0!</v>
      </c>
      <c r="R178" s="182">
        <f>+Tabla5518107213[[#This Row],[PRECIO N]]/Tabla5518107213[[#This Row],[COSTO]]</f>
        <v>0</v>
      </c>
    </row>
    <row r="179" spans="1:18" x14ac:dyDescent="0.3">
      <c r="A179" s="162">
        <v>14</v>
      </c>
      <c r="B179" s="27" t="str">
        <f>+'COCTELES '!B221</f>
        <v xml:space="preserve">AGUARDIENTE SPICY </v>
      </c>
      <c r="C179" s="27"/>
      <c r="D179" s="180">
        <f>+'COCTELES '!K224</f>
        <v>6101.9726668529993</v>
      </c>
      <c r="E179" s="122"/>
      <c r="F179" s="122">
        <f t="shared" si="53"/>
        <v>0</v>
      </c>
      <c r="G179" s="123">
        <f>+Tabla5518107213[[#This Row],[VENTA]]-Tabla5518107213[[#This Row],[ICO 8%]]</f>
        <v>0</v>
      </c>
      <c r="H179" s="124" t="e">
        <f>+Tabla5518107213[[#This Row],[COSTO]]/Tabla5518107213[[#This Row],[BASE]]</f>
        <v>#DIV/0!</v>
      </c>
      <c r="I179" s="125">
        <f>+Tabla5518107213[[#This Row],[BASE]]/Tabla5518107213[[#This Row],[COSTO]]</f>
        <v>0</v>
      </c>
      <c r="J179" s="126" t="e">
        <f>+VLOOKUP(Tabla5518107213[[#This Row],[COCTELES DE LA CASA]],Tabla77[#All],3,0)</f>
        <v>#N/A</v>
      </c>
      <c r="K179" s="130">
        <f t="shared" si="54"/>
        <v>20339.908889509996</v>
      </c>
      <c r="L179" s="181">
        <f t="shared" si="55"/>
        <v>1506.659917741481</v>
      </c>
      <c r="M179" s="128">
        <f>+Tabla5518107213[[#This Row],[PRECIO SUGERIDO]]+Tabla5518107213[[#This Row],[ICO2]]</f>
        <v>21846.568807251475</v>
      </c>
      <c r="N179" s="129"/>
      <c r="O179" s="122">
        <f>+N179/1.08*0.08</f>
        <v>0</v>
      </c>
      <c r="P179" s="180">
        <f>+Tabla5518107213[[#This Row],[PRECIO N]]-Tabla5518107213[[#This Row],[ICO 8%2]]</f>
        <v>0</v>
      </c>
      <c r="Q179" s="124" t="e">
        <f>+Tabla5518107213[[#This Row],[COSTO]]/Tabla5518107213[[#This Row],[CARTA]]</f>
        <v>#DIV/0!</v>
      </c>
      <c r="R179" s="182">
        <f>+Tabla5518107213[[#This Row],[PRECIO N]]/Tabla5518107213[[#This Row],[COSTO]]</f>
        <v>0</v>
      </c>
    </row>
    <row r="180" spans="1:18" x14ac:dyDescent="0.3">
      <c r="A180" s="162">
        <v>15</v>
      </c>
      <c r="B180" s="27" t="str">
        <f>+'COCTELES '!B234</f>
        <v>TIERRA ASTEKA</v>
      </c>
      <c r="C180" s="27"/>
      <c r="D180" s="180">
        <f>+'COCTELES '!K237</f>
        <v>10722.9908863665</v>
      </c>
      <c r="E180" s="122"/>
      <c r="F180" s="122">
        <f t="shared" si="53"/>
        <v>0</v>
      </c>
      <c r="G180" s="123">
        <f>+Tabla5518107213[[#This Row],[VENTA]]-Tabla5518107213[[#This Row],[ICO 8%]]</f>
        <v>0</v>
      </c>
      <c r="H180" s="124" t="e">
        <f>+Tabla5518107213[[#This Row],[COSTO]]/Tabla5518107213[[#This Row],[BASE]]</f>
        <v>#DIV/0!</v>
      </c>
      <c r="I180" s="125">
        <f>+Tabla5518107213[[#This Row],[BASE]]/Tabla5518107213[[#This Row],[COSTO]]</f>
        <v>0</v>
      </c>
      <c r="J180" s="126" t="e">
        <f>+VLOOKUP(Tabla5518107213[[#This Row],[COCTELES DE LA CASA]],Tabla77[#All],3,0)</f>
        <v>#N/A</v>
      </c>
      <c r="K180" s="130">
        <f t="shared" si="54"/>
        <v>35743.302954555002</v>
      </c>
      <c r="L180" s="181">
        <f t="shared" si="55"/>
        <v>2647.652070707778</v>
      </c>
      <c r="M180" s="128">
        <f>+Tabla5518107213[[#This Row],[PRECIO SUGERIDO]]+Tabla5518107213[[#This Row],[ICO2]]</f>
        <v>38390.955025262781</v>
      </c>
      <c r="N180" s="129"/>
      <c r="O180" s="122">
        <f>+N180/1.08*0.08</f>
        <v>0</v>
      </c>
      <c r="P180" s="180">
        <f>+Tabla5518107213[[#This Row],[PRECIO N]]-Tabla5518107213[[#This Row],[ICO 8%2]]</f>
        <v>0</v>
      </c>
      <c r="Q180" s="124" t="e">
        <f>+Tabla5518107213[[#This Row],[COSTO]]/Tabla5518107213[[#This Row],[CARTA]]</f>
        <v>#DIV/0!</v>
      </c>
      <c r="R180" s="182">
        <f>+Tabla5518107213[[#This Row],[PRECIO N]]/Tabla5518107213[[#This Row],[COSTO]]</f>
        <v>0</v>
      </c>
    </row>
    <row r="181" spans="1:18" x14ac:dyDescent="0.3">
      <c r="A181" s="162">
        <v>16</v>
      </c>
      <c r="B181" s="27" t="str">
        <f>+'COCTELES '!B249</f>
        <v>GIN FEIJOA</v>
      </c>
      <c r="C181" s="27"/>
      <c r="D181" s="180">
        <f>+'COCTELES '!K252</f>
        <v>12975.794389724251</v>
      </c>
      <c r="E181" s="122"/>
      <c r="F181" s="122">
        <f t="shared" si="53"/>
        <v>0</v>
      </c>
      <c r="G181" s="123">
        <f>+Tabla5518107213[[#This Row],[VENTA]]-Tabla5518107213[[#This Row],[ICO 8%]]</f>
        <v>0</v>
      </c>
      <c r="H181" s="124" t="e">
        <f>+Tabla5518107213[[#This Row],[COSTO]]/Tabla5518107213[[#This Row],[BASE]]</f>
        <v>#DIV/0!</v>
      </c>
      <c r="I181" s="125">
        <f>+Tabla5518107213[[#This Row],[BASE]]/Tabla5518107213[[#This Row],[COSTO]]</f>
        <v>0</v>
      </c>
      <c r="J181" s="126" t="e">
        <f>+VLOOKUP(Tabla5518107213[[#This Row],[COCTELES DE LA CASA]],Tabla77[#All],3,0)</f>
        <v>#N/A</v>
      </c>
      <c r="K181" s="130">
        <f t="shared" si="54"/>
        <v>43252.647965747499</v>
      </c>
      <c r="L181" s="181">
        <f t="shared" si="55"/>
        <v>3203.8998493146291</v>
      </c>
      <c r="M181" s="128">
        <f>+Tabla5518107213[[#This Row],[PRECIO SUGERIDO]]+Tabla5518107213[[#This Row],[ICO2]]</f>
        <v>46456.547815062127</v>
      </c>
      <c r="N181" s="129"/>
      <c r="O181" s="122">
        <f>+N181/1.08*0.08</f>
        <v>0</v>
      </c>
      <c r="P181" s="180">
        <f>+Tabla5518107213[[#This Row],[PRECIO N]]-Tabla5518107213[[#This Row],[ICO 8%2]]</f>
        <v>0</v>
      </c>
      <c r="Q181" s="124" t="e">
        <f>+Tabla5518107213[[#This Row],[COSTO]]/Tabla5518107213[[#This Row],[CARTA]]</f>
        <v>#DIV/0!</v>
      </c>
      <c r="R181" s="182">
        <f>+Tabla5518107213[[#This Row],[PRECIO N]]/Tabla5518107213[[#This Row],[COSTO]]</f>
        <v>0</v>
      </c>
    </row>
    <row r="182" spans="1:18" x14ac:dyDescent="0.3">
      <c r="B182" s="27" t="s">
        <v>30</v>
      </c>
      <c r="C182" s="27"/>
      <c r="D182" s="162"/>
      <c r="E182" s="126"/>
      <c r="F182" s="126"/>
      <c r="G182" s="126"/>
      <c r="H182" s="131" t="e">
        <f>SUBTOTAL(101,Tabla5518107213[%])</f>
        <v>#DIV/0!</v>
      </c>
      <c r="I182" s="126"/>
      <c r="J182" s="126"/>
      <c r="K182" s="93"/>
      <c r="L182" s="162"/>
      <c r="M182" s="126"/>
      <c r="N182" s="132"/>
      <c r="O182" s="126"/>
      <c r="P182" s="162"/>
      <c r="Q182" s="126"/>
      <c r="R182" s="182">
        <f>SUBTOTAL(109,Tabla5518107213[RATION])</f>
        <v>23.934205797955709</v>
      </c>
    </row>
    <row r="186" spans="1:18" x14ac:dyDescent="0.3">
      <c r="B186" s="116"/>
      <c r="C186" s="59"/>
      <c r="D186" s="137"/>
      <c r="E186" s="117" t="s">
        <v>21</v>
      </c>
      <c r="F186" s="116"/>
      <c r="G186" s="118"/>
      <c r="H186" s="116"/>
      <c r="I186" s="116"/>
      <c r="J186" s="93"/>
      <c r="K186" s="278" t="s">
        <v>25</v>
      </c>
      <c r="L186" s="278"/>
      <c r="M186" s="278"/>
      <c r="N186" s="59"/>
      <c r="O186" s="59"/>
      <c r="P186" s="118"/>
    </row>
    <row r="187" spans="1:18" x14ac:dyDescent="0.3">
      <c r="B187" s="177" t="s">
        <v>221</v>
      </c>
      <c r="C187" s="60" t="s">
        <v>111</v>
      </c>
      <c r="D187" s="178" t="s">
        <v>7</v>
      </c>
      <c r="E187" s="119" t="s">
        <v>16</v>
      </c>
      <c r="F187" s="120" t="s">
        <v>29</v>
      </c>
      <c r="G187" s="60" t="s">
        <v>22</v>
      </c>
      <c r="H187" s="121" t="s">
        <v>17</v>
      </c>
      <c r="I187" s="60" t="s">
        <v>18</v>
      </c>
      <c r="J187" s="60" t="s">
        <v>19</v>
      </c>
      <c r="K187" s="60" t="s">
        <v>23</v>
      </c>
      <c r="L187" s="178" t="s">
        <v>28</v>
      </c>
      <c r="M187" s="60" t="s">
        <v>24</v>
      </c>
      <c r="N187" s="133" t="s">
        <v>26</v>
      </c>
      <c r="O187" s="169" t="s">
        <v>351</v>
      </c>
      <c r="P187" s="178" t="s">
        <v>21</v>
      </c>
      <c r="Q187" s="121" t="s">
        <v>27</v>
      </c>
      <c r="R187" s="179" t="s">
        <v>20</v>
      </c>
    </row>
    <row r="188" spans="1:18" x14ac:dyDescent="0.3">
      <c r="A188" s="162">
        <v>1</v>
      </c>
      <c r="B188" s="27" t="str">
        <f>+'COCTELES '!B6</f>
        <v>MARGARITA CLASICA</v>
      </c>
      <c r="C188" s="27"/>
      <c r="D188" s="180">
        <f>+'COCTELES '!K9</f>
        <v>9906.0922847144993</v>
      </c>
      <c r="E188" s="134">
        <f>+'COCTELES '!K10</f>
        <v>43000</v>
      </c>
      <c r="F188" s="122">
        <f t="shared" ref="F188:F193" si="56">+E188/1.08*0.08</f>
        <v>3185.1851851851848</v>
      </c>
      <c r="G188" s="123">
        <f>+Tabla5518107215[[#This Row],[VENTA]]-Tabla5518107215[[#This Row],[ICO 8%]]</f>
        <v>39814.814814814818</v>
      </c>
      <c r="H188" s="124">
        <f>+Tabla5518107215[[#This Row],[COSTO]]/Tabla5518107215[[#This Row],[BASE]]</f>
        <v>0.24880417831375951</v>
      </c>
      <c r="I188" s="125">
        <f>+Tabla5518107215[[#This Row],[BASE]]/Tabla5518107215[[#This Row],[COSTO]]</f>
        <v>4.0192251061753872</v>
      </c>
      <c r="J188" s="126">
        <f>+VLOOKUP(Tabla5518107215[[#This Row],[COCTELES]],Tabla77[#All],3,0)</f>
        <v>166</v>
      </c>
      <c r="K188" s="127">
        <f t="shared" ref="K188:K201" si="57">+D188/(100-70)*100</f>
        <v>33020.307615714992</v>
      </c>
      <c r="L188" s="181">
        <f t="shared" ref="L188:L193" si="58">+K188/1.08*0.08</f>
        <v>2445.9487122751848</v>
      </c>
      <c r="M188" s="128">
        <f>+Tabla5518107215[[#This Row],[PRECIO SUGERIDO]]+Tabla5518107215[[#This Row],[ICO2]]</f>
        <v>35466.256327990173</v>
      </c>
      <c r="N188" s="135">
        <v>45000</v>
      </c>
      <c r="O188" s="122">
        <f t="shared" ref="O188:O202" si="59">+N188/1.08*0.08</f>
        <v>3333.333333333333</v>
      </c>
      <c r="P188" s="180">
        <f>+Tabla5518107215[[#This Row],[PRECIO N]]-Tabla5518107215[[#This Row],[ICO 8%2]]</f>
        <v>41666.666666666664</v>
      </c>
      <c r="Q188" s="124">
        <f>+Tabla5518107215[[#This Row],[COSTO]]/Tabla5518107215[[#This Row],[CARTA]]</f>
        <v>0.23774621483314801</v>
      </c>
      <c r="R188" s="182">
        <f>+Tabla5518107215[[#This Row],[PRECIO N]]/Tabla5518107215[[#This Row],[COSTO]]</f>
        <v>4.5426590734912509</v>
      </c>
    </row>
    <row r="189" spans="1:18" x14ac:dyDescent="0.3">
      <c r="A189" s="162">
        <v>2</v>
      </c>
      <c r="B189" s="27" t="str">
        <f>+'COCTELES '!B17</f>
        <v>MOSCOW MULE VODKA</v>
      </c>
      <c r="C189" s="27"/>
      <c r="D189" s="180">
        <f>+'COCTELES '!K20</f>
        <v>11695.405337458502</v>
      </c>
      <c r="E189" s="134">
        <f>+'COCTELES '!K21</f>
        <v>39000</v>
      </c>
      <c r="F189" s="122">
        <f t="shared" si="56"/>
        <v>2888.8888888888887</v>
      </c>
      <c r="G189" s="123">
        <f>+Tabla5518107215[[#This Row],[VENTA]]-Tabla5518107215[[#This Row],[ICO 8%]]</f>
        <v>36111.111111111109</v>
      </c>
      <c r="H189" s="124">
        <f>+Tabla5518107215[[#This Row],[COSTO]]/Tabla5518107215[[#This Row],[BASE]]</f>
        <v>0.32387276319115854</v>
      </c>
      <c r="I189" s="125">
        <f>+Tabla5518107215[[#This Row],[BASE]]/Tabla5518107215[[#This Row],[COSTO]]</f>
        <v>3.0876322854286231</v>
      </c>
      <c r="J189" s="126">
        <f>+VLOOKUP(Tabla5518107215[[#This Row],[COCTELES]],Tabla77[#All],3,0)</f>
        <v>102</v>
      </c>
      <c r="K189" s="127">
        <f t="shared" si="57"/>
        <v>38984.684458195006</v>
      </c>
      <c r="L189" s="181">
        <f t="shared" si="58"/>
        <v>2887.7544043107414</v>
      </c>
      <c r="M189" s="128">
        <f>+Tabla5518107215[[#This Row],[PRECIO SUGERIDO]]+Tabla5518107215[[#This Row],[ICO2]]</f>
        <v>41872.438862505747</v>
      </c>
      <c r="N189" s="135">
        <v>45000</v>
      </c>
      <c r="O189" s="122">
        <f t="shared" si="59"/>
        <v>3333.333333333333</v>
      </c>
      <c r="P189" s="180">
        <f>+Tabla5518107215[[#This Row],[PRECIO N]]-Tabla5518107215[[#This Row],[ICO 8%2]]</f>
        <v>41666.666666666664</v>
      </c>
      <c r="Q189" s="124">
        <f>+Tabla5518107215[[#This Row],[COSTO]]/Tabla5518107215[[#This Row],[CARTA]]</f>
        <v>0.28068972809900405</v>
      </c>
      <c r="R189" s="182">
        <f>+Tabla5518107215[[#This Row],[PRECIO N]]/Tabla5518107215[[#This Row],[COSTO]]</f>
        <v>3.8476648479956688</v>
      </c>
    </row>
    <row r="190" spans="1:18" x14ac:dyDescent="0.3">
      <c r="A190" s="162">
        <v>3</v>
      </c>
      <c r="B190" s="27" t="str">
        <f>+'COCTELES '!B28</f>
        <v>MOSCOW MULE TEQUILA</v>
      </c>
      <c r="C190" s="27"/>
      <c r="D190" s="180">
        <f>+'COCTELES '!K31</f>
        <v>13102.3816694085</v>
      </c>
      <c r="E190" s="134">
        <f>+'COCTELES '!K32</f>
        <v>39000</v>
      </c>
      <c r="F190" s="122">
        <f t="shared" si="56"/>
        <v>2888.8888888888887</v>
      </c>
      <c r="G190" s="123">
        <f>+Tabla5518107215[[#This Row],[VENTA]]-Tabla5518107215[[#This Row],[ICO 8%]]</f>
        <v>36111.111111111109</v>
      </c>
      <c r="H190" s="124">
        <f>+Tabla5518107215[[#This Row],[COSTO]]/Tabla5518107215[[#This Row],[BASE]]</f>
        <v>0.36283518469131232</v>
      </c>
      <c r="I190" s="125">
        <f>+Tabla5518107215[[#This Row],[BASE]]/Tabla5518107215[[#This Row],[COSTO]]</f>
        <v>2.7560722945068448</v>
      </c>
      <c r="J190" s="126">
        <f>+VLOOKUP(Tabla5518107215[[#This Row],[COCTELES]],Tabla77[#All],3,0)</f>
        <v>66</v>
      </c>
      <c r="K190" s="127">
        <f>+D190/(100-70)*100</f>
        <v>43674.605564694997</v>
      </c>
      <c r="L190" s="181">
        <f t="shared" si="58"/>
        <v>3235.155967755185</v>
      </c>
      <c r="M190" s="128">
        <f>+Tabla5518107215[[#This Row],[PRECIO SUGERIDO]]+Tabla5518107215[[#This Row],[ICO2]]</f>
        <v>46909.761532450182</v>
      </c>
      <c r="N190" s="135">
        <v>48000</v>
      </c>
      <c r="O190" s="122">
        <f t="shared" si="59"/>
        <v>3555.5555555555552</v>
      </c>
      <c r="P190" s="180">
        <f>+Tabla5518107215[[#This Row],[PRECIO N]]-Tabla5518107215[[#This Row],[ICO 8%2]]</f>
        <v>44444.444444444445</v>
      </c>
      <c r="Q190" s="124">
        <f>+Tabla5518107215[[#This Row],[COSTO]]/Tabla5518107215[[#This Row],[CARTA]]</f>
        <v>0.29480358756169123</v>
      </c>
      <c r="R190" s="182">
        <f>+Tabla5518107215[[#This Row],[PRECIO N]]/Tabla5518107215[[#This Row],[COSTO]]</f>
        <v>3.6634560960829448</v>
      </c>
    </row>
    <row r="191" spans="1:18" x14ac:dyDescent="0.3">
      <c r="A191" s="162">
        <v>4</v>
      </c>
      <c r="B191" s="27" t="str">
        <f>+'COCTELES '!B42</f>
        <v xml:space="preserve">MOJITO ZACAPA </v>
      </c>
      <c r="C191" s="27"/>
      <c r="D191" s="180">
        <f>+'COCTELES '!K45</f>
        <v>13247.77864367055</v>
      </c>
      <c r="E191" s="134">
        <f>+'COCTELES '!K46</f>
        <v>44500</v>
      </c>
      <c r="F191" s="122">
        <f t="shared" si="56"/>
        <v>3296.2962962962961</v>
      </c>
      <c r="G191" s="123">
        <f>+Tabla5518107215[[#This Row],[VENTA]]-Tabla5518107215[[#This Row],[ICO 8%]]</f>
        <v>41203.703703703701</v>
      </c>
      <c r="H191" s="124">
        <f>+Tabla5518107215[[#This Row],[COSTO]]/Tabla5518107215[[#This Row],[BASE]]</f>
        <v>0.32151912213852124</v>
      </c>
      <c r="I191" s="125">
        <f>+Tabla5518107215[[#This Row],[BASE]]/Tabla5518107215[[#This Row],[COSTO]]</f>
        <v>3.1102349165072876</v>
      </c>
      <c r="J191" s="126">
        <f>+VLOOKUP(Tabla5518107215[[#This Row],[COCTELES]],Tabla77[#All],3,0)</f>
        <v>21</v>
      </c>
      <c r="K191" s="127">
        <f t="shared" si="57"/>
        <v>44159.2621455685</v>
      </c>
      <c r="L191" s="181">
        <f t="shared" si="58"/>
        <v>3271.0564552272963</v>
      </c>
      <c r="M191" s="128">
        <f>+Tabla5518107215[[#This Row],[PRECIO SUGERIDO]]+Tabla5518107215[[#This Row],[ICO2]]</f>
        <v>47430.318600795799</v>
      </c>
      <c r="N191" s="135">
        <v>51000</v>
      </c>
      <c r="O191" s="122">
        <f t="shared" si="59"/>
        <v>3777.7777777777774</v>
      </c>
      <c r="P191" s="180">
        <f>+Tabla5518107215[[#This Row],[PRECIO N]]-Tabla5518107215[[#This Row],[ICO 8%2]]</f>
        <v>47222.222222222219</v>
      </c>
      <c r="Q191" s="124">
        <f>+Tabla5518107215[[#This Row],[COSTO]]/Tabla5518107215[[#This Row],[CARTA]]</f>
        <v>0.28054119480714107</v>
      </c>
      <c r="R191" s="182">
        <f>+Tabla5518107215[[#This Row],[PRECIO N]]/Tabla5518107215[[#This Row],[COSTO]]</f>
        <v>3.8497020045218293</v>
      </c>
    </row>
    <row r="192" spans="1:18" x14ac:dyDescent="0.3">
      <c r="A192" s="162">
        <v>5</v>
      </c>
      <c r="B192" s="27" t="str">
        <f>+'COCTELES '!B54</f>
        <v>APEROL SPRITZ</v>
      </c>
      <c r="C192" s="27"/>
      <c r="D192" s="180">
        <f>+'COCTELES '!K57</f>
        <v>11886.845687514524</v>
      </c>
      <c r="E192" s="122">
        <f>+'COCTELES '!K58</f>
        <v>39000</v>
      </c>
      <c r="F192" s="122">
        <f t="shared" si="56"/>
        <v>2888.8888888888887</v>
      </c>
      <c r="G192" s="123">
        <f>+Tabla5518107215[[#This Row],[VENTA]]-Tabla5518107215[[#This Row],[ICO 8%]]</f>
        <v>36111.111111111109</v>
      </c>
      <c r="H192" s="124">
        <f>+Tabla5518107215[[#This Row],[COSTO]]/Tabla5518107215[[#This Row],[BASE]]</f>
        <v>0.32917418826963296</v>
      </c>
      <c r="I192" s="125">
        <f>+Tabla5518107215[[#This Row],[BASE]]/Tabla5518107215[[#This Row],[COSTO]]</f>
        <v>3.0379052660741448</v>
      </c>
      <c r="J192" s="126">
        <f>+VLOOKUP(Tabla5518107215[[#This Row],[COCTELES]],Tabla77[#All],3,0)</f>
        <v>94</v>
      </c>
      <c r="K192" s="127">
        <f t="shared" si="57"/>
        <v>39622.818958381751</v>
      </c>
      <c r="L192" s="181">
        <f t="shared" si="58"/>
        <v>2935.0236265467965</v>
      </c>
      <c r="M192" s="128">
        <f>+Tabla5518107215[[#This Row],[PRECIO SUGERIDO]]+Tabla5518107215[[#This Row],[ICO2]]</f>
        <v>42557.842584928549</v>
      </c>
      <c r="N192" s="129">
        <v>49000</v>
      </c>
      <c r="O192" s="122">
        <f t="shared" si="59"/>
        <v>3629.6296296296291</v>
      </c>
      <c r="P192" s="180">
        <f>+Tabla5518107215[[#This Row],[PRECIO N]]-Tabla5518107215[[#This Row],[ICO 8%2]]</f>
        <v>45370.370370370372</v>
      </c>
      <c r="Q192" s="124">
        <f>+Tabla5518107215[[#This Row],[COSTO]]/Tabla5518107215[[#This Row],[CARTA]]</f>
        <v>0.26199578250032013</v>
      </c>
      <c r="R192" s="182">
        <f>+Tabla5518107215[[#This Row],[PRECIO N]]/Tabla5518107215[[#This Row],[COSTO]]</f>
        <v>4.1222037610421474</v>
      </c>
    </row>
    <row r="193" spans="1:18" x14ac:dyDescent="0.3">
      <c r="A193" s="162">
        <v>6</v>
      </c>
      <c r="B193" s="27" t="str">
        <f>+'COCTELES '!B67</f>
        <v>NEGRONI</v>
      </c>
      <c r="C193" s="27"/>
      <c r="D193" s="180">
        <f>+'COCTELES '!K70</f>
        <v>14041.891393992</v>
      </c>
      <c r="E193" s="134">
        <f>+'COCTELES '!K71</f>
        <v>44000</v>
      </c>
      <c r="F193" s="122">
        <f t="shared" si="56"/>
        <v>3259.2592592592591</v>
      </c>
      <c r="G193" s="123">
        <f>+Tabla5518107215[[#This Row],[VENTA]]-Tabla5518107215[[#This Row],[ICO 8%]]</f>
        <v>40740.740740740745</v>
      </c>
      <c r="H193" s="124">
        <f>+Tabla5518107215[[#This Row],[COSTO]]/Tabla5518107215[[#This Row],[BASE]]</f>
        <v>0.34466460694343998</v>
      </c>
      <c r="I193" s="125">
        <f>+Tabla5518107215[[#This Row],[BASE]]/Tabla5518107215[[#This Row],[COSTO]]</f>
        <v>2.9013713037384825</v>
      </c>
      <c r="J193" s="126">
        <f>+VLOOKUP(Tabla5518107215[[#This Row],[COCTELES]],Tabla77[#All],3,0)</f>
        <v>48</v>
      </c>
      <c r="K193" s="127">
        <f t="shared" si="57"/>
        <v>46806.304646639997</v>
      </c>
      <c r="L193" s="181">
        <f t="shared" si="58"/>
        <v>3467.1336775288883</v>
      </c>
      <c r="M193" s="128">
        <f>+Tabla5518107215[[#This Row],[PRECIO SUGERIDO]]+Tabla5518107215[[#This Row],[ICO2]]</f>
        <v>50273.438324168885</v>
      </c>
      <c r="N193" s="129">
        <v>50000</v>
      </c>
      <c r="O193" s="122">
        <f t="shared" si="59"/>
        <v>3703.7037037037035</v>
      </c>
      <c r="P193" s="180">
        <f>+Tabla5518107215[[#This Row],[PRECIO N]]-Tabla5518107215[[#This Row],[ICO 8%2]]</f>
        <v>46296.296296296299</v>
      </c>
      <c r="Q193" s="124">
        <f>+Tabla5518107215[[#This Row],[COSTO]]/Tabla5518107215[[#This Row],[CARTA]]</f>
        <v>0.30330485411022717</v>
      </c>
      <c r="R193" s="182">
        <f>+Tabla5518107215[[#This Row],[PRECIO N]]/Tabla5518107215[[#This Row],[COSTO]]</f>
        <v>3.5607738727699552</v>
      </c>
    </row>
    <row r="194" spans="1:18" x14ac:dyDescent="0.3">
      <c r="A194" s="162">
        <v>7</v>
      </c>
      <c r="B194" s="27" t="str">
        <f>+'COCTELES '!B79</f>
        <v>OLD FASHIONED</v>
      </c>
      <c r="C194" s="27"/>
      <c r="D194" s="180">
        <f>+'COCTELES '!K82</f>
        <v>12686.176123821902</v>
      </c>
      <c r="E194" s="122">
        <f>+'COCTELES '!K83</f>
        <v>43900</v>
      </c>
      <c r="F194" s="122">
        <f t="shared" ref="F194" si="60">+E194/1.08*0.08</f>
        <v>3251.8518518518517</v>
      </c>
      <c r="G194" s="123">
        <f>+Tabla5518107215[[#This Row],[VENTA]]-Tabla5518107215[[#This Row],[ICO 8%]]</f>
        <v>40648.148148148146</v>
      </c>
      <c r="H194" s="124">
        <f>+Tabla5518107215[[#This Row],[COSTO]]/Tabla5518107215[[#This Row],[BASE]]</f>
        <v>0.31209727138331789</v>
      </c>
      <c r="I194" s="125">
        <f>+Tabla5518107215[[#This Row],[BASE]]/Tabla5518107215[[#This Row],[COSTO]]</f>
        <v>3.2041292625458424</v>
      </c>
      <c r="J194" s="126">
        <f>+VLOOKUP(Tabla5518107215[[#This Row],[COCTELES]],Tabla77[#All],3,0)</f>
        <v>74</v>
      </c>
      <c r="K194" s="127">
        <f t="shared" si="57"/>
        <v>42287.253746073009</v>
      </c>
      <c r="L194" s="181">
        <f t="shared" ref="L194" si="61">+K194/1.08*0.08</f>
        <v>3132.3891663757781</v>
      </c>
      <c r="M194" s="128">
        <f>+Tabla5518107215[[#This Row],[PRECIO SUGERIDO]]+Tabla5518107215[[#This Row],[ICO2]]</f>
        <v>45419.642912448784</v>
      </c>
      <c r="N194" s="129">
        <v>50000</v>
      </c>
      <c r="O194" s="122">
        <f t="shared" si="59"/>
        <v>3703.7037037037035</v>
      </c>
      <c r="P194" s="180">
        <f>+Tabla5518107215[[#This Row],[PRECIO N]]-Tabla5518107215[[#This Row],[ICO 8%2]]</f>
        <v>46296.296296296299</v>
      </c>
      <c r="Q194" s="124">
        <f>+Tabla5518107215[[#This Row],[COSTO]]/Tabla5518107215[[#This Row],[CARTA]]</f>
        <v>0.27402140427455307</v>
      </c>
      <c r="R194" s="182">
        <f>+Tabla5518107215[[#This Row],[PRECIO N]]/Tabla5518107215[[#This Row],[COSTO]]</f>
        <v>3.9412979539288271</v>
      </c>
    </row>
    <row r="195" spans="1:18" x14ac:dyDescent="0.3">
      <c r="A195" s="162">
        <v>8</v>
      </c>
      <c r="B195" s="27" t="str">
        <f>+'COCTELES '!B90</f>
        <v xml:space="preserve">DRY MARTINI </v>
      </c>
      <c r="C195" s="27"/>
      <c r="D195" s="180">
        <f>+'COCTELES '!K93</f>
        <v>14028.296625000001</v>
      </c>
      <c r="E195" s="122">
        <f>+'COCTELES '!K94</f>
        <v>42900</v>
      </c>
      <c r="F195" s="122">
        <f>+E195/1.08*0.08</f>
        <v>3177.7777777777774</v>
      </c>
      <c r="G195" s="123">
        <f>+Tabla5518107215[[#This Row],[VENTA]]-Tabla5518107215[[#This Row],[ICO 8%]]</f>
        <v>39722.222222222219</v>
      </c>
      <c r="H195" s="124">
        <f>+Tabla5518107215[[#This Row],[COSTO]]/Tabla5518107215[[#This Row],[BASE]]</f>
        <v>0.35315991503496508</v>
      </c>
      <c r="I195" s="125">
        <f>+Tabla5518107215[[#This Row],[BASE]]/Tabla5518107215[[#This Row],[COSTO]]</f>
        <v>2.8315784363607448</v>
      </c>
      <c r="J195" s="126">
        <f>+VLOOKUP(Tabla5518107215[[#This Row],[COCTELES]],Tabla77[#All],3,0)</f>
        <v>5</v>
      </c>
      <c r="K195" s="127">
        <f t="shared" si="57"/>
        <v>46760.988750000004</v>
      </c>
      <c r="L195" s="181">
        <f>+K195/1.08*0.08</f>
        <v>3463.7769444444443</v>
      </c>
      <c r="M195" s="128">
        <f>+Tabla5518107215[[#This Row],[PRECIO SUGERIDO]]+Tabla5518107215[[#This Row],[ICO2]]</f>
        <v>50224.765694444446</v>
      </c>
      <c r="N195" s="129">
        <v>51000</v>
      </c>
      <c r="O195" s="122">
        <f t="shared" si="59"/>
        <v>3777.7777777777774</v>
      </c>
      <c r="P195" s="180">
        <f>+Tabla5518107215[[#This Row],[PRECIO N]]-Tabla5518107215[[#This Row],[ICO 8%2]]</f>
        <v>47222.222222222219</v>
      </c>
      <c r="Q195" s="124">
        <f>+Tabla5518107215[[#This Row],[COSTO]]/Tabla5518107215[[#This Row],[CARTA]]</f>
        <v>0.29706981088235296</v>
      </c>
      <c r="R195" s="182">
        <f>+Tabla5518107215[[#This Row],[PRECIO N]]/Tabla5518107215[[#This Row],[COSTO]]</f>
        <v>3.6355090973135162</v>
      </c>
    </row>
    <row r="196" spans="1:18" x14ac:dyDescent="0.3">
      <c r="A196" s="162">
        <v>9</v>
      </c>
      <c r="B196" s="27" t="str">
        <f>+'COCTELES '!B103</f>
        <v>LYCHEE MARTINI</v>
      </c>
      <c r="C196" s="27"/>
      <c r="D196" s="180">
        <f>+'COCTELES '!K106</f>
        <v>9399.6589830150006</v>
      </c>
      <c r="E196" s="122">
        <f>+'COCTELES '!K107</f>
        <v>42900</v>
      </c>
      <c r="F196" s="122">
        <f>+E196/1.08*0.08</f>
        <v>3177.7777777777774</v>
      </c>
      <c r="G196" s="123">
        <f>+Tabla5518107215[[#This Row],[VENTA]]-Tabla5518107215[[#This Row],[ICO 8%]]</f>
        <v>39722.222222222219</v>
      </c>
      <c r="H196" s="124">
        <f>+Tabla5518107215[[#This Row],[COSTO]]/Tabla5518107215[[#This Row],[BASE]]</f>
        <v>0.23663477160037766</v>
      </c>
      <c r="I196" s="125">
        <f>+Tabla5518107215[[#This Row],[BASE]]/Tabla5518107215[[#This Row],[COSTO]]</f>
        <v>4.2259216311995464</v>
      </c>
      <c r="J196" s="126">
        <f>+VLOOKUP(Tabla5518107215[[#This Row],[COCTELES]],Tabla77[#All],3,0)</f>
        <v>109</v>
      </c>
      <c r="K196" s="127">
        <f t="shared" si="57"/>
        <v>31332.196610049999</v>
      </c>
      <c r="L196" s="181">
        <f>+K196/1.08*0.08</f>
        <v>2320.9034525962961</v>
      </c>
      <c r="M196" s="128">
        <f>+Tabla5518107215[[#This Row],[PRECIO SUGERIDO]]+Tabla5518107215[[#This Row],[ICO2]]</f>
        <v>33653.100062646292</v>
      </c>
      <c r="N196" s="129">
        <v>45000</v>
      </c>
      <c r="O196" s="122">
        <f t="shared" si="59"/>
        <v>3333.333333333333</v>
      </c>
      <c r="P196" s="180">
        <f>+Tabla5518107215[[#This Row],[PRECIO N]]-Tabla5518107215[[#This Row],[ICO 8%2]]</f>
        <v>41666.666666666664</v>
      </c>
      <c r="Q196" s="124">
        <f>+Tabla5518107215[[#This Row],[COSTO]]/Tabla5518107215[[#This Row],[CARTA]]</f>
        <v>0.22559181559236002</v>
      </c>
      <c r="R196" s="182">
        <f>+Tabla5518107215[[#This Row],[PRECIO N]]/Tabla5518107215[[#This Row],[COSTO]]</f>
        <v>4.7874077220582274</v>
      </c>
    </row>
    <row r="197" spans="1:18" x14ac:dyDescent="0.3">
      <c r="A197" s="162">
        <v>10</v>
      </c>
      <c r="B197" s="27" t="str">
        <f>+'COCTELES '!B115</f>
        <v xml:space="preserve">COSMOPOLITAN </v>
      </c>
      <c r="C197" s="27"/>
      <c r="D197" s="180">
        <f>+'COCTELES '!K118</f>
        <v>9222.9180062058913</v>
      </c>
      <c r="E197" s="122">
        <f>+'COCTELES '!K119</f>
        <v>39000</v>
      </c>
      <c r="F197" s="122">
        <f t="shared" ref="F197:F198" si="62">+E197/1.08*0.08</f>
        <v>2888.8888888888887</v>
      </c>
      <c r="G197" s="123">
        <f>+Tabla5518107215[[#This Row],[VENTA]]-Tabla5518107215[[#This Row],[ICO 8%]]</f>
        <v>36111.111111111109</v>
      </c>
      <c r="H197" s="124">
        <f>+Tabla5518107215[[#This Row],[COSTO]]/Tabla5518107215[[#This Row],[BASE]]</f>
        <v>0.25540388324877855</v>
      </c>
      <c r="I197" s="125">
        <f>+Tabla5518107215[[#This Row],[BASE]]/Tabla5518107215[[#This Row],[COSTO]]</f>
        <v>3.9153672500192203</v>
      </c>
      <c r="J197" s="126">
        <f>+VLOOKUP(Tabla5518107215[[#This Row],[COCTELES]],Tabla77[#All],3,0)</f>
        <v>35</v>
      </c>
      <c r="K197" s="127">
        <f t="shared" si="57"/>
        <v>30743.060020686306</v>
      </c>
      <c r="L197" s="181">
        <f t="shared" ref="L197:L198" si="63">+K197/1.08*0.08</f>
        <v>2277.2637052360224</v>
      </c>
      <c r="M197" s="128">
        <f>+Tabla5518107215[[#This Row],[PRECIO SUGERIDO]]+Tabla5518107215[[#This Row],[ICO2]]</f>
        <v>33020.323725922324</v>
      </c>
      <c r="N197" s="129">
        <v>45000</v>
      </c>
      <c r="O197" s="122">
        <f t="shared" si="59"/>
        <v>3333.333333333333</v>
      </c>
      <c r="P197" s="180">
        <f>+Tabla5518107215[[#This Row],[PRECIO N]]-Tabla5518107215[[#This Row],[ICO 8%2]]</f>
        <v>41666.666666666664</v>
      </c>
      <c r="Q197" s="124">
        <f>+Tabla5518107215[[#This Row],[COSTO]]/Tabla5518107215[[#This Row],[CARTA]]</f>
        <v>0.22135003214894142</v>
      </c>
      <c r="R197" s="182">
        <f>+Tabla5518107215[[#This Row],[PRECIO N]]/Tabla5518107215[[#This Row],[COSTO]]</f>
        <v>4.8791499577162591</v>
      </c>
    </row>
    <row r="198" spans="1:18" x14ac:dyDescent="0.3">
      <c r="A198" s="162">
        <v>11</v>
      </c>
      <c r="B198" s="27" t="str">
        <f>+'COCTELES '!B127</f>
        <v xml:space="preserve"> ESPRESSO MARTINI</v>
      </c>
      <c r="C198" s="27"/>
      <c r="D198" s="180">
        <f>+'COCTELES '!K130</f>
        <v>13867.650354702691</v>
      </c>
      <c r="E198" s="122">
        <f>+'COCTELES '!K131</f>
        <v>39000</v>
      </c>
      <c r="F198" s="122">
        <f t="shared" si="62"/>
        <v>2888.8888888888887</v>
      </c>
      <c r="G198" s="123">
        <f>+Tabla5518107215[[#This Row],[VENTA]]-Tabla5518107215[[#This Row],[ICO 8%]]</f>
        <v>36111.111111111109</v>
      </c>
      <c r="H198" s="124">
        <f>+Tabla5518107215[[#This Row],[COSTO]]/Tabla5518107215[[#This Row],[BASE]]</f>
        <v>0.38402724059176685</v>
      </c>
      <c r="I198" s="125">
        <f>+Tabla5518107215[[#This Row],[BASE]]/Tabla5518107215[[#This Row],[COSTO]]</f>
        <v>2.6039819426847162</v>
      </c>
      <c r="J198" s="126">
        <f>+VLOOKUP(Tabla5518107215[[#This Row],[COCTELES]],Tabla77[#All],3,0)</f>
        <v>51</v>
      </c>
      <c r="K198" s="127">
        <f t="shared" si="57"/>
        <v>46225.501182342305</v>
      </c>
      <c r="L198" s="181">
        <f t="shared" si="63"/>
        <v>3424.1111986920228</v>
      </c>
      <c r="M198" s="128">
        <f>+Tabla5518107215[[#This Row],[PRECIO SUGERIDO]]+Tabla5518107215[[#This Row],[ICO2]]</f>
        <v>49649.612381034327</v>
      </c>
      <c r="N198" s="129">
        <v>50000</v>
      </c>
      <c r="O198" s="122">
        <f t="shared" si="59"/>
        <v>3703.7037037037035</v>
      </c>
      <c r="P198" s="180">
        <f>+Tabla5518107215[[#This Row],[PRECIO N]]-Tabla5518107215[[#This Row],[ICO 8%2]]</f>
        <v>46296.296296296299</v>
      </c>
      <c r="Q198" s="124">
        <f>+Tabla5518107215[[#This Row],[COSTO]]/Tabla5518107215[[#This Row],[CARTA]]</f>
        <v>0.29954124766157814</v>
      </c>
      <c r="R198" s="182">
        <f>+Tabla5518107215[[#This Row],[PRECIO N]]/Tabla5518107215[[#This Row],[COSTO]]</f>
        <v>3.6055134591019149</v>
      </c>
    </row>
    <row r="199" spans="1:18" x14ac:dyDescent="0.3">
      <c r="A199" s="162">
        <v>13</v>
      </c>
      <c r="B199" s="27" t="str">
        <f>+'COCTELES '!B140</f>
        <v>MEZCAL CONEJO CHINGON</v>
      </c>
      <c r="C199" s="27"/>
      <c r="D199" s="180">
        <f>+'COCTELES '!K143</f>
        <v>14711.409031095001</v>
      </c>
      <c r="E199" s="134">
        <f>+'COCTELES '!K144</f>
        <v>48000</v>
      </c>
      <c r="F199" s="122">
        <f t="shared" ref="F199:F202" si="64">+E199/1.08*0.08</f>
        <v>3555.5555555555552</v>
      </c>
      <c r="G199" s="123">
        <f>+Tabla5518107215[[#This Row],[VENTA]]-Tabla5518107215[[#This Row],[ICO 8%]]</f>
        <v>44444.444444444445</v>
      </c>
      <c r="H199" s="124">
        <f>+Tabla5518107215[[#This Row],[COSTO]]/Tabla5518107215[[#This Row],[BASE]]</f>
        <v>0.33100670319963754</v>
      </c>
      <c r="I199" s="125">
        <f>+Tabla5518107215[[#This Row],[BASE]]/Tabla5518107215[[#This Row],[COSTO]]</f>
        <v>3.0210868551410504</v>
      </c>
      <c r="J199" s="126">
        <f>+VLOOKUP(Tabla5518107215[[#This Row],[COCTELES]],Tabla77[#All],3,0)</f>
        <v>58</v>
      </c>
      <c r="K199" s="127">
        <f t="shared" si="57"/>
        <v>49038.030103650002</v>
      </c>
      <c r="L199" s="181">
        <f t="shared" ref="L199:L202" si="65">+K199/1.08*0.08</f>
        <v>3632.4466743444441</v>
      </c>
      <c r="M199" s="128">
        <f>+Tabla5518107215[[#This Row],[PRECIO SUGERIDO]]+Tabla5518107215[[#This Row],[ICO2]]</f>
        <v>52670.476777994445</v>
      </c>
      <c r="N199" s="135">
        <v>53000</v>
      </c>
      <c r="O199" s="122">
        <f t="shared" si="59"/>
        <v>3925.9259259259261</v>
      </c>
      <c r="P199" s="180">
        <f>+Tabla5518107215[[#This Row],[PRECIO N]]-Tabla5518107215[[#This Row],[ICO 8%2]]</f>
        <v>49074.074074074073</v>
      </c>
      <c r="Q199" s="124">
        <f>+Tabla5518107215[[#This Row],[COSTO]]/Tabla5518107215[[#This Row],[CARTA]]</f>
        <v>0.2997796557279736</v>
      </c>
      <c r="R199" s="182">
        <f>+Tabla5518107215[[#This Row],[PRECIO N]]/Tabla5518107215[[#This Row],[COSTO]]</f>
        <v>3.6026460747557025</v>
      </c>
    </row>
    <row r="200" spans="1:18" x14ac:dyDescent="0.3">
      <c r="A200" s="162">
        <v>14</v>
      </c>
      <c r="B200" s="27" t="str">
        <f>+'COCTELES '!B153</f>
        <v>MOJITO TRADICIONAL</v>
      </c>
      <c r="C200" s="27"/>
      <c r="D200" s="180">
        <f>+'COCTELES '!K156</f>
        <v>7138.7074082509498</v>
      </c>
      <c r="E200" s="122">
        <f>+'COCTELES '!K157</f>
        <v>34900</v>
      </c>
      <c r="F200" s="122">
        <f t="shared" si="64"/>
        <v>2585.1851851851852</v>
      </c>
      <c r="G200" s="123">
        <f>+Tabla5518107215[[#This Row],[VENTA]]-Tabla5518107215[[#This Row],[ICO 8%]]</f>
        <v>32314.814814814814</v>
      </c>
      <c r="H200" s="124">
        <f>+Tabla5518107215[[#This Row],[COSTO]]/Tabla5518107215[[#This Row],[BASE]]</f>
        <v>0.2209112894243847</v>
      </c>
      <c r="I200" s="125">
        <f>+Tabla5518107215[[#This Row],[BASE]]/Tabla5518107215[[#This Row],[COSTO]]</f>
        <v>4.5267039208618085</v>
      </c>
      <c r="J200" s="126">
        <f>+VLOOKUP(Tabla5518107215[[#This Row],[COCTELES]],Tabla77[#All],3,0)</f>
        <v>97</v>
      </c>
      <c r="K200" s="127">
        <f t="shared" si="57"/>
        <v>23795.691360836499</v>
      </c>
      <c r="L200" s="181">
        <f t="shared" si="65"/>
        <v>1762.6438045064072</v>
      </c>
      <c r="M200" s="128">
        <f>+Tabla5518107215[[#This Row],[PRECIO SUGERIDO]]+Tabla5518107215[[#This Row],[ICO2]]</f>
        <v>25558.335165342905</v>
      </c>
      <c r="N200" s="129">
        <v>45000</v>
      </c>
      <c r="O200" s="122">
        <f t="shared" si="59"/>
        <v>3333.333333333333</v>
      </c>
      <c r="P200" s="180">
        <f>+Tabla5518107215[[#This Row],[PRECIO N]]-Tabla5518107215[[#This Row],[ICO 8%2]]</f>
        <v>41666.666666666664</v>
      </c>
      <c r="Q200" s="124">
        <f>+Tabla5518107215[[#This Row],[COSTO]]/Tabla5518107215[[#This Row],[CARTA]]</f>
        <v>0.17132897779802281</v>
      </c>
      <c r="R200" s="182">
        <f>+Tabla5518107215[[#This Row],[PRECIO N]]/Tabla5518107215[[#This Row],[COSTO]]</f>
        <v>6.3036621935210286</v>
      </c>
    </row>
    <row r="201" spans="1:18" x14ac:dyDescent="0.3">
      <c r="A201" s="162">
        <v>15</v>
      </c>
      <c r="B201" s="27" t="str">
        <f>+'COCTELES '!B166</f>
        <v>PENICILINA ROCOTO</v>
      </c>
      <c r="C201" s="27"/>
      <c r="D201" s="180">
        <f>+'COCTELES '!K169</f>
        <v>10459.846798471244</v>
      </c>
      <c r="E201" s="134">
        <f>+'COCTELES '!K170</f>
        <v>41000</v>
      </c>
      <c r="F201" s="122">
        <f t="shared" si="64"/>
        <v>3037.037037037037</v>
      </c>
      <c r="G201" s="123">
        <f>+Tabla5518107215[[#This Row],[VENTA]]-Tabla5518107215[[#This Row],[ICO 8%]]</f>
        <v>37962.962962962964</v>
      </c>
      <c r="H201" s="124">
        <f>+Tabla5518107215[[#This Row],[COSTO]]/Tabla5518107215[[#This Row],[BASE]]</f>
        <v>0.27552767176460841</v>
      </c>
      <c r="I201" s="125">
        <f>+Tabla5518107215[[#This Row],[BASE]]/Tabla5518107215[[#This Row],[COSTO]]</f>
        <v>3.6293995212732399</v>
      </c>
      <c r="J201" s="126">
        <f>+VLOOKUP(Tabla5518107215[[#This Row],[COCTELES]],Tabla77[#All],3,0)</f>
        <v>42</v>
      </c>
      <c r="K201" s="127">
        <f t="shared" si="57"/>
        <v>34866.155994904148</v>
      </c>
      <c r="L201" s="181">
        <f t="shared" si="65"/>
        <v>2582.6782218447515</v>
      </c>
      <c r="M201" s="128">
        <f>+Tabla5518107215[[#This Row],[PRECIO SUGERIDO]]+Tabla5518107215[[#This Row],[ICO2]]</f>
        <v>37448.834216748903</v>
      </c>
      <c r="N201" s="135">
        <v>48000</v>
      </c>
      <c r="O201" s="122">
        <f t="shared" si="59"/>
        <v>3555.5555555555552</v>
      </c>
      <c r="P201" s="180">
        <f>+Tabla5518107215[[#This Row],[PRECIO N]]-Tabla5518107215[[#This Row],[ICO 8%2]]</f>
        <v>44444.444444444445</v>
      </c>
      <c r="Q201" s="124">
        <f>+Tabla5518107215[[#This Row],[COSTO]]/Tabla5518107215[[#This Row],[CARTA]]</f>
        <v>0.235346552965603</v>
      </c>
      <c r="R201" s="182">
        <f>+Tabla5518107215[[#This Row],[PRECIO N]]/Tabla5518107215[[#This Row],[COSTO]]</f>
        <v>4.5889773459220669</v>
      </c>
    </row>
    <row r="202" spans="1:18" x14ac:dyDescent="0.3">
      <c r="A202" s="162">
        <v>17</v>
      </c>
      <c r="B202" s="27" t="str">
        <f>+'COCTELES '!B179</f>
        <v xml:space="preserve">MARGARITA CON DON JULIO </v>
      </c>
      <c r="C202" s="27"/>
      <c r="D202" s="180">
        <f>+'COCTELES '!K182</f>
        <v>27019.114304185503</v>
      </c>
      <c r="E202" s="122">
        <f>+'COCTELES '!K183</f>
        <v>70900</v>
      </c>
      <c r="F202" s="122">
        <f t="shared" si="64"/>
        <v>5251.8518518518522</v>
      </c>
      <c r="G202" s="123">
        <f>+Tabla5518107215[[#This Row],[VENTA]]-Tabla5518107215[[#This Row],[ICO 8%]]</f>
        <v>65648.148148148146</v>
      </c>
      <c r="H202" s="124">
        <f>+Tabla5518107215[[#This Row],[COSTO]]/Tabla5518107215[[#This Row],[BASE]]</f>
        <v>0.41157466076897525</v>
      </c>
      <c r="I202" s="125">
        <f>+Tabla5518107215[[#This Row],[BASE]]/Tabla5518107215[[#This Row],[COSTO]]</f>
        <v>2.429692824460151</v>
      </c>
      <c r="J202" s="126">
        <f>+VLOOKUP(Tabla5518107215[[#This Row],[COCTELES]],Tabla77[#All],3,0)</f>
        <v>25</v>
      </c>
      <c r="K202" s="130">
        <f>+D202/(100-70)*100</f>
        <v>90063.714347285015</v>
      </c>
      <c r="L202" s="181">
        <f t="shared" si="65"/>
        <v>6671.3862479470381</v>
      </c>
      <c r="M202" s="128">
        <f>+Tabla5518107215[[#This Row],[PRECIO SUGERIDO]]+Tabla5518107215[[#This Row],[ICO2]]</f>
        <v>96735.100595232056</v>
      </c>
      <c r="N202" s="129">
        <v>90000</v>
      </c>
      <c r="O202" s="122">
        <f t="shared" si="59"/>
        <v>6666.6666666666661</v>
      </c>
      <c r="P202" s="180">
        <f>+Tabla5518107215[[#This Row],[PRECIO N]]-Tabla5518107215[[#This Row],[ICO 8%2]]</f>
        <v>83333.333333333328</v>
      </c>
      <c r="Q202" s="124">
        <f>+Tabla5518107215[[#This Row],[COSTO]]/Tabla5518107215[[#This Row],[CARTA]]</f>
        <v>0.32422937165022603</v>
      </c>
      <c r="R202" s="182">
        <f>+Tabla5518107215[[#This Row],[PRECIO N]]/Tabla5518107215[[#This Row],[COSTO]]</f>
        <v>3.3309752120948759</v>
      </c>
    </row>
    <row r="203" spans="1:18" x14ac:dyDescent="0.3">
      <c r="B203" s="27" t="str">
        <f>+'COCTELES '!B262</f>
        <v>CARAJILLO</v>
      </c>
      <c r="C203" s="27"/>
      <c r="D203" s="180">
        <f>+'COCTELES '!K265</f>
        <v>11764.092218529</v>
      </c>
      <c r="E203" s="122"/>
      <c r="F203" s="122">
        <f>+E203/1.08*0.08</f>
        <v>0</v>
      </c>
      <c r="G203" s="123">
        <f>+Tabla5518107215[[#This Row],[VENTA]]-Tabla5518107215[[#This Row],[ICO 8%]]</f>
        <v>0</v>
      </c>
      <c r="H203" s="124" t="e">
        <f>+Tabla5518107215[[#This Row],[COSTO]]/Tabla5518107215[[#This Row],[BASE]]</f>
        <v>#DIV/0!</v>
      </c>
      <c r="I203" s="125">
        <f>+Tabla5518107215[[#This Row],[BASE]]/Tabla5518107215[[#This Row],[COSTO]]</f>
        <v>0</v>
      </c>
      <c r="J203" s="126" t="e">
        <f>+VLOOKUP(Tabla5518107215[[#This Row],[COCTELES]],Tabla77[#All],3,0)</f>
        <v>#N/A</v>
      </c>
      <c r="K203" s="130">
        <f>+D203/(100-70)*100</f>
        <v>39213.64072843</v>
      </c>
      <c r="L203" s="181">
        <f>+K203/1.08*0.08</f>
        <v>2904.7141280318519</v>
      </c>
      <c r="M203" s="128">
        <f>+Tabla5518107215[[#This Row],[PRECIO SUGERIDO]]+Tabla5518107215[[#This Row],[ICO2]]</f>
        <v>42118.354856461854</v>
      </c>
      <c r="N203" s="129">
        <v>42000</v>
      </c>
      <c r="O203" s="122">
        <f>+N203/1.08*0.08</f>
        <v>3111.1111111111109</v>
      </c>
      <c r="P203" s="180">
        <f>+Tabla5518107215[[#This Row],[PRECIO N]]-Tabla5518107215[[#This Row],[ICO 8%2]]</f>
        <v>38888.888888888891</v>
      </c>
      <c r="Q203" s="124">
        <f>+Tabla5518107215[[#This Row],[COSTO]]/Tabla5518107215[[#This Row],[CARTA]]</f>
        <v>0.30250522847646</v>
      </c>
      <c r="R203" s="182">
        <f>+Tabla5518107215[[#This Row],[PRECIO N]]/Tabla5518107215[[#This Row],[COSTO]]</f>
        <v>3.5701862260011885</v>
      </c>
    </row>
    <row r="204" spans="1:18" x14ac:dyDescent="0.3">
      <c r="B204" s="27" t="str">
        <f>+'COCTELES '!B274</f>
        <v>ARRIERO</v>
      </c>
      <c r="C204" s="27"/>
      <c r="D204" s="180">
        <f>+'COCTELES '!K277</f>
        <v>8290.8701269905014</v>
      </c>
      <c r="E204" s="122"/>
      <c r="F204" s="122">
        <f>+E204/1.08*0.08</f>
        <v>0</v>
      </c>
      <c r="G204" s="123">
        <f>+Tabla5518107215[[#This Row],[VENTA]]-Tabla5518107215[[#This Row],[ICO 8%]]</f>
        <v>0</v>
      </c>
      <c r="H204" s="124" t="e">
        <f>+Tabla5518107215[[#This Row],[COSTO]]/Tabla5518107215[[#This Row],[BASE]]</f>
        <v>#DIV/0!</v>
      </c>
      <c r="I204" s="125">
        <f>+Tabla5518107215[[#This Row],[BASE]]/Tabla5518107215[[#This Row],[COSTO]]</f>
        <v>0</v>
      </c>
      <c r="J204" s="126" t="e">
        <f>+VLOOKUP(Tabla5518107215[[#This Row],[COCTELES]],Tabla77[#All],3,0)</f>
        <v>#N/A</v>
      </c>
      <c r="K204" s="130">
        <f>+D204/(100-70)*100</f>
        <v>27636.233756635003</v>
      </c>
      <c r="L204" s="181">
        <f>+K204/1.08*0.08</f>
        <v>2047.1284264174076</v>
      </c>
      <c r="M204" s="128">
        <f>+Tabla5518107215[[#This Row],[PRECIO SUGERIDO]]+Tabla5518107215[[#This Row],[ICO2]]</f>
        <v>29683.36218305241</v>
      </c>
      <c r="N204" s="129">
        <v>42000</v>
      </c>
      <c r="O204" s="122">
        <f>+N204/1.08*0.08</f>
        <v>3111.1111111111109</v>
      </c>
      <c r="P204" s="180">
        <f>+Tabla5518107215[[#This Row],[PRECIO N]]-Tabla5518107215[[#This Row],[ICO 8%2]]</f>
        <v>38888.888888888891</v>
      </c>
      <c r="Q204" s="124">
        <f>+Tabla5518107215[[#This Row],[COSTO]]/Tabla5518107215[[#This Row],[CARTA]]</f>
        <v>0.21319380326547002</v>
      </c>
      <c r="R204" s="182">
        <f>+Tabla5518107215[[#This Row],[PRECIO N]]/Tabla5518107215[[#This Row],[COSTO]]</f>
        <v>5.0658132809572258</v>
      </c>
    </row>
    <row r="205" spans="1:18" x14ac:dyDescent="0.3">
      <c r="B205" s="27" t="s">
        <v>30</v>
      </c>
      <c r="C205" s="27"/>
      <c r="D205" s="162"/>
      <c r="E205" s="126"/>
      <c r="F205" s="126"/>
      <c r="G205" s="126"/>
      <c r="H205" s="131" t="e">
        <f>SUBTOTAL(101,Tabla5518107215[%])</f>
        <v>#DIV/0!</v>
      </c>
      <c r="I205" s="126"/>
      <c r="J205" s="126"/>
      <c r="K205" s="93"/>
      <c r="L205" s="162"/>
      <c r="M205" s="126"/>
      <c r="N205" s="132"/>
      <c r="O205" s="126"/>
      <c r="P205" s="162"/>
      <c r="Q205" s="126"/>
      <c r="R205" s="182">
        <f>SUBTOTAL(109,Tabla5518107215[RATION])</f>
        <v>70.897598179274638</v>
      </c>
    </row>
    <row r="207" spans="1:18" x14ac:dyDescent="0.3">
      <c r="B207" s="116"/>
      <c r="C207" s="59"/>
      <c r="D207" s="137"/>
      <c r="E207" s="117" t="s">
        <v>21</v>
      </c>
      <c r="F207" s="116"/>
      <c r="G207" s="118"/>
      <c r="H207" s="116"/>
      <c r="I207" s="116"/>
      <c r="J207" s="93"/>
      <c r="K207" s="278" t="s">
        <v>25</v>
      </c>
      <c r="L207" s="278"/>
      <c r="M207" s="278"/>
      <c r="N207" s="59"/>
      <c r="O207" s="59"/>
      <c r="P207" s="118"/>
    </row>
    <row r="208" spans="1:18" x14ac:dyDescent="0.3">
      <c r="B208" s="177" t="s">
        <v>224</v>
      </c>
      <c r="C208" s="60" t="s">
        <v>111</v>
      </c>
      <c r="D208" s="178" t="s">
        <v>7</v>
      </c>
      <c r="E208" s="119" t="s">
        <v>16</v>
      </c>
      <c r="F208" s="120" t="s">
        <v>29</v>
      </c>
      <c r="G208" s="60" t="s">
        <v>22</v>
      </c>
      <c r="H208" s="121" t="s">
        <v>17</v>
      </c>
      <c r="I208" s="60" t="s">
        <v>18</v>
      </c>
      <c r="J208" s="60" t="s">
        <v>19</v>
      </c>
      <c r="K208" s="60" t="s">
        <v>23</v>
      </c>
      <c r="L208" s="178" t="s">
        <v>28</v>
      </c>
      <c r="M208" s="60" t="s">
        <v>24</v>
      </c>
      <c r="N208" s="133" t="s">
        <v>26</v>
      </c>
      <c r="O208" s="169" t="s">
        <v>351</v>
      </c>
      <c r="P208" s="178" t="s">
        <v>21</v>
      </c>
      <c r="Q208" s="121" t="s">
        <v>27</v>
      </c>
      <c r="R208" s="179" t="s">
        <v>20</v>
      </c>
    </row>
    <row r="209" spans="2:18" x14ac:dyDescent="0.3">
      <c r="B209" s="27" t="str">
        <f>+'GIN &amp; TONIC'!B6</f>
        <v>GIN &amp; TONIC SELVA</v>
      </c>
      <c r="C209" s="27"/>
      <c r="D209" s="180">
        <f>+'GIN &amp; TONIC'!K9</f>
        <v>16250.878090892758</v>
      </c>
      <c r="E209" s="122">
        <f>+'GIN &amp; TONIC'!K10</f>
        <v>48000</v>
      </c>
      <c r="F209" s="122">
        <f>+E209/1.08*0.08</f>
        <v>3555.5555555555552</v>
      </c>
      <c r="G209" s="123">
        <f>+Tabla5518107234[[#This Row],[VENTA]]-Tabla5518107234[[#This Row],[ICO 8%]]</f>
        <v>44444.444444444445</v>
      </c>
      <c r="H209" s="124">
        <f>+Tabla5518107234[[#This Row],[COSTO]]/Tabla5518107234[[#This Row],[BASE]]</f>
        <v>0.36564475704508703</v>
      </c>
      <c r="I209" s="125">
        <f>+Tabla5518107234[[#This Row],[BASE]]/Tabla5518107234[[#This Row],[COSTO]]</f>
        <v>2.7348949512673899</v>
      </c>
      <c r="J209" s="126">
        <f>+VLOOKUP(Tabla5518107234[[#This Row],[GIN &amp; TONICS]],Tabla77[#All],3,0)</f>
        <v>15</v>
      </c>
      <c r="K209" s="127">
        <f t="shared" ref="K209:K213" si="66">+D209/(100-70)*100</f>
        <v>54169.593636309197</v>
      </c>
      <c r="L209" s="181">
        <f>+K209/1.08*0.08</f>
        <v>4012.5624915784588</v>
      </c>
      <c r="M209" s="128">
        <f>+Tabla5518107234[[#This Row],[PRECIO SUGERIDO]]+Tabla5518107234[[#This Row],[ICO2]]</f>
        <v>58182.156127887654</v>
      </c>
      <c r="N209" s="129">
        <v>58000</v>
      </c>
      <c r="O209" s="122">
        <f t="shared" ref="O209:O213" si="67">+N209/1.08*0.08</f>
        <v>4296.2962962962965</v>
      </c>
      <c r="P209" s="180">
        <f>+Tabla5518107234[[#This Row],[PRECIO N]]-Tabla5518107234[[#This Row],[ICO 8%2]]</f>
        <v>53703.703703703701</v>
      </c>
      <c r="Q209" s="124">
        <f>+Tabla5518107234[[#This Row],[COSTO]]/Tabla5518107234[[#This Row],[CARTA]]</f>
        <v>0.30260255755455484</v>
      </c>
      <c r="R209" s="182">
        <f>+Tabla5518107234[[#This Row],[PRECIO N]]/Tabla5518107234[[#This Row],[COSTO]]</f>
        <v>3.5690379114039437</v>
      </c>
    </row>
    <row r="210" spans="2:18" x14ac:dyDescent="0.3">
      <c r="B210" s="27" t="str">
        <f>+'GIN &amp; TONIC'!B18</f>
        <v>GIN &amp; TONIC TANQUERAY DRY</v>
      </c>
      <c r="C210" s="27"/>
      <c r="D210" s="180">
        <f>+'GIN &amp; TONIC'!K21</f>
        <v>19510.157046124499</v>
      </c>
      <c r="E210" s="134">
        <f>+'GIN &amp; TONIC'!K22</f>
        <v>51000</v>
      </c>
      <c r="F210" s="122">
        <f>+E210/1.08*0.08</f>
        <v>3777.7777777777774</v>
      </c>
      <c r="G210" s="123">
        <f>+Tabla5518107234[[#This Row],[VENTA]]-Tabla5518107234[[#This Row],[ICO 8%]]</f>
        <v>47222.222222222219</v>
      </c>
      <c r="H210" s="124">
        <f>+Tabla5518107234[[#This Row],[COSTO]]/Tabla5518107234[[#This Row],[BASE]]</f>
        <v>0.41315626685910706</v>
      </c>
      <c r="I210" s="125">
        <f>+Tabla5518107234[[#This Row],[BASE]]/Tabla5518107234[[#This Row],[COSTO]]</f>
        <v>2.4203917021571311</v>
      </c>
      <c r="J210" s="126">
        <f>+VLOOKUP(Tabla5518107234[[#This Row],[GIN &amp; TONICS]],Tabla77[#All],3,0)</f>
        <v>19</v>
      </c>
      <c r="K210" s="127">
        <f t="shared" si="66"/>
        <v>65033.856820415</v>
      </c>
      <c r="L210" s="181">
        <f>+K210/1.08*0.08</f>
        <v>4817.3227274381479</v>
      </c>
      <c r="M210" s="128">
        <f>+Tabla5518107234[[#This Row],[PRECIO SUGERIDO]]+Tabla5518107234[[#This Row],[ICO2]]</f>
        <v>69851.179547853142</v>
      </c>
      <c r="N210" s="135">
        <v>60000</v>
      </c>
      <c r="O210" s="122">
        <f t="shared" si="67"/>
        <v>4444.4444444444443</v>
      </c>
      <c r="P210" s="180">
        <f>+Tabla5518107234[[#This Row],[PRECIO N]]-Tabla5518107234[[#This Row],[ICO 8%2]]</f>
        <v>55555.555555555555</v>
      </c>
      <c r="Q210" s="124">
        <f>+Tabla5518107234[[#This Row],[COSTO]]/Tabla5518107234[[#This Row],[CARTA]]</f>
        <v>0.35118282683024099</v>
      </c>
      <c r="R210" s="182">
        <f>+Tabla5518107234[[#This Row],[PRECIO N]]/Tabla5518107234[[#This Row],[COSTO]]</f>
        <v>3.0753212215643551</v>
      </c>
    </row>
    <row r="211" spans="2:18" x14ac:dyDescent="0.3">
      <c r="B211" s="27" t="str">
        <f>+'GIN &amp; TONIC'!B29</f>
        <v>HENDRICKS</v>
      </c>
      <c r="C211" s="27"/>
      <c r="D211" s="180">
        <f>+'GIN &amp; TONIC'!K32</f>
        <v>21225.6382499805</v>
      </c>
      <c r="E211" s="134">
        <f>+'GIN &amp; TONIC'!K33</f>
        <v>56000</v>
      </c>
      <c r="F211" s="122">
        <f>+E211/1.08*0.08</f>
        <v>4148.1481481481478</v>
      </c>
      <c r="G211" s="123">
        <f>+Tabla5518107234[[#This Row],[VENTA]]-Tabla5518107234[[#This Row],[ICO 8%]]</f>
        <v>51851.851851851854</v>
      </c>
      <c r="H211" s="124">
        <f>+Tabla5518107234[[#This Row],[COSTO]]/Tabla5518107234[[#This Row],[BASE]]</f>
        <v>0.40935159482105249</v>
      </c>
      <c r="I211" s="125">
        <f>+Tabla5518107234[[#This Row],[BASE]]/Tabla5518107234[[#This Row],[COSTO]]</f>
        <v>2.442887758717903</v>
      </c>
      <c r="J211" s="126">
        <f>+VLOOKUP(Tabla5518107234[[#This Row],[GIN &amp; TONICS]],Tabla77[#All],3,0)</f>
        <v>50</v>
      </c>
      <c r="K211" s="127">
        <f t="shared" si="66"/>
        <v>70752.127499934999</v>
      </c>
      <c r="L211" s="181">
        <f>+K211/1.08*0.08</f>
        <v>5240.8983333285187</v>
      </c>
      <c r="M211" s="128">
        <f>+Tabla5518107234[[#This Row],[PRECIO SUGERIDO]]+Tabla5518107234[[#This Row],[ICO2]]</f>
        <v>75993.025833263513</v>
      </c>
      <c r="N211" s="135">
        <v>65000</v>
      </c>
      <c r="O211" s="122">
        <f t="shared" si="67"/>
        <v>4814.8148148148148</v>
      </c>
      <c r="P211" s="180">
        <f>+Tabla5518107234[[#This Row],[PRECIO N]]-Tabla5518107234[[#This Row],[ICO 8%2]]</f>
        <v>60185.185185185182</v>
      </c>
      <c r="Q211" s="124">
        <f>+Tabla5518107234[[#This Row],[COSTO]]/Tabla5518107234[[#This Row],[CARTA]]</f>
        <v>0.35267214323044527</v>
      </c>
      <c r="R211" s="182">
        <f>+Tabla5518107234[[#This Row],[PRECIO N]]/Tabla5518107234[[#This Row],[COSTO]]</f>
        <v>3.0623342975356564</v>
      </c>
    </row>
    <row r="212" spans="2:18" x14ac:dyDescent="0.3">
      <c r="B212" s="27" t="str">
        <f>+'GIN &amp; TONIC'!B40</f>
        <v>GIN GORDONS CLASICA</v>
      </c>
      <c r="C212" s="27"/>
      <c r="D212" s="180">
        <f>+'GIN &amp; TONIC'!K43</f>
        <v>10901.786363009849</v>
      </c>
      <c r="E212" s="122">
        <f>+'GIN &amp; TONIC'!K44</f>
        <v>42500</v>
      </c>
      <c r="F212" s="122">
        <f>+E212/1.08*0.08</f>
        <v>3148.1481481481478</v>
      </c>
      <c r="G212" s="123">
        <f>+Tabla5518107234[[#This Row],[VENTA]]-Tabla5518107234[[#This Row],[ICO 8%]]</f>
        <v>39351.851851851854</v>
      </c>
      <c r="H212" s="124">
        <f>+Tabla5518107234[[#This Row],[COSTO]]/Tabla5518107234[[#This Row],[BASE]]</f>
        <v>0.27703362993060321</v>
      </c>
      <c r="I212" s="125">
        <f>+Tabla5518107234[[#This Row],[BASE]]/Tabla5518107234[[#This Row],[COSTO]]</f>
        <v>3.6096700615390973</v>
      </c>
      <c r="J212" s="126">
        <f>+VLOOKUP(Tabla5518107234[[#This Row],[GIN &amp; TONICS]],Tabla77[#All],3,0)</f>
        <v>10</v>
      </c>
      <c r="K212" s="127">
        <f t="shared" si="66"/>
        <v>36339.287876699498</v>
      </c>
      <c r="L212" s="181">
        <f>+K212/1.08*0.08</f>
        <v>2691.7991019777405</v>
      </c>
      <c r="M212" s="128">
        <f>+Tabla5518107234[[#This Row],[PRECIO SUGERIDO]]+Tabla5518107234[[#This Row],[ICO2]]</f>
        <v>39031.086978677238</v>
      </c>
      <c r="N212" s="129">
        <v>48000</v>
      </c>
      <c r="O212" s="122">
        <f t="shared" si="67"/>
        <v>3555.5555555555552</v>
      </c>
      <c r="P212" s="180">
        <f>+Tabla5518107234[[#This Row],[PRECIO N]]-Tabla5518107234[[#This Row],[ICO 8%2]]</f>
        <v>44444.444444444445</v>
      </c>
      <c r="Q212" s="124">
        <f>+Tabla5518107234[[#This Row],[COSTO]]/Tabla5518107234[[#This Row],[CARTA]]</f>
        <v>0.2452901931677216</v>
      </c>
      <c r="R212" s="182">
        <f>+Tabla5518107234[[#This Row],[PRECIO N]]/Tabla5518107234[[#This Row],[COSTO]]</f>
        <v>4.402948140945572</v>
      </c>
    </row>
    <row r="213" spans="2:18" x14ac:dyDescent="0.3">
      <c r="B213" s="27" t="str">
        <f>+'GIN &amp; TONIC'!B54</f>
        <v>GIN GORDONS PINK</v>
      </c>
      <c r="C213" s="27"/>
      <c r="D213" s="180">
        <f>+'GIN &amp; TONIC'!K57</f>
        <v>13166.8940902905</v>
      </c>
      <c r="E213" s="122">
        <f>+'GIN &amp; TONIC'!K58</f>
        <v>42500</v>
      </c>
      <c r="F213" s="122">
        <f>+E213/1.08*0.08</f>
        <v>3148.1481481481478</v>
      </c>
      <c r="G213" s="123">
        <f>+Tabla5518107234[[#This Row],[VENTA]]-Tabla5518107234[[#This Row],[ICO 8%]]</f>
        <v>39351.851851851854</v>
      </c>
      <c r="H213" s="124">
        <f>+Tabla5518107234[[#This Row],[COSTO]]/Tabla5518107234[[#This Row],[BASE]]</f>
        <v>0.33459401452973503</v>
      </c>
      <c r="I213" s="125">
        <f>+Tabla5518107234[[#This Row],[BASE]]/Tabla5518107234[[#This Row],[COSTO]]</f>
        <v>2.98869661911161</v>
      </c>
      <c r="J213" s="126">
        <f>+VLOOKUP(Tabla5518107234[[#This Row],[GIN &amp; TONICS]],Tabla77[#All],3,0)</f>
        <v>29</v>
      </c>
      <c r="K213" s="127">
        <f t="shared" si="66"/>
        <v>43889.646967634995</v>
      </c>
      <c r="L213" s="181">
        <f>+K213/1.08*0.08</f>
        <v>3251.0849605655549</v>
      </c>
      <c r="M213" s="128">
        <f>+Tabla5518107234[[#This Row],[PRECIO SUGERIDO]]+Tabla5518107234[[#This Row],[ICO2]]</f>
        <v>47140.731928200548</v>
      </c>
      <c r="N213" s="129">
        <v>52000</v>
      </c>
      <c r="O213" s="122">
        <f t="shared" si="67"/>
        <v>3851.8518518518517</v>
      </c>
      <c r="P213" s="180">
        <f>+Tabla5518107234[[#This Row],[PRECIO N]]-Tabla5518107234[[#This Row],[ICO 8%2]]</f>
        <v>48148.148148148146</v>
      </c>
      <c r="Q213" s="124">
        <f>+Tabla5518107234[[#This Row],[COSTO]]/Tabla5518107234[[#This Row],[CARTA]]</f>
        <v>0.27346626187526424</v>
      </c>
      <c r="R213" s="182">
        <f>+Tabla5518107234[[#This Row],[PRECIO N]]/Tabla5518107234[[#This Row],[COSTO]]</f>
        <v>3.9492988736307768</v>
      </c>
    </row>
    <row r="214" spans="2:18" x14ac:dyDescent="0.3">
      <c r="B214" s="27" t="s">
        <v>30</v>
      </c>
      <c r="C214" s="27"/>
      <c r="D214" s="162"/>
      <c r="E214" s="126"/>
      <c r="F214" s="126"/>
      <c r="G214" s="126"/>
      <c r="H214" s="131">
        <f>SUBTOTAL(101,Tabla5518107234[%])</f>
        <v>0.35995605263711694</v>
      </c>
      <c r="I214" s="126"/>
      <c r="J214" s="126"/>
      <c r="K214" s="93"/>
      <c r="L214" s="162"/>
      <c r="M214" s="126"/>
      <c r="N214" s="132"/>
      <c r="O214" s="126"/>
      <c r="P214" s="162"/>
      <c r="Q214" s="126"/>
      <c r="R214" s="182">
        <f>SUBTOTAL(109,Tabla5518107234[RATION])</f>
        <v>18.058940445080303</v>
      </c>
    </row>
    <row r="217" spans="2:18" x14ac:dyDescent="0.3">
      <c r="B217" s="116"/>
      <c r="C217" s="59"/>
      <c r="D217" s="137"/>
      <c r="E217" s="117" t="s">
        <v>21</v>
      </c>
      <c r="F217" s="116"/>
      <c r="G217" s="118"/>
      <c r="H217" s="116"/>
      <c r="I217" s="116"/>
      <c r="J217" s="93"/>
      <c r="K217" s="278" t="s">
        <v>25</v>
      </c>
      <c r="L217" s="278"/>
      <c r="M217" s="278"/>
      <c r="N217" s="59"/>
      <c r="O217" s="59"/>
      <c r="P217" s="118"/>
    </row>
    <row r="218" spans="2:18" x14ac:dyDescent="0.3">
      <c r="B218" s="177" t="s">
        <v>261</v>
      </c>
      <c r="C218" s="60" t="s">
        <v>111</v>
      </c>
      <c r="D218" s="178" t="s">
        <v>7</v>
      </c>
      <c r="E218" s="119" t="s">
        <v>16</v>
      </c>
      <c r="F218" s="120" t="s">
        <v>29</v>
      </c>
      <c r="G218" s="60" t="s">
        <v>22</v>
      </c>
      <c r="H218" s="121" t="s">
        <v>17</v>
      </c>
      <c r="I218" s="60" t="s">
        <v>18</v>
      </c>
      <c r="J218" s="60" t="s">
        <v>19</v>
      </c>
      <c r="K218" s="60" t="s">
        <v>23</v>
      </c>
      <c r="L218" s="178" t="s">
        <v>28</v>
      </c>
      <c r="M218" s="60" t="s">
        <v>24</v>
      </c>
      <c r="N218" s="133" t="s">
        <v>26</v>
      </c>
      <c r="O218" s="169" t="s">
        <v>351</v>
      </c>
      <c r="P218" s="178" t="s">
        <v>21</v>
      </c>
      <c r="Q218" s="121" t="s">
        <v>27</v>
      </c>
      <c r="R218" s="179" t="s">
        <v>20</v>
      </c>
    </row>
    <row r="219" spans="2:18" x14ac:dyDescent="0.3">
      <c r="B219" s="27" t="str">
        <f>+CERVEZA!A3</f>
        <v>CUSQUEÃ‘A</v>
      </c>
      <c r="C219" s="27"/>
      <c r="D219" s="180">
        <f>+CERVEZA!H6</f>
        <v>2735.2222222199998</v>
      </c>
      <c r="E219" s="122">
        <f>+CERVEZA!H7</f>
        <v>13900</v>
      </c>
      <c r="F219" s="122">
        <f>+E219/1.08*0.08</f>
        <v>1029.6296296296296</v>
      </c>
      <c r="G219" s="123">
        <f>+Tabla5518107235[[#This Row],[VENTA]]-Tabla5518107235[[#This Row],[ICO 8%]]</f>
        <v>12870.37037037037</v>
      </c>
      <c r="H219" s="124">
        <f>+Tabla5518107235[[#This Row],[COSTO]]/Tabla5518107235[[#This Row],[BASE]]</f>
        <v>0.21252086330917985</v>
      </c>
      <c r="I219" s="125">
        <f>+Tabla5518107235[[#This Row],[BASE]]/Tabla5518107235[[#This Row],[COSTO]]</f>
        <v>4.7054203734584821</v>
      </c>
      <c r="J219" s="126">
        <f>+VLOOKUP(Tabla5518107235[[#This Row],[CERVEZAS]],Tabla77[#All],3,0)</f>
        <v>421</v>
      </c>
      <c r="K219" s="127">
        <f t="shared" ref="K219:K226" si="68">+D219/(100-70)*100</f>
        <v>9117.4074073999982</v>
      </c>
      <c r="L219" s="181">
        <f>+K219/1.08*0.08</f>
        <v>675.36351165925907</v>
      </c>
      <c r="M219" s="128">
        <f>+Tabla5518107235[[#This Row],[PRECIO SUGERIDO]]+Tabla5518107235[[#This Row],[ICO2]]</f>
        <v>9792.7709190592577</v>
      </c>
      <c r="N219" s="129"/>
      <c r="O219" s="122">
        <f t="shared" ref="O219:O226" si="69">+N219/1.08*0.08</f>
        <v>0</v>
      </c>
      <c r="P219" s="180">
        <f>+Tabla5518107235[[#This Row],[PRECIO N]]-Tabla5518107235[[#This Row],[ICO 8%2]]</f>
        <v>0</v>
      </c>
      <c r="Q219" s="124" t="e">
        <f>+Tabla5518107235[[#This Row],[COSTO]]/Tabla5518107235[[#This Row],[CARTA]]</f>
        <v>#DIV/0!</v>
      </c>
      <c r="R219" s="182">
        <f>+Tabla5518107235[[#This Row],[PRECIO N]]/Tabla5518107235[[#This Row],[COSTO]]</f>
        <v>0</v>
      </c>
    </row>
    <row r="220" spans="2:18" x14ac:dyDescent="0.3">
      <c r="B220" s="27" t="str">
        <f>+CERVEZA!A16</f>
        <v>CORONA</v>
      </c>
      <c r="C220" s="27"/>
      <c r="D220" s="180">
        <f>+CERVEZA!H19</f>
        <v>3465.2083333300002</v>
      </c>
      <c r="E220" s="122">
        <f>+CERVEZA!H20</f>
        <v>15000</v>
      </c>
      <c r="F220" s="122">
        <f>+E220/1.08*0.08</f>
        <v>1111.1111111111111</v>
      </c>
      <c r="G220" s="123">
        <f>+Tabla5518107235[[#This Row],[VENTA]]-Tabla5518107235[[#This Row],[ICO 8%]]</f>
        <v>13888.888888888889</v>
      </c>
      <c r="H220" s="124">
        <f>+Tabla5518107235[[#This Row],[COSTO]]/Tabla5518107235[[#This Row],[BASE]]</f>
        <v>0.24949499999976002</v>
      </c>
      <c r="I220" s="125">
        <f>+Tabla5518107235[[#This Row],[BASE]]/Tabla5518107235[[#This Row],[COSTO]]</f>
        <v>4.0080963546402204</v>
      </c>
      <c r="J220" s="126">
        <f>+VLOOKUP(Tabla5518107235[[#This Row],[CERVEZAS]],Tabla77[#All],3,0)</f>
        <v>221</v>
      </c>
      <c r="K220" s="127">
        <f t="shared" si="68"/>
        <v>11550.694444433335</v>
      </c>
      <c r="L220" s="181">
        <f>+K220/1.08*0.08</f>
        <v>855.60699588395073</v>
      </c>
      <c r="M220" s="128">
        <f>+Tabla5518107235[[#This Row],[PRECIO SUGERIDO]]+Tabla5518107235[[#This Row],[ICO2]]</f>
        <v>12406.301440317286</v>
      </c>
      <c r="N220" s="129"/>
      <c r="O220" s="122">
        <f t="shared" si="69"/>
        <v>0</v>
      </c>
      <c r="P220" s="180">
        <f>+Tabla5518107235[[#This Row],[PRECIO N]]-Tabla5518107235[[#This Row],[ICO 8%2]]</f>
        <v>0</v>
      </c>
      <c r="Q220" s="124" t="e">
        <f>+Tabla5518107235[[#This Row],[COSTO]]/Tabla5518107235[[#This Row],[CARTA]]</f>
        <v>#DIV/0!</v>
      </c>
      <c r="R220" s="182">
        <f>+Tabla5518107235[[#This Row],[PRECIO N]]/Tabla5518107235[[#This Row],[COSTO]]</f>
        <v>0</v>
      </c>
    </row>
    <row r="221" spans="2:18" x14ac:dyDescent="0.3">
      <c r="B221" s="27" t="str">
        <f>+CERVEZA!A27</f>
        <v>CERVEZA STELLA ARTOIS</v>
      </c>
      <c r="C221" s="27"/>
      <c r="D221" s="180">
        <f>+CERVEZA!H30</f>
        <v>3101.9166666699998</v>
      </c>
      <c r="E221" s="122">
        <f>+CERVEZA!H31</f>
        <v>15000</v>
      </c>
      <c r="F221" s="122">
        <f>+E221/1.08*0.08</f>
        <v>1111.1111111111111</v>
      </c>
      <c r="G221" s="123">
        <f>+Tabla5518107235[[#This Row],[VENTA]]-Tabla5518107235[[#This Row],[ICO 8%]]</f>
        <v>13888.888888888889</v>
      </c>
      <c r="H221" s="124">
        <f>+Tabla5518107235[[#This Row],[COSTO]]/Tabla5518107235[[#This Row],[BASE]]</f>
        <v>0.22333800000023998</v>
      </c>
      <c r="I221" s="125">
        <f>+Tabla5518107235[[#This Row],[BASE]]/Tabla5518107235[[#This Row],[COSTO]]</f>
        <v>4.4775183802081395</v>
      </c>
      <c r="J221" s="126">
        <f>+VLOOKUP(Tabla5518107235[[#This Row],[CERVEZAS]],Tabla77[#All],3,0)</f>
        <v>318</v>
      </c>
      <c r="K221" s="127">
        <f t="shared" si="68"/>
        <v>10339.722222233333</v>
      </c>
      <c r="L221" s="181">
        <f>+K221/1.08*0.08</f>
        <v>765.90534979506162</v>
      </c>
      <c r="M221" s="128">
        <f>+Tabla5518107235[[#This Row],[PRECIO SUGERIDO]]+Tabla5518107235[[#This Row],[ICO2]]</f>
        <v>11105.627572028394</v>
      </c>
      <c r="N221" s="129"/>
      <c r="O221" s="122">
        <f t="shared" si="69"/>
        <v>0</v>
      </c>
      <c r="P221" s="180">
        <f>+Tabla5518107235[[#This Row],[PRECIO N]]-Tabla5518107235[[#This Row],[ICO 8%2]]</f>
        <v>0</v>
      </c>
      <c r="Q221" s="124" t="e">
        <f>+Tabla5518107235[[#This Row],[COSTO]]/Tabla5518107235[[#This Row],[CARTA]]</f>
        <v>#DIV/0!</v>
      </c>
      <c r="R221" s="182">
        <f>+Tabla5518107235[[#This Row],[PRECIO N]]/Tabla5518107235[[#This Row],[COSTO]]</f>
        <v>0</v>
      </c>
    </row>
    <row r="222" spans="2:18" x14ac:dyDescent="0.3">
      <c r="B222" s="27" t="str">
        <f>+CERVEZA!A39</f>
        <v>TORREALTA</v>
      </c>
      <c r="C222" s="27"/>
      <c r="D222" s="180">
        <f>+CERVEZA!H42</f>
        <v>11200</v>
      </c>
      <c r="E222" s="122">
        <f>+CERVEZA!H43</f>
        <v>27000</v>
      </c>
      <c r="F222" s="122">
        <f>+E222/1.08*0.08</f>
        <v>2000</v>
      </c>
      <c r="G222" s="123">
        <f>+Tabla5518107235[[#This Row],[VENTA]]-Tabla5518107235[[#This Row],[ICO 8%]]</f>
        <v>25000</v>
      </c>
      <c r="H222" s="124">
        <f>+Tabla5518107235[[#This Row],[COSTO]]/Tabla5518107235[[#This Row],[BASE]]</f>
        <v>0.44800000000000001</v>
      </c>
      <c r="I222" s="125">
        <f>+Tabla5518107235[[#This Row],[BASE]]/Tabla5518107235[[#This Row],[COSTO]]</f>
        <v>2.2321428571428572</v>
      </c>
      <c r="J222" s="126">
        <f>+VLOOKUP(Tabla5518107235[[#This Row],[CERVEZAS]],Tabla77[#All],3,0)</f>
        <v>119</v>
      </c>
      <c r="K222" s="127">
        <f t="shared" si="68"/>
        <v>37333.333333333328</v>
      </c>
      <c r="L222" s="181">
        <f>+K222/1.08*0.08</f>
        <v>2765.4320987654314</v>
      </c>
      <c r="M222" s="128">
        <f>+Tabla5518107235[[#This Row],[PRECIO SUGERIDO]]+Tabla5518107235[[#This Row],[ICO2]]</f>
        <v>40098.765432098757</v>
      </c>
      <c r="N222" s="129"/>
      <c r="O222" s="122">
        <f t="shared" si="69"/>
        <v>0</v>
      </c>
      <c r="P222" s="180">
        <f>+Tabla5518107235[[#This Row],[PRECIO N]]-Tabla5518107235[[#This Row],[ICO 8%2]]</f>
        <v>0</v>
      </c>
      <c r="Q222" s="124" t="e">
        <f>+Tabla5518107235[[#This Row],[COSTO]]/Tabla5518107235[[#This Row],[CARTA]]</f>
        <v>#DIV/0!</v>
      </c>
      <c r="R222" s="182">
        <f>+Tabla5518107235[[#This Row],[PRECIO N]]/Tabla5518107235[[#This Row],[COSTO]]</f>
        <v>0</v>
      </c>
    </row>
    <row r="223" spans="2:18" x14ac:dyDescent="0.3">
      <c r="B223" s="27" t="str">
        <f>+CERVEZA!A50</f>
        <v>AGUILA</v>
      </c>
      <c r="C223" s="27"/>
      <c r="D223" s="180">
        <f>+CERVEZA!H53</f>
        <v>2183</v>
      </c>
      <c r="E223" s="122">
        <f>+CERVEZA!H54</f>
        <v>10000</v>
      </c>
      <c r="F223" s="122">
        <f>+E223/1.08*0.08</f>
        <v>740.74074074074076</v>
      </c>
      <c r="G223" s="123">
        <f>+Tabla5518107235[[#This Row],[VENTA]]-Tabla5518107235[[#This Row],[ICO 8%]]</f>
        <v>9259.2592592592591</v>
      </c>
      <c r="H223" s="124">
        <f>+Tabla5518107235[[#This Row],[COSTO]]/Tabla5518107235[[#This Row],[BASE]]</f>
        <v>0.235764</v>
      </c>
      <c r="I223" s="125">
        <f>+Tabla5518107235[[#This Row],[BASE]]/Tabla5518107235[[#This Row],[COSTO]]</f>
        <v>4.2415296652584784</v>
      </c>
      <c r="J223" s="126">
        <f>+VLOOKUP(Tabla5518107235[[#This Row],[CERVEZAS]],Tabla77[#All],3,0)</f>
        <v>153</v>
      </c>
      <c r="K223" s="127">
        <f t="shared" si="68"/>
        <v>7276.666666666667</v>
      </c>
      <c r="L223" s="181">
        <f>+K223/1.08*0.08</f>
        <v>539.01234567901236</v>
      </c>
      <c r="M223" s="128">
        <f>+Tabla5518107235[[#This Row],[PRECIO SUGERIDO]]+Tabla5518107235[[#This Row],[ICO2]]</f>
        <v>7815.6790123456794</v>
      </c>
      <c r="N223" s="129"/>
      <c r="O223" s="122">
        <f t="shared" si="69"/>
        <v>0</v>
      </c>
      <c r="P223" s="180">
        <f>+Tabla5518107235[[#This Row],[PRECIO N]]-Tabla5518107235[[#This Row],[ICO 8%2]]</f>
        <v>0</v>
      </c>
      <c r="Q223" s="124" t="e">
        <f>+Tabla5518107235[[#This Row],[COSTO]]/Tabla5518107235[[#This Row],[CARTA]]</f>
        <v>#DIV/0!</v>
      </c>
      <c r="R223" s="182">
        <f>+Tabla5518107235[[#This Row],[PRECIO N]]/Tabla5518107235[[#This Row],[COSTO]]</f>
        <v>0</v>
      </c>
    </row>
    <row r="224" spans="2:18" x14ac:dyDescent="0.3">
      <c r="B224" s="27" t="str">
        <f>+CERVEZA!A62</f>
        <v>AGUILA LIGHT</v>
      </c>
      <c r="C224" s="27"/>
      <c r="D224" s="180">
        <f>+CERVEZA!H65</f>
        <v>2335.0666666699999</v>
      </c>
      <c r="E224" s="122">
        <f>+CERVEZA!H66</f>
        <v>10000</v>
      </c>
      <c r="F224" s="122">
        <f t="shared" ref="F224" si="70">+E224/1.08*0.08</f>
        <v>740.74074074074076</v>
      </c>
      <c r="G224" s="123">
        <f>+Tabla5518107235[[#This Row],[VENTA]]-Tabla5518107235[[#This Row],[ICO 8%]]</f>
        <v>9259.2592592592591</v>
      </c>
      <c r="H224" s="124">
        <f>+Tabla5518107235[[#This Row],[COSTO]]/Tabla5518107235[[#This Row],[BASE]]</f>
        <v>0.25218720000035999</v>
      </c>
      <c r="I224" s="125">
        <f>+Tabla5518107235[[#This Row],[BASE]]/Tabla5518107235[[#This Row],[COSTO]]</f>
        <v>3.9653083106461096</v>
      </c>
      <c r="J224" s="126">
        <f>+VLOOKUP(Tabla5518107235[[#This Row],[CERVEZAS]],Tabla77[#All],3,0)</f>
        <v>94</v>
      </c>
      <c r="K224" s="127">
        <f t="shared" si="68"/>
        <v>7783.555555566666</v>
      </c>
      <c r="L224" s="181">
        <f t="shared" ref="L224" si="71">+K224/1.08*0.08</f>
        <v>576.55967078271601</v>
      </c>
      <c r="M224" s="128">
        <f>+Tabla5518107235[[#This Row],[PRECIO SUGERIDO]]+Tabla5518107235[[#This Row],[ICO2]]</f>
        <v>8360.1152263493823</v>
      </c>
      <c r="N224" s="129"/>
      <c r="O224" s="122">
        <f t="shared" si="69"/>
        <v>0</v>
      </c>
      <c r="P224" s="180">
        <f>+Tabla5518107235[[#This Row],[PRECIO N]]-Tabla5518107235[[#This Row],[ICO 8%2]]</f>
        <v>0</v>
      </c>
      <c r="Q224" s="124" t="e">
        <f>+Tabla5518107235[[#This Row],[COSTO]]/Tabla5518107235[[#This Row],[CARTA]]</f>
        <v>#DIV/0!</v>
      </c>
      <c r="R224" s="182">
        <f>+Tabla5518107235[[#This Row],[PRECIO N]]/Tabla5518107235[[#This Row],[COSTO]]</f>
        <v>0</v>
      </c>
    </row>
    <row r="225" spans="2:18" x14ac:dyDescent="0.3">
      <c r="B225" s="27" t="str">
        <f>+CERVEZA!A73</f>
        <v>CLUB COLOMBIA NEGRA</v>
      </c>
      <c r="C225" s="27"/>
      <c r="D225" s="180">
        <f>+CERVEZA!H76</f>
        <v>0</v>
      </c>
      <c r="E225" s="122">
        <f>+CERVEZA!H77</f>
        <v>12000</v>
      </c>
      <c r="F225" s="122">
        <f>+E225/1.08*0.08</f>
        <v>888.8888888888888</v>
      </c>
      <c r="G225" s="123">
        <f>+Tabla5518107235[[#This Row],[VENTA]]-Tabla5518107235[[#This Row],[ICO 8%]]</f>
        <v>11111.111111111111</v>
      </c>
      <c r="H225" s="124">
        <f>+Tabla5518107235[[#This Row],[COSTO]]/Tabla5518107235[[#This Row],[BASE]]</f>
        <v>0</v>
      </c>
      <c r="I225" s="125" t="e">
        <f>+Tabla5518107235[[#This Row],[BASE]]/Tabla5518107235[[#This Row],[COSTO]]</f>
        <v>#DIV/0!</v>
      </c>
      <c r="J225" s="126">
        <f>+VLOOKUP(Tabla5518107235[[#This Row],[CERVEZAS]],Tabla77[#All],3,0)</f>
        <v>55</v>
      </c>
      <c r="K225" s="127">
        <f t="shared" si="68"/>
        <v>0</v>
      </c>
      <c r="L225" s="181">
        <f>+K225/1.08*0.08</f>
        <v>0</v>
      </c>
      <c r="M225" s="128">
        <f>+Tabla5518107235[[#This Row],[PRECIO SUGERIDO]]+Tabla5518107235[[#This Row],[ICO2]]</f>
        <v>0</v>
      </c>
      <c r="N225" s="129"/>
      <c r="O225" s="122">
        <f t="shared" si="69"/>
        <v>0</v>
      </c>
      <c r="P225" s="180">
        <f>+Tabla5518107235[[#This Row],[PRECIO N]]-Tabla5518107235[[#This Row],[ICO 8%2]]</f>
        <v>0</v>
      </c>
      <c r="Q225" s="124" t="e">
        <f>+Tabla5518107235[[#This Row],[COSTO]]/Tabla5518107235[[#This Row],[CARTA]]</f>
        <v>#DIV/0!</v>
      </c>
      <c r="R225" s="182" t="e">
        <f>+Tabla5518107235[[#This Row],[PRECIO N]]/Tabla5518107235[[#This Row],[COSTO]]</f>
        <v>#DIV/0!</v>
      </c>
    </row>
    <row r="226" spans="2:18" x14ac:dyDescent="0.3">
      <c r="B226" s="27" t="str">
        <f>+CERVEZA!A85</f>
        <v>CLUB COLOMBIA DORADA</v>
      </c>
      <c r="C226" s="27"/>
      <c r="D226" s="180">
        <f>+CERVEZA!H88</f>
        <v>3121.375</v>
      </c>
      <c r="E226" s="122">
        <f>+CERVEZA!H89</f>
        <v>12000</v>
      </c>
      <c r="F226" s="122">
        <f>+E226/1.08*0.08</f>
        <v>888.8888888888888</v>
      </c>
      <c r="G226" s="123">
        <f>+Tabla5518107235[[#This Row],[VENTA]]-Tabla5518107235[[#This Row],[ICO 8%]]</f>
        <v>11111.111111111111</v>
      </c>
      <c r="H226" s="124">
        <f>+Tabla5518107235[[#This Row],[COSTO]]/Tabla5518107235[[#This Row],[BASE]]</f>
        <v>0.28092374999999997</v>
      </c>
      <c r="I226" s="125">
        <f>+Tabla5518107235[[#This Row],[BASE]]/Tabla5518107235[[#This Row],[COSTO]]</f>
        <v>3.5596847899118536</v>
      </c>
      <c r="J226" s="126">
        <f>+VLOOKUP(Tabla5518107235[[#This Row],[CERVEZAS]],Tabla77[#All],3,0)</f>
        <v>409</v>
      </c>
      <c r="K226" s="127">
        <f t="shared" si="68"/>
        <v>10404.583333333334</v>
      </c>
      <c r="L226" s="181">
        <f>+K226/1.08*0.08</f>
        <v>770.70987654320982</v>
      </c>
      <c r="M226" s="128">
        <f>+Tabla5518107235[[#This Row],[PRECIO SUGERIDO]]+Tabla5518107235[[#This Row],[ICO2]]</f>
        <v>11175.293209876543</v>
      </c>
      <c r="N226" s="129"/>
      <c r="O226" s="122">
        <f t="shared" si="69"/>
        <v>0</v>
      </c>
      <c r="P226" s="180">
        <f>+Tabla5518107235[[#This Row],[PRECIO N]]-Tabla5518107235[[#This Row],[ICO 8%2]]</f>
        <v>0</v>
      </c>
      <c r="Q226" s="124" t="e">
        <f>+Tabla5518107235[[#This Row],[COSTO]]/Tabla5518107235[[#This Row],[CARTA]]</f>
        <v>#DIV/0!</v>
      </c>
      <c r="R226" s="182">
        <f>+Tabla5518107235[[#This Row],[PRECIO N]]/Tabla5518107235[[#This Row],[COSTO]]</f>
        <v>0</v>
      </c>
    </row>
    <row r="227" spans="2:18" x14ac:dyDescent="0.3">
      <c r="B227" s="27" t="s">
        <v>30</v>
      </c>
      <c r="C227" s="27"/>
      <c r="D227" s="162"/>
      <c r="E227" s="126"/>
      <c r="F227" s="126"/>
      <c r="G227" s="126"/>
      <c r="H227" s="131">
        <f>SUBTOTAL(101,Tabla5518107235[%])</f>
        <v>0.23777860166369247</v>
      </c>
      <c r="I227" s="126"/>
      <c r="J227" s="126"/>
      <c r="K227" s="93"/>
      <c r="L227" s="162"/>
      <c r="M227" s="126"/>
      <c r="N227" s="132"/>
      <c r="O227" s="126"/>
      <c r="P227" s="162"/>
      <c r="Q227" s="126"/>
      <c r="R227" s="182" t="e">
        <f>SUBTOTAL(109,Tabla5518107235[RATION])</f>
        <v>#DIV/0!</v>
      </c>
    </row>
    <row r="230" spans="2:18" x14ac:dyDescent="0.3">
      <c r="B230" s="116"/>
      <c r="C230" s="59"/>
      <c r="D230" s="137"/>
      <c r="E230" s="117" t="s">
        <v>21</v>
      </c>
      <c r="F230" s="116"/>
      <c r="G230" s="118"/>
      <c r="H230" s="116"/>
      <c r="I230" s="116"/>
      <c r="J230" s="93"/>
      <c r="K230" s="278" t="s">
        <v>25</v>
      </c>
      <c r="L230" s="278"/>
      <c r="M230" s="278"/>
      <c r="N230" s="59"/>
      <c r="O230" s="59"/>
      <c r="P230" s="118"/>
    </row>
    <row r="231" spans="2:18" x14ac:dyDescent="0.3">
      <c r="B231" s="177" t="s">
        <v>263</v>
      </c>
      <c r="C231" s="60" t="s">
        <v>111</v>
      </c>
      <c r="D231" s="178" t="s">
        <v>7</v>
      </c>
      <c r="E231" s="119" t="s">
        <v>16</v>
      </c>
      <c r="F231" s="120" t="s">
        <v>29</v>
      </c>
      <c r="G231" s="60" t="s">
        <v>22</v>
      </c>
      <c r="H231" s="121" t="s">
        <v>17</v>
      </c>
      <c r="I231" s="60" t="s">
        <v>18</v>
      </c>
      <c r="J231" s="60" t="s">
        <v>19</v>
      </c>
      <c r="K231" s="60" t="s">
        <v>23</v>
      </c>
      <c r="L231" s="178" t="s">
        <v>28</v>
      </c>
      <c r="M231" s="60" t="s">
        <v>24</v>
      </c>
      <c r="N231" s="133" t="s">
        <v>26</v>
      </c>
      <c r="O231" s="178" t="s">
        <v>343</v>
      </c>
      <c r="P231" s="178" t="s">
        <v>21</v>
      </c>
      <c r="Q231" s="121" t="s">
        <v>27</v>
      </c>
      <c r="R231" s="179" t="s">
        <v>20</v>
      </c>
    </row>
    <row r="232" spans="2:18" x14ac:dyDescent="0.3">
      <c r="B232" s="27" t="str">
        <f>+'BEBIDAS ESPECIALES SIN ALCOHOL'!B6</f>
        <v>CHICHA MORADA</v>
      </c>
      <c r="C232" s="27"/>
      <c r="D232" s="180">
        <f>+'BEBIDAS ESPECIALES SIN ALCOHOL'!K9</f>
        <v>6553.8560369099996</v>
      </c>
      <c r="E232" s="122">
        <f>+'BEBIDAS ESPECIALES SIN ALCOHOL'!K10</f>
        <v>19900</v>
      </c>
      <c r="F232" s="122">
        <f t="shared" ref="F232:F237" si="72">+E232/1.08*0.08</f>
        <v>1474.0740740740739</v>
      </c>
      <c r="G232" s="123">
        <f>+Tabla5518107235190[[#This Row],[VENTA]]-Tabla5518107235190[[#This Row],[ICO 8%]]</f>
        <v>18425.925925925927</v>
      </c>
      <c r="H232" s="124">
        <f>+Tabla5518107235190[[#This Row],[COSTO]]/Tabla5518107235190[[#This Row],[BASE]]</f>
        <v>0.35568665928958787</v>
      </c>
      <c r="I232" s="125">
        <f>+Tabla5518107235190[[#This Row],[BASE]]/Tabla5518107235190[[#This Row],[COSTO]]</f>
        <v>2.8114633312289463</v>
      </c>
      <c r="J232" s="126">
        <f>+VLOOKUP(Tabla5518107235190[[#This Row],[BEBIDAS ESPECIALES SIN ALCOHOL]],Tabla77[#All],3,0)</f>
        <v>512</v>
      </c>
      <c r="K232" s="127">
        <f t="shared" ref="K232:K236" si="73">+D232/(100-70)*100</f>
        <v>21846.186789699997</v>
      </c>
      <c r="L232" s="181">
        <f t="shared" ref="L232:L237" si="74">+K232/1.08*0.08</f>
        <v>1618.236058496296</v>
      </c>
      <c r="M232" s="128">
        <f>+Tabla5518107235190[[#This Row],[PRECIO SUGERIDO]]+Tabla5518107235190[[#This Row],[ICO2]]</f>
        <v>23464.422848196293</v>
      </c>
      <c r="N232" s="129">
        <v>23000</v>
      </c>
      <c r="O232" s="122">
        <f t="shared" ref="O232:O236" si="75">+N232/1.08*0.08</f>
        <v>1703.7037037037037</v>
      </c>
      <c r="P232" s="180">
        <f>+Tabla5518107235190[[#This Row],[PRECIO N]]-Tabla5518107235190[[#This Row],[Columna1]]</f>
        <v>21296.296296296296</v>
      </c>
      <c r="Q232" s="124">
        <f>+Tabla5518107235190[[#This Row],[COSTO]]/Tabla5518107235190[[#This Row],[CARTA]]</f>
        <v>0.30774628347229566</v>
      </c>
      <c r="R232" s="182">
        <f>+Tabla5518107235190[[#This Row],[PRECIO N]]/Tabla5518107235190[[#This Row],[COSTO]]</f>
        <v>3.509384379282765</v>
      </c>
    </row>
    <row r="233" spans="2:18" x14ac:dyDescent="0.3">
      <c r="B233" s="27" t="str">
        <f>+'BEBIDAS ESPECIALES SIN ALCOHOL'!B17</f>
        <v>JENGIBRE Y COCO</v>
      </c>
      <c r="C233" s="27"/>
      <c r="D233" s="180">
        <f>+'BEBIDAS ESPECIALES SIN ALCOHOL'!K20</f>
        <v>5956.9344927750008</v>
      </c>
      <c r="E233" s="122">
        <f>+'BEBIDAS ESPECIALES SIN ALCOHOL'!K21</f>
        <v>19900</v>
      </c>
      <c r="F233" s="122">
        <f t="shared" si="72"/>
        <v>1474.0740740740739</v>
      </c>
      <c r="G233" s="123">
        <f>+Tabla5518107235190[[#This Row],[VENTA]]-Tabla5518107235190[[#This Row],[ICO 8%]]</f>
        <v>18425.925925925927</v>
      </c>
      <c r="H233" s="124">
        <f>+Tabla5518107235190[[#This Row],[COSTO]]/Tabla5518107235190[[#This Row],[BASE]]</f>
        <v>0.32329091719582914</v>
      </c>
      <c r="I233" s="125">
        <f>+Tabla5518107235190[[#This Row],[BASE]]/Tabla5518107235190[[#This Row],[COSTO]]</f>
        <v>3.0931892818821858</v>
      </c>
      <c r="J233" s="126">
        <f>+VLOOKUP(Tabla5518107235190[[#This Row],[BEBIDAS ESPECIALES SIN ALCOHOL]],Tabla77[#All],3,0)</f>
        <v>222</v>
      </c>
      <c r="K233" s="127">
        <f t="shared" si="73"/>
        <v>19856.448309250001</v>
      </c>
      <c r="L233" s="181">
        <f t="shared" si="74"/>
        <v>1470.8480229074075</v>
      </c>
      <c r="M233" s="128">
        <f>+Tabla5518107235190[[#This Row],[PRECIO SUGERIDO]]+Tabla5518107235190[[#This Row],[ICO2]]</f>
        <v>21327.29633215741</v>
      </c>
      <c r="N233" s="129">
        <v>25000</v>
      </c>
      <c r="O233" s="122">
        <f t="shared" si="75"/>
        <v>1851.8518518518517</v>
      </c>
      <c r="P233" s="180">
        <f>+Tabla5518107235190[[#This Row],[PRECIO N]]-Tabla5518107235190[[#This Row],[Columna1]]</f>
        <v>23148.14814814815</v>
      </c>
      <c r="Q233" s="124">
        <f>+Tabla5518107235190[[#This Row],[COSTO]]/Tabla5518107235190[[#This Row],[CARTA]]</f>
        <v>0.25733957008788</v>
      </c>
      <c r="R233" s="182">
        <f>+Tabla5518107235190[[#This Row],[PRECIO N]]/Tabla5518107235190[[#This Row],[COSTO]]</f>
        <v>4.1967894779306034</v>
      </c>
    </row>
    <row r="234" spans="2:18" x14ac:dyDescent="0.3">
      <c r="B234" s="27" t="str">
        <f>+'BEBIDAS ESPECIALES SIN ALCOHOL'!B28</f>
        <v>ROSAS Y LYCHEES</v>
      </c>
      <c r="C234" s="27"/>
      <c r="D234" s="180">
        <f>+'BEBIDAS ESPECIALES SIN ALCOHOL'!K31</f>
        <v>8414.6370419265004</v>
      </c>
      <c r="E234" s="122">
        <f>+'BEBIDAS ESPECIALES SIN ALCOHOL'!K32</f>
        <v>19900</v>
      </c>
      <c r="F234" s="122">
        <f t="shared" si="72"/>
        <v>1474.0740740740739</v>
      </c>
      <c r="G234" s="123">
        <f>+Tabla5518107235190[[#This Row],[VENTA]]-Tabla5518107235190[[#This Row],[ICO 8%]]</f>
        <v>18425.925925925927</v>
      </c>
      <c r="H234" s="124">
        <f>+Tabla5518107235190[[#This Row],[COSTO]]/Tabla5518107235190[[#This Row],[BASE]]</f>
        <v>0.45667376910957891</v>
      </c>
      <c r="I234" s="125">
        <f>+Tabla5518107235190[[#This Row],[BASE]]/Tabla5518107235190[[#This Row],[COSTO]]</f>
        <v>2.189746965212819</v>
      </c>
      <c r="J234" s="126">
        <f>+VLOOKUP(Tabla5518107235190[[#This Row],[BEBIDAS ESPECIALES SIN ALCOHOL]],Tabla77[#All],3,0)</f>
        <v>467</v>
      </c>
      <c r="K234" s="127">
        <f t="shared" si="73"/>
        <v>28048.790139754998</v>
      </c>
      <c r="L234" s="181">
        <f t="shared" si="74"/>
        <v>2077.6881585003703</v>
      </c>
      <c r="M234" s="128">
        <f>+Tabla5518107235190[[#This Row],[PRECIO SUGERIDO]]+Tabla5518107235190[[#This Row],[ICO2]]</f>
        <v>30126.478298255366</v>
      </c>
      <c r="N234" s="129">
        <v>25000</v>
      </c>
      <c r="O234" s="122">
        <f t="shared" si="75"/>
        <v>1851.8518518518517</v>
      </c>
      <c r="P234" s="180">
        <f>+Tabla5518107235190[[#This Row],[PRECIO N]]-Tabla5518107235190[[#This Row],[Columna1]]</f>
        <v>23148.14814814815</v>
      </c>
      <c r="Q234" s="124">
        <f>+Tabla5518107235190[[#This Row],[COSTO]]/Tabla5518107235190[[#This Row],[CARTA]]</f>
        <v>0.36351232021122482</v>
      </c>
      <c r="R234" s="182">
        <f>+Tabla5518107235190[[#This Row],[PRECIO N]]/Tabla5518107235190[[#This Row],[COSTO]]</f>
        <v>2.9710134703892517</v>
      </c>
    </row>
    <row r="235" spans="2:18" x14ac:dyDescent="0.3">
      <c r="B235" s="27" t="str">
        <f>+'BEBIDAS ESPECIALES SIN ALCOHOL'!B39</f>
        <v xml:space="preserve">FRUTOS ROJOS </v>
      </c>
      <c r="C235" s="27"/>
      <c r="D235" s="180">
        <f>+'BEBIDAS ESPECIALES SIN ALCOHOL'!K42</f>
        <v>3725.6586083535003</v>
      </c>
      <c r="E235" s="122">
        <f>+'BEBIDAS ESPECIALES SIN ALCOHOL'!K43</f>
        <v>14200</v>
      </c>
      <c r="F235" s="122">
        <f t="shared" si="72"/>
        <v>1051.8518518518517</v>
      </c>
      <c r="G235" s="123">
        <f>+Tabla5518107235190[[#This Row],[VENTA]]-Tabla5518107235190[[#This Row],[ICO 8%]]</f>
        <v>13148.148148148148</v>
      </c>
      <c r="H235" s="124">
        <f>+Tabla5518107235190[[#This Row],[COSTO]]/Tabla5518107235190[[#This Row],[BASE]]</f>
        <v>0.28335995049449159</v>
      </c>
      <c r="I235" s="125">
        <f>+Tabla5518107235190[[#This Row],[BASE]]/Tabla5518107235190[[#This Row],[COSTO]]</f>
        <v>3.5290802325977948</v>
      </c>
      <c r="J235" s="126">
        <f>+VLOOKUP(Tabla5518107235190[[#This Row],[BEBIDAS ESPECIALES SIN ALCOHOL]],Tabla77[#All],3,0)</f>
        <v>344</v>
      </c>
      <c r="K235" s="127">
        <f t="shared" si="73"/>
        <v>12418.862027845002</v>
      </c>
      <c r="L235" s="181">
        <f t="shared" si="74"/>
        <v>919.91570576629636</v>
      </c>
      <c r="M235" s="128">
        <f>+Tabla5518107235190[[#This Row],[PRECIO SUGERIDO]]+Tabla5518107235190[[#This Row],[ICO2]]</f>
        <v>13338.777733611298</v>
      </c>
      <c r="N235" s="129">
        <v>19900</v>
      </c>
      <c r="O235" s="122">
        <f t="shared" si="75"/>
        <v>1474.0740740740739</v>
      </c>
      <c r="P235" s="180">
        <f>+Tabla5518107235190[[#This Row],[PRECIO N]]-Tabla5518107235190[[#This Row],[Columna1]]</f>
        <v>18425.925925925927</v>
      </c>
      <c r="Q235" s="124">
        <f>+Tabla5518107235190[[#This Row],[COSTO]]/Tabla5518107235190[[#This Row],[CARTA]]</f>
        <v>0.20219654758903419</v>
      </c>
      <c r="R235" s="182">
        <f>+Tabla5518107235190[[#This Row],[PRECIO N]]/Tabla5518107235190[[#This Row],[COSTO]]</f>
        <v>5.3413374900698454</v>
      </c>
    </row>
    <row r="236" spans="2:18" x14ac:dyDescent="0.3">
      <c r="B236" s="27" t="str">
        <f>+'BEBIDAS ESPECIALES SIN ALCOHOL'!B52</f>
        <v>FRUTOS VERDES</v>
      </c>
      <c r="C236" s="27"/>
      <c r="D236" s="180">
        <f>+'BEBIDAS ESPECIALES SIN ALCOHOL'!K55</f>
        <v>2499.0238364385</v>
      </c>
      <c r="E236" s="122">
        <f>+'BEBIDAS ESPECIALES SIN ALCOHOL'!K56</f>
        <v>19900</v>
      </c>
      <c r="F236" s="122">
        <f t="shared" si="72"/>
        <v>1474.0740740740739</v>
      </c>
      <c r="G236" s="123">
        <f>+Tabla5518107235190[[#This Row],[VENTA]]-Tabla5518107235190[[#This Row],[ICO 8%]]</f>
        <v>18425.925925925927</v>
      </c>
      <c r="H236" s="124">
        <f>+Tabla5518107235190[[#This Row],[COSTO]]/Tabla5518107235190[[#This Row],[BASE]]</f>
        <v>0.13562541423887337</v>
      </c>
      <c r="I236" s="125">
        <f>+Tabla5518107235190[[#This Row],[BASE]]/Tabla5518107235190[[#This Row],[COSTO]]</f>
        <v>7.3732493693160421</v>
      </c>
      <c r="J236" s="126">
        <f>+VLOOKUP(Tabla5518107235190[[#This Row],[BEBIDAS ESPECIALES SIN ALCOHOL]],Tabla77[#All],3,0)</f>
        <v>174</v>
      </c>
      <c r="K236" s="127">
        <f t="shared" si="73"/>
        <v>8330.0794547950009</v>
      </c>
      <c r="L236" s="181">
        <f t="shared" si="74"/>
        <v>617.04292257740747</v>
      </c>
      <c r="M236" s="128">
        <f>+Tabla5518107235190[[#This Row],[PRECIO SUGERIDO]]+Tabla5518107235190[[#This Row],[ICO2]]</f>
        <v>8947.1223773724087</v>
      </c>
      <c r="N236" s="129">
        <v>19900</v>
      </c>
      <c r="O236" s="122">
        <f t="shared" si="75"/>
        <v>1474.0740740740739</v>
      </c>
      <c r="P236" s="180">
        <f>+Tabla5518107235190[[#This Row],[PRECIO N]]-Tabla5518107235190[[#This Row],[Columna1]]</f>
        <v>18425.925925925927</v>
      </c>
      <c r="Q236" s="124">
        <f>+Tabla5518107235190[[#This Row],[COSTO]]/Tabla5518107235190[[#This Row],[CARTA]]</f>
        <v>0.13562541423887337</v>
      </c>
      <c r="R236" s="182">
        <f>+Tabla5518107235190[[#This Row],[PRECIO N]]/Tabla5518107235190[[#This Row],[COSTO]]</f>
        <v>7.9631093188613251</v>
      </c>
    </row>
    <row r="237" spans="2:18" x14ac:dyDescent="0.3">
      <c r="B237" s="27" t="str">
        <f>+'BEBIDAS ESPECIALES SIN ALCOHOL'!B63</f>
        <v>MARACUYA</v>
      </c>
      <c r="C237" s="27"/>
      <c r="D237" s="180">
        <f>+'BEBIDAS ESPECIALES SIN ALCOHOL'!K66</f>
        <v>3758.4910821884996</v>
      </c>
      <c r="E237" s="122">
        <f>+'BEBIDAS ESPECIALES SIN ALCOHOL'!K67</f>
        <v>16900</v>
      </c>
      <c r="F237" s="122">
        <f t="shared" si="72"/>
        <v>1251.851851851852</v>
      </c>
      <c r="G237" s="123">
        <f>+Tabla5518107235190[[#This Row],[VENTA]]-Tabla5518107235190[[#This Row],[ICO 8%]]</f>
        <v>15648.148148148148</v>
      </c>
      <c r="H237" s="124">
        <f>+Tabla5518107235190[[#This Row],[COSTO]]/Tabla5518107235190[[#This Row],[BASE]]</f>
        <v>0.24018759578482721</v>
      </c>
      <c r="I237" s="125">
        <f>+Tabla5518107235190[[#This Row],[BASE]]/Tabla5518107235190[[#This Row],[COSTO]]</f>
        <v>4.1634123391444957</v>
      </c>
      <c r="J237" s="126" t="e">
        <f>+VLOOKUP(Tabla5518107235190[[#This Row],[BEBIDAS ESPECIALES SIN ALCOHOL]],Tabla77[#All],3,0)</f>
        <v>#N/A</v>
      </c>
      <c r="K237" s="130">
        <f>+D237/(100-70)*100</f>
        <v>12528.303607294998</v>
      </c>
      <c r="L237" s="181">
        <f t="shared" si="74"/>
        <v>928.02248942925905</v>
      </c>
      <c r="M237" s="128">
        <f>+Tabla5518107235190[[#This Row],[PRECIO SUGERIDO]]+Tabla5518107235190[[#This Row],[ICO2]]</f>
        <v>13456.326096724257</v>
      </c>
      <c r="N237" s="129">
        <v>19900</v>
      </c>
      <c r="O237" s="122">
        <f>+N237/1.08*0.08</f>
        <v>1474.0740740740739</v>
      </c>
      <c r="P237" s="180">
        <f>+Tabla5518107235190[[#This Row],[PRECIO N]]-Tabla5518107235190[[#This Row],[Columna1]]</f>
        <v>18425.925925925927</v>
      </c>
      <c r="Q237" s="124">
        <f>+Tabla5518107235190[[#This Row],[COSTO]]/Tabla5518107235190[[#This Row],[CARTA]]</f>
        <v>0.20397841049063212</v>
      </c>
      <c r="R237" s="182">
        <f>+Tabla5518107235190[[#This Row],[PRECIO N]]/Tabla5518107235190[[#This Row],[COSTO]]</f>
        <v>5.2946779877451773</v>
      </c>
    </row>
    <row r="238" spans="2:18" x14ac:dyDescent="0.3">
      <c r="B238" s="27" t="s">
        <v>30</v>
      </c>
      <c r="C238" s="27"/>
      <c r="D238" s="162"/>
      <c r="E238" s="126"/>
      <c r="F238" s="126"/>
      <c r="G238" s="126"/>
      <c r="H238" s="131">
        <f>SUBTOTAL(101,Tabla5518107235190[%])</f>
        <v>0.299137384352198</v>
      </c>
      <c r="I238" s="126"/>
      <c r="J238" s="126"/>
      <c r="K238" s="93"/>
      <c r="L238" s="162"/>
      <c r="M238" s="126"/>
      <c r="N238" s="132"/>
      <c r="O238" s="126"/>
      <c r="P238" s="162"/>
      <c r="Q238" s="126"/>
      <c r="R238" s="182">
        <f>SUBTOTAL(109,Tabla5518107235190[RATION])</f>
        <v>29.276312124278967</v>
      </c>
    </row>
    <row r="241" spans="1:18" x14ac:dyDescent="0.3">
      <c r="B241" s="116"/>
      <c r="C241" s="59"/>
      <c r="D241" s="137"/>
      <c r="E241" s="117" t="s">
        <v>21</v>
      </c>
      <c r="F241" s="116"/>
      <c r="G241" s="118"/>
      <c r="H241" s="116"/>
      <c r="I241" s="116"/>
      <c r="J241" s="93"/>
      <c r="K241" s="278" t="s">
        <v>25</v>
      </c>
      <c r="L241" s="278"/>
      <c r="M241" s="278"/>
      <c r="N241" s="59"/>
      <c r="O241" s="59"/>
      <c r="P241" s="118"/>
    </row>
    <row r="242" spans="1:18" ht="14.4" x14ac:dyDescent="0.3">
      <c r="B242" s="258" t="s">
        <v>267</v>
      </c>
      <c r="C242" s="60" t="s">
        <v>111</v>
      </c>
      <c r="D242" s="178" t="s">
        <v>7</v>
      </c>
      <c r="E242" s="119" t="s">
        <v>16</v>
      </c>
      <c r="F242" s="120" t="s">
        <v>29</v>
      </c>
      <c r="G242" s="60" t="s">
        <v>22</v>
      </c>
      <c r="H242" s="121" t="s">
        <v>17</v>
      </c>
      <c r="I242" s="60" t="s">
        <v>18</v>
      </c>
      <c r="J242" s="60" t="s">
        <v>19</v>
      </c>
      <c r="K242" s="60" t="s">
        <v>23</v>
      </c>
      <c r="L242" s="178" t="s">
        <v>28</v>
      </c>
      <c r="M242" s="60" t="s">
        <v>24</v>
      </c>
      <c r="N242" s="133" t="s">
        <v>26</v>
      </c>
      <c r="O242" s="178" t="s">
        <v>343</v>
      </c>
      <c r="P242" s="178" t="s">
        <v>21</v>
      </c>
      <c r="Q242" s="121" t="s">
        <v>27</v>
      </c>
      <c r="R242" s="179" t="s">
        <v>20</v>
      </c>
    </row>
    <row r="243" spans="1:18" x14ac:dyDescent="0.3">
      <c r="B243" s="27" t="str">
        <f>+'LIMONADAS Y JUGOS'!B6</f>
        <v>LIMONADA NATURAL</v>
      </c>
      <c r="C243" s="27"/>
      <c r="D243" s="180">
        <f>+'LIMONADAS Y JUGOS'!K9</f>
        <v>1234.4249908199999</v>
      </c>
      <c r="E243" s="122">
        <f>+'LIMONADAS Y JUGOS'!K10</f>
        <v>10900</v>
      </c>
      <c r="F243" s="122">
        <f>+E243/1.08*0.08</f>
        <v>807.40740740740728</v>
      </c>
      <c r="G243" s="123">
        <f>+Tabla5518107235191[[#This Row],[VENTA]]-Tabla5518107235191[[#This Row],[ICO 8%]]</f>
        <v>10092.592592592593</v>
      </c>
      <c r="H243" s="124">
        <f>+Tabla5518107235191[[#This Row],[COSTO]]/Tabla5518107235191[[#This Row],[BASE]]</f>
        <v>0.12230999909042201</v>
      </c>
      <c r="I243" s="125">
        <f>+Tabla5518107235191[[#This Row],[BASE]]/Tabla5518107235191[[#This Row],[COSTO]]</f>
        <v>8.1759464265935815</v>
      </c>
      <c r="J243" s="126">
        <f>+VLOOKUP(Tabla5518107235191[[#This Row],[LIMONADAS Y JUGOS]],Tabla77[#All],3,0)</f>
        <v>380</v>
      </c>
      <c r="K243" s="127">
        <f t="shared" ref="K243:K246" si="76">+D243/(100-70)*100</f>
        <v>4114.7499693999998</v>
      </c>
      <c r="L243" s="181">
        <f>+K243/1.08*0.08</f>
        <v>304.79629402962962</v>
      </c>
      <c r="M243" s="128">
        <f>+Tabla5518107235191[[#This Row],[PRECIO SUGERIDO]]+Tabla5518107235191[[#This Row],[ICO2]]</f>
        <v>4419.5462634296291</v>
      </c>
      <c r="N243" s="129">
        <v>11000</v>
      </c>
      <c r="O243" s="122">
        <f t="shared" ref="O243:O246" si="77">+N243/1.08*0.08</f>
        <v>814.81481481481478</v>
      </c>
      <c r="P243" s="180">
        <f>+Tabla5518107235191[[#This Row],[PRECIO N]]-Tabla5518107235191[[#This Row],[Columna1]]</f>
        <v>10185.185185185186</v>
      </c>
      <c r="Q243" s="124">
        <f>+Tabla5518107235191[[#This Row],[COSTO]]/Tabla5518107235191[[#This Row],[CARTA]]</f>
        <v>0.1211980900077818</v>
      </c>
      <c r="R243" s="182">
        <f>+Tabla5518107235191[[#This Row],[PRECIO N]]/Tabla5518107235191[[#This Row],[COSTO]]</f>
        <v>8.9110315181588753</v>
      </c>
    </row>
    <row r="244" spans="1:18" x14ac:dyDescent="0.3">
      <c r="A244" s="162">
        <v>1</v>
      </c>
      <c r="B244" s="27" t="str">
        <f>+'LIMONADAS Y JUGOS'!B18</f>
        <v>LIMONADA DE HIERBABUENA</v>
      </c>
      <c r="C244" s="27"/>
      <c r="D244" s="180">
        <f>+'LIMONADAS Y JUGOS'!K21</f>
        <v>1532.9750020199999</v>
      </c>
      <c r="E244" s="122">
        <f>+'LIMONADAS Y JUGOS'!K22</f>
        <v>10900</v>
      </c>
      <c r="F244" s="122">
        <f>+E244/1.08*0.08</f>
        <v>807.40740740740728</v>
      </c>
      <c r="G244" s="123">
        <f>+Tabla5518107235191[[#This Row],[VENTA]]-Tabla5518107235191[[#This Row],[ICO 8%]]</f>
        <v>10092.592592592593</v>
      </c>
      <c r="H244" s="124">
        <f>+Tabla5518107235191[[#This Row],[COSTO]]/Tabla5518107235191[[#This Row],[BASE]]</f>
        <v>0.15189110111757798</v>
      </c>
      <c r="I244" s="125">
        <f>+Tabla5518107235191[[#This Row],[BASE]]/Tabla5518107235191[[#This Row],[COSTO]]</f>
        <v>6.5836641688831143</v>
      </c>
      <c r="J244" s="126">
        <f>+VLOOKUP(Tabla5518107235191[[#This Row],[LIMONADAS Y JUGOS]],Tabla77[#All],3,0)</f>
        <v>273</v>
      </c>
      <c r="K244" s="127">
        <f t="shared" si="76"/>
        <v>5109.9166734</v>
      </c>
      <c r="L244" s="181">
        <f>+K244/1.08*0.08</f>
        <v>378.51234617777772</v>
      </c>
      <c r="M244" s="128">
        <f>+Tabla5518107235191[[#This Row],[PRECIO SUGERIDO]]+Tabla5518107235191[[#This Row],[ICO2]]</f>
        <v>5488.4290195777776</v>
      </c>
      <c r="N244" s="129">
        <v>11000</v>
      </c>
      <c r="O244" s="122">
        <f t="shared" si="77"/>
        <v>814.81481481481478</v>
      </c>
      <c r="P244" s="180">
        <f>+Tabla5518107235191[[#This Row],[PRECIO N]]-Tabla5518107235191[[#This Row],[Columna1]]</f>
        <v>10185.185185185186</v>
      </c>
      <c r="Q244" s="124">
        <f>+Tabla5518107235191[[#This Row],[COSTO]]/Tabla5518107235191[[#This Row],[CARTA]]</f>
        <v>0.15051027292559999</v>
      </c>
      <c r="R244" s="182">
        <f>+Tabla5518107235191[[#This Row],[PRECIO N]]/Tabla5518107235191[[#This Row],[COSTO]]</f>
        <v>7.1755899381955404</v>
      </c>
    </row>
    <row r="245" spans="1:18" x14ac:dyDescent="0.3">
      <c r="A245" s="162">
        <v>2</v>
      </c>
      <c r="B245" s="27" t="str">
        <f>+'LIMONADAS Y JUGOS'!B32</f>
        <v>LIMONADA DE COCO</v>
      </c>
      <c r="C245" s="27"/>
      <c r="D245" s="180">
        <f>+'LIMONADAS Y JUGOS'!K35</f>
        <v>4410.6010186350004</v>
      </c>
      <c r="E245" s="122">
        <f>+'LIMONADAS Y JUGOS'!K36</f>
        <v>14500</v>
      </c>
      <c r="F245" s="122">
        <f>+E245/1.08*0.08</f>
        <v>1074.0740740740741</v>
      </c>
      <c r="G245" s="123">
        <f>+Tabla5518107235191[[#This Row],[VENTA]]-Tabla5518107235191[[#This Row],[ICO 8%]]</f>
        <v>13425.925925925925</v>
      </c>
      <c r="H245" s="124">
        <f>+Tabla5518107235191[[#This Row],[COSTO]]/Tabla5518107235191[[#This Row],[BASE]]</f>
        <v>0.32851373104315867</v>
      </c>
      <c r="I245" s="125">
        <f>+Tabla5518107235191[[#This Row],[BASE]]/Tabla5518107235191[[#This Row],[COSTO]]</f>
        <v>3.0440127930866443</v>
      </c>
      <c r="J245" s="126">
        <f>+VLOOKUP(Tabla5518107235191[[#This Row],[LIMONADAS Y JUGOS]],Tabla77[#All],3,0)</f>
        <v>423</v>
      </c>
      <c r="K245" s="127">
        <f t="shared" si="76"/>
        <v>14702.003395450001</v>
      </c>
      <c r="L245" s="181">
        <f>+K245/1.08*0.08</f>
        <v>1089.0372885518518</v>
      </c>
      <c r="M245" s="128">
        <f>+Tabla5518107235191[[#This Row],[PRECIO SUGERIDO]]+Tabla5518107235191[[#This Row],[ICO2]]</f>
        <v>15791.040684001853</v>
      </c>
      <c r="N245" s="129">
        <v>18000</v>
      </c>
      <c r="O245" s="122">
        <f t="shared" si="77"/>
        <v>1333.3333333333333</v>
      </c>
      <c r="P245" s="180">
        <f>+Tabla5518107235191[[#This Row],[PRECIO N]]-Tabla5518107235191[[#This Row],[Columna1]]</f>
        <v>16666.666666666668</v>
      </c>
      <c r="Q245" s="124">
        <f>+Tabla5518107235191[[#This Row],[COSTO]]/Tabla5518107235191[[#This Row],[CARTA]]</f>
        <v>0.26463606111810001</v>
      </c>
      <c r="R245" s="182">
        <f>+Tabla5518107235191[[#This Row],[PRECIO N]]/Tabla5518107235191[[#This Row],[COSTO]]</f>
        <v>4.0810764619037494</v>
      </c>
    </row>
    <row r="246" spans="1:18" x14ac:dyDescent="0.3">
      <c r="A246" s="162">
        <v>3</v>
      </c>
      <c r="B246" s="27" t="str">
        <f>+'LIMONADAS Y JUGOS'!B45</f>
        <v>JUGO DE MANDARINA</v>
      </c>
      <c r="C246" s="27"/>
      <c r="D246" s="180">
        <f>+'LIMONADAS Y JUGOS'!K48</f>
        <v>2756.0339773364999</v>
      </c>
      <c r="E246" s="122">
        <f>+'LIMONADAS Y JUGOS'!K49</f>
        <v>10900</v>
      </c>
      <c r="F246" s="122">
        <f>+E246/1.08*0.08</f>
        <v>807.40740740740728</v>
      </c>
      <c r="G246" s="123">
        <f>+Tabla5518107235191[[#This Row],[VENTA]]-Tabla5518107235191[[#This Row],[ICO 8%]]</f>
        <v>10092.592592592593</v>
      </c>
      <c r="H246" s="124">
        <f>+Tabla5518107235191[[#This Row],[COSTO]]/Tabla5518107235191[[#This Row],[BASE]]</f>
        <v>0.27307492619480916</v>
      </c>
      <c r="I246" s="125">
        <f>+Tabla5518107235191[[#This Row],[BASE]]/Tabla5518107235191[[#This Row],[COSTO]]</f>
        <v>3.6619986094461456</v>
      </c>
      <c r="J246" s="126">
        <f>+VLOOKUP(Tabla5518107235191[[#This Row],[LIMONADAS Y JUGOS]],Tabla77[#All],3,0)</f>
        <v>230</v>
      </c>
      <c r="K246" s="127">
        <f t="shared" si="76"/>
        <v>9186.7799244550006</v>
      </c>
      <c r="L246" s="181">
        <f>+K246/1.08*0.08</f>
        <v>680.50221662629633</v>
      </c>
      <c r="M246" s="128">
        <f>+Tabla5518107235191[[#This Row],[PRECIO SUGERIDO]]+Tabla5518107235191[[#This Row],[ICO2]]</f>
        <v>9867.2821410812976</v>
      </c>
      <c r="N246" s="129">
        <v>13000</v>
      </c>
      <c r="O246" s="122">
        <f t="shared" si="77"/>
        <v>962.96296296296293</v>
      </c>
      <c r="P246" s="180">
        <f>+Tabla5518107235191[[#This Row],[PRECIO N]]-Tabla5518107235191[[#This Row],[Columna1]]</f>
        <v>12037.037037037036</v>
      </c>
      <c r="Q246" s="124">
        <f>+Tabla5518107235191[[#This Row],[COSTO]]/Tabla5518107235191[[#This Row],[CARTA]]</f>
        <v>0.22896282273257076</v>
      </c>
      <c r="R246" s="182">
        <f>+Tabla5518107235191[[#This Row],[PRECIO N]]/Tabla5518107235191[[#This Row],[COSTO]]</f>
        <v>4.7169229795067782</v>
      </c>
    </row>
    <row r="247" spans="1:18" x14ac:dyDescent="0.3">
      <c r="A247" s="162">
        <v>4</v>
      </c>
      <c r="B247" s="27" t="str">
        <f>+'LIMONADAS Y JUGOS'!B59</f>
        <v>JUGO DE MANDARINA / FRESA</v>
      </c>
      <c r="C247" s="27"/>
      <c r="D247" s="180">
        <f>+'LIMONADAS Y JUGOS'!K62</f>
        <v>5276.0339773364994</v>
      </c>
      <c r="E247" s="122">
        <f>+'LIMONADAS Y JUGOS'!K63</f>
        <v>10900</v>
      </c>
      <c r="F247" s="122">
        <f>+E247/1.08*0.08</f>
        <v>807.40740740740728</v>
      </c>
      <c r="G247" s="123">
        <f>+Tabla5518107235191[[#This Row],[VENTA]]-Tabla5518107235191[[#This Row],[ICO 8%]]</f>
        <v>10092.592592592593</v>
      </c>
      <c r="H247" s="124">
        <f>+Tabla5518107235191[[#This Row],[COSTO]]/Tabla5518107235191[[#This Row],[BASE]]</f>
        <v>0.5227629995893045</v>
      </c>
      <c r="I247" s="125">
        <f>+Tabla5518107235191[[#This Row],[BASE]]/Tabla5518107235191[[#This Row],[COSTO]]</f>
        <v>1.912912736336781</v>
      </c>
      <c r="J247" s="126" t="e">
        <f>+VLOOKUP(Tabla5518107235191[[#This Row],[LIMONADAS Y JUGOS]],Tabla77[#All],3,0)</f>
        <v>#N/A</v>
      </c>
      <c r="K247" s="130">
        <f>+D247/(100-70)*100</f>
        <v>17586.779924454997</v>
      </c>
      <c r="L247" s="181">
        <f>+K247/1.08*0.08</f>
        <v>1302.7244388485183</v>
      </c>
      <c r="M247" s="128">
        <f>+Tabla5518107235191[[#This Row],[PRECIO SUGERIDO]]+Tabla5518107235191[[#This Row],[ICO2]]</f>
        <v>18889.504363303517</v>
      </c>
      <c r="N247" s="129">
        <v>18000</v>
      </c>
      <c r="O247" s="122">
        <f>+N247/1.08*0.08</f>
        <v>1333.3333333333333</v>
      </c>
      <c r="P247" s="180">
        <f>+Tabla5518107235191[[#This Row],[PRECIO N]]-Tabla5518107235191[[#This Row],[Columna1]]</f>
        <v>16666.666666666668</v>
      </c>
      <c r="Q247" s="124">
        <f>+Tabla5518107235191[[#This Row],[COSTO]]/Tabla5518107235191[[#This Row],[CARTA]]</f>
        <v>0.31656203864018995</v>
      </c>
      <c r="R247" s="182">
        <f>+Tabla5518107235191[[#This Row],[PRECIO N]]/Tabla5518107235191[[#This Row],[COSTO]]</f>
        <v>3.4116535407694513</v>
      </c>
    </row>
    <row r="248" spans="1:18" x14ac:dyDescent="0.3">
      <c r="A248" s="162">
        <v>5</v>
      </c>
      <c r="B248" s="27" t="s">
        <v>30</v>
      </c>
      <c r="C248" s="27"/>
      <c r="D248" s="162"/>
      <c r="E248" s="126"/>
      <c r="F248" s="126"/>
      <c r="G248" s="126"/>
      <c r="H248" s="131">
        <f>SUBTOTAL(101,Tabla5518107235191[%])</f>
        <v>0.27971055140705448</v>
      </c>
      <c r="I248" s="126"/>
      <c r="J248" s="126"/>
      <c r="K248" s="93"/>
      <c r="L248" s="162"/>
      <c r="M248" s="126"/>
      <c r="N248" s="132"/>
      <c r="O248" s="126"/>
      <c r="P248" s="162"/>
      <c r="Q248" s="126"/>
      <c r="R248" s="182">
        <f>SUBTOTAL(109,Tabla5518107235191[RATION])</f>
        <v>28.29627443853439</v>
      </c>
    </row>
    <row r="251" spans="1:18" x14ac:dyDescent="0.3">
      <c r="B251" s="116"/>
      <c r="C251" s="59"/>
      <c r="D251" s="137"/>
      <c r="E251" s="117" t="s">
        <v>21</v>
      </c>
      <c r="F251" s="116"/>
      <c r="G251" s="118"/>
      <c r="H251" s="116"/>
      <c r="I251" s="116"/>
      <c r="J251" s="93"/>
      <c r="K251" s="278" t="s">
        <v>25</v>
      </c>
      <c r="L251" s="278"/>
      <c r="M251" s="278"/>
      <c r="N251" s="59"/>
      <c r="O251" s="59"/>
      <c r="P251" s="118"/>
    </row>
    <row r="252" spans="1:18" x14ac:dyDescent="0.3">
      <c r="B252" s="198" t="s">
        <v>272</v>
      </c>
      <c r="C252" s="60" t="s">
        <v>111</v>
      </c>
      <c r="D252" s="178" t="s">
        <v>7</v>
      </c>
      <c r="E252" s="119" t="s">
        <v>16</v>
      </c>
      <c r="F252" s="120" t="s">
        <v>29</v>
      </c>
      <c r="G252" s="60" t="s">
        <v>22</v>
      </c>
      <c r="H252" s="121" t="s">
        <v>17</v>
      </c>
      <c r="I252" s="60" t="s">
        <v>18</v>
      </c>
      <c r="J252" s="60" t="s">
        <v>19</v>
      </c>
      <c r="K252" s="60" t="s">
        <v>23</v>
      </c>
      <c r="L252" s="178" t="s">
        <v>28</v>
      </c>
      <c r="M252" s="60" t="s">
        <v>24</v>
      </c>
      <c r="N252" s="133" t="s">
        <v>26</v>
      </c>
      <c r="O252" s="178" t="s">
        <v>343</v>
      </c>
      <c r="P252" s="178" t="s">
        <v>21</v>
      </c>
      <c r="Q252" s="121" t="s">
        <v>27</v>
      </c>
      <c r="R252" s="179" t="s">
        <v>20</v>
      </c>
    </row>
    <row r="253" spans="1:18" x14ac:dyDescent="0.3">
      <c r="B253" s="27" t="str">
        <f>+'AGUAS Y BEBIDAS EMBOTELLASDAS'!B6</f>
        <v>AGUA PANNA</v>
      </c>
      <c r="C253" s="27"/>
      <c r="D253" s="180">
        <f>+'AGUAS Y BEBIDAS EMBOTELLASDAS'!I9</f>
        <v>8377.1428571399993</v>
      </c>
      <c r="E253" s="122">
        <f>+'AGUAS Y BEBIDAS EMBOTELLASDAS'!I10</f>
        <v>22900</v>
      </c>
      <c r="F253" s="122">
        <f>+E253/1.08*0.08</f>
        <v>1696.2962962962961</v>
      </c>
      <c r="G253" s="123">
        <f>+Tabla5518107235192[[#This Row],[VENTA]]-Tabla5518107235192[[#This Row],[ICO 8%]]</f>
        <v>21203.703703703704</v>
      </c>
      <c r="H253" s="124">
        <f>+Tabla5518107235192[[#This Row],[COSTO]]/Tabla5518107235192[[#This Row],[BASE]]</f>
        <v>0.39507922645027072</v>
      </c>
      <c r="I253" s="125">
        <f>+Tabla5518107235192[[#This Row],[BASE]]/Tabla5518107235192[[#This Row],[COSTO]]</f>
        <v>2.5311378909614013</v>
      </c>
      <c r="J253" s="126">
        <f>+VLOOKUP(Tabla5518107235192[[#This Row],[AGUAS Y BEBIDAS EMBOTELLADAS]],Tabla77[#All],3,0)</f>
        <v>109</v>
      </c>
      <c r="K253" s="127">
        <f t="shared" ref="K253:K261" si="78">+D253/(100-70)*100</f>
        <v>27923.809523799999</v>
      </c>
      <c r="L253" s="181">
        <f>+K253/1.08*0.08</f>
        <v>2068.4303350962959</v>
      </c>
      <c r="M253" s="128">
        <f>+Tabla5518107235192[[#This Row],[PRECIO SUGERIDO]]+Tabla5518107235192[[#This Row],[ICO2]]</f>
        <v>29992.239858896293</v>
      </c>
      <c r="N253" s="129">
        <v>25000</v>
      </c>
      <c r="O253" s="122">
        <f t="shared" ref="O253:O261" si="79">+N253/1.08*0.08</f>
        <v>1851.8518518518517</v>
      </c>
      <c r="P253" s="180">
        <f>+Tabla5518107235192[[#This Row],[PRECIO N]]-Tabla5518107235192[[#This Row],[Columna1]]</f>
        <v>23148.14814814815</v>
      </c>
      <c r="Q253" s="124">
        <f>+Tabla5518107235192[[#This Row],[COSTO]]/Tabla5518107235192[[#This Row],[CARTA]]</f>
        <v>0.36189257142844794</v>
      </c>
      <c r="R253" s="182">
        <f>+Tabla5518107235192[[#This Row],[PRECIO N]]/Tabla5518107235192[[#This Row],[COSTO]]</f>
        <v>2.984311050478508</v>
      </c>
    </row>
    <row r="254" spans="1:18" x14ac:dyDescent="0.3">
      <c r="A254" s="162">
        <v>1</v>
      </c>
      <c r="B254" s="27" t="str">
        <f>+'AGUAS Y BEBIDAS EMBOTELLASDAS'!B19</f>
        <v>AGUA S PELLEGRINO</v>
      </c>
      <c r="C254" s="27"/>
      <c r="D254" s="180">
        <f>+'AGUAS Y BEBIDAS EMBOTELLASDAS'!I22</f>
        <v>7857</v>
      </c>
      <c r="E254" s="122">
        <f>+'AGUAS Y BEBIDAS EMBOTELLASDAS'!I23</f>
        <v>22900</v>
      </c>
      <c r="F254" s="122">
        <f>+E254/1.08*0.08</f>
        <v>1696.2962962962961</v>
      </c>
      <c r="G254" s="123">
        <f>+Tabla5518107235192[[#This Row],[VENTA]]-Tabla5518107235192[[#This Row],[ICO 8%]]</f>
        <v>21203.703703703704</v>
      </c>
      <c r="H254" s="124">
        <f>+Tabla5518107235192[[#This Row],[COSTO]]/Tabla5518107235192[[#This Row],[BASE]]</f>
        <v>0.37054847161572052</v>
      </c>
      <c r="I254" s="125">
        <f>+Tabla5518107235192[[#This Row],[BASE]]/Tabla5518107235192[[#This Row],[COSTO]]</f>
        <v>2.6987022659671256</v>
      </c>
      <c r="J254" s="126">
        <f>+VLOOKUP(Tabla5518107235192[[#This Row],[AGUAS Y BEBIDAS EMBOTELLADAS]],Tabla77[#All],3,0)</f>
        <v>93</v>
      </c>
      <c r="K254" s="127">
        <f t="shared" si="78"/>
        <v>26189.999999999996</v>
      </c>
      <c r="L254" s="181">
        <f>+K254/1.08*0.08</f>
        <v>1939.9999999999998</v>
      </c>
      <c r="M254" s="128">
        <f>+Tabla5518107235192[[#This Row],[PRECIO SUGERIDO]]+Tabla5518107235192[[#This Row],[ICO2]]</f>
        <v>28129.999999999996</v>
      </c>
      <c r="N254" s="129">
        <v>25000</v>
      </c>
      <c r="O254" s="122">
        <f t="shared" si="79"/>
        <v>1851.8518518518517</v>
      </c>
      <c r="P254" s="180">
        <f>+Tabla5518107235192[[#This Row],[PRECIO N]]-Tabla5518107235192[[#This Row],[Columna1]]</f>
        <v>23148.14814814815</v>
      </c>
      <c r="Q254" s="124">
        <f>+Tabla5518107235192[[#This Row],[COSTO]]/Tabla5518107235192[[#This Row],[CARTA]]</f>
        <v>0.33942239999999996</v>
      </c>
      <c r="R254" s="182">
        <f>+Tabla5518107235192[[#This Row],[PRECIO N]]/Tabla5518107235192[[#This Row],[COSTO]]</f>
        <v>3.181876034109711</v>
      </c>
    </row>
    <row r="255" spans="1:18" x14ac:dyDescent="0.3">
      <c r="A255" s="162">
        <v>2</v>
      </c>
      <c r="B255" s="27" t="str">
        <f>+'AGUAS Y BEBIDAS EMBOTELLASDAS'!B31</f>
        <v xml:space="preserve">AGUA CON GAS </v>
      </c>
      <c r="C255" s="27"/>
      <c r="D255" s="180">
        <f>+'AGUAS Y BEBIDAS EMBOTELLASDAS'!I34</f>
        <v>1234.3916666699999</v>
      </c>
      <c r="E255" s="122">
        <f>+'AGUAS Y BEBIDAS EMBOTELLASDAS'!I35</f>
        <v>8000</v>
      </c>
      <c r="F255" s="122">
        <f>+E255/1.08*0.08</f>
        <v>592.59259259259261</v>
      </c>
      <c r="G255" s="123">
        <f>+Tabla5518107235192[[#This Row],[VENTA]]-Tabla5518107235192[[#This Row],[ICO 8%]]</f>
        <v>7407.4074074074069</v>
      </c>
      <c r="H255" s="124">
        <f>+Tabla5518107235192[[#This Row],[COSTO]]/Tabla5518107235192[[#This Row],[BASE]]</f>
        <v>0.16664287500045</v>
      </c>
      <c r="I255" s="125">
        <f>+Tabla5518107235192[[#This Row],[BASE]]/Tabla5518107235192[[#This Row],[COSTO]]</f>
        <v>6.0008566222666264</v>
      </c>
      <c r="J255" s="126">
        <f>+VLOOKUP(Tabla5518107235192[[#This Row],[AGUAS Y BEBIDAS EMBOTELLADAS]],Tabla77[#All],3,0)</f>
        <v>287</v>
      </c>
      <c r="K255" s="127">
        <f t="shared" si="78"/>
        <v>4114.6388889</v>
      </c>
      <c r="L255" s="181">
        <f>+K255/1.08*0.08</f>
        <v>304.78806584444442</v>
      </c>
      <c r="M255" s="128">
        <f>+Tabla5518107235192[[#This Row],[PRECIO SUGERIDO]]+Tabla5518107235192[[#This Row],[ICO2]]</f>
        <v>4419.4269547444446</v>
      </c>
      <c r="N255" s="129">
        <v>9500</v>
      </c>
      <c r="O255" s="122">
        <f t="shared" si="79"/>
        <v>703.7037037037037</v>
      </c>
      <c r="P255" s="180">
        <f>+Tabla5518107235192[[#This Row],[PRECIO N]]-Tabla5518107235192[[#This Row],[Columna1]]</f>
        <v>8796.2962962962956</v>
      </c>
      <c r="Q255" s="124">
        <f>+Tabla5518107235192[[#This Row],[COSTO]]/Tabla5518107235192[[#This Row],[CARTA]]</f>
        <v>0.14033084210564212</v>
      </c>
      <c r="R255" s="182">
        <f>+Tabla5518107235192[[#This Row],[PRECIO N]]/Tabla5518107235192[[#This Row],[COSTO]]</f>
        <v>7.6960986180569488</v>
      </c>
    </row>
    <row r="256" spans="1:18" x14ac:dyDescent="0.3">
      <c r="A256" s="162">
        <v>3</v>
      </c>
      <c r="B256" s="27" t="str">
        <f>+'AGUAS Y BEBIDAS EMBOTELLASDAS'!B42</f>
        <v>AGUA SIN GAS</v>
      </c>
      <c r="C256" s="27"/>
      <c r="D256" s="180">
        <f>+'AGUAS Y BEBIDAS EMBOTELLASDAS'!I45</f>
        <v>1654.2166666700002</v>
      </c>
      <c r="E256" s="122">
        <f>+'AGUAS Y BEBIDAS EMBOTELLASDAS'!I46</f>
        <v>8000</v>
      </c>
      <c r="F256" s="122">
        <f>+E256/1.08*0.08</f>
        <v>592.59259259259261</v>
      </c>
      <c r="G256" s="123">
        <f>+Tabla5518107235192[[#This Row],[VENTA]]-Tabla5518107235192[[#This Row],[ICO 8%]]</f>
        <v>7407.4074074074069</v>
      </c>
      <c r="H256" s="124">
        <f>+Tabla5518107235192[[#This Row],[COSTO]]/Tabla5518107235192[[#This Row],[BASE]]</f>
        <v>0.22331925000045005</v>
      </c>
      <c r="I256" s="125">
        <f>+Tabla5518107235192[[#This Row],[BASE]]/Tabla5518107235192[[#This Row],[COSTO]]</f>
        <v>4.4778943149683013</v>
      </c>
      <c r="J256" s="126">
        <f>+VLOOKUP(Tabla5518107235192[[#This Row],[AGUAS Y BEBIDAS EMBOTELLADAS]],Tabla77[#All],3,0)</f>
        <v>942</v>
      </c>
      <c r="K256" s="127">
        <f t="shared" si="78"/>
        <v>5514.055555566667</v>
      </c>
      <c r="L256" s="181">
        <f>+K256/1.08*0.08</f>
        <v>408.44855967160498</v>
      </c>
      <c r="M256" s="128">
        <f>+Tabla5518107235192[[#This Row],[PRECIO SUGERIDO]]+Tabla5518107235192[[#This Row],[ICO2]]</f>
        <v>5922.5041152382719</v>
      </c>
      <c r="N256" s="129">
        <v>9500</v>
      </c>
      <c r="O256" s="122">
        <f t="shared" si="79"/>
        <v>703.7037037037037</v>
      </c>
      <c r="P256" s="180">
        <f>+Tabla5518107235192[[#This Row],[PRECIO N]]-Tabla5518107235192[[#This Row],[Columna1]]</f>
        <v>8796.2962962962956</v>
      </c>
      <c r="Q256" s="124">
        <f>+Tabla5518107235192[[#This Row],[COSTO]]/Tabla5518107235192[[#This Row],[CARTA]]</f>
        <v>0.18805831578985266</v>
      </c>
      <c r="R256" s="182">
        <f>+Tabla5518107235192[[#This Row],[PRECIO N]]/Tabla5518107235192[[#This Row],[COSTO]]</f>
        <v>5.7428994589468463</v>
      </c>
    </row>
    <row r="257" spans="1:18" x14ac:dyDescent="0.3">
      <c r="A257" s="162">
        <v>4</v>
      </c>
      <c r="B257" s="27" t="str">
        <f>+'AGUAS Y BEBIDAS EMBOTELLASDAS'!B65</f>
        <v>GINGER ALE</v>
      </c>
      <c r="C257" s="27"/>
      <c r="D257" s="180">
        <f>+'AGUAS Y BEBIDAS EMBOTELLASDAS'!I68</f>
        <v>1709.9658273299999</v>
      </c>
      <c r="E257" s="122">
        <f>+'AGUAS Y BEBIDAS EMBOTELLASDAS'!I69</f>
        <v>8900</v>
      </c>
      <c r="F257" s="122">
        <f t="shared" ref="F257" si="80">+E257/1.08*0.08</f>
        <v>659.25925925925924</v>
      </c>
      <c r="G257" s="123">
        <f>+Tabla5518107235192[[#This Row],[VENTA]]-Tabla5518107235192[[#This Row],[ICO 8%]]</f>
        <v>8240.7407407407409</v>
      </c>
      <c r="H257" s="124">
        <f>+Tabla5518107235192[[#This Row],[COSTO]]/Tabla5518107235192[[#This Row],[BASE]]</f>
        <v>0.20750147118161796</v>
      </c>
      <c r="I257" s="125">
        <f>+Tabla5518107235192[[#This Row],[BASE]]/Tabla5518107235192[[#This Row],[COSTO]]</f>
        <v>4.8192429398475873</v>
      </c>
      <c r="J257" s="126">
        <f>+VLOOKUP(Tabla5518107235192[[#This Row],[AGUAS Y BEBIDAS EMBOTELLADAS]],Tabla77[#All],3,0)</f>
        <v>59</v>
      </c>
      <c r="K257" s="127">
        <f t="shared" si="78"/>
        <v>5699.8860910999992</v>
      </c>
      <c r="L257" s="181">
        <f t="shared" ref="L257" si="81">+K257/1.08*0.08</f>
        <v>422.21378452592586</v>
      </c>
      <c r="M257" s="128">
        <f>+Tabla5518107235192[[#This Row],[PRECIO SUGERIDO]]+Tabla5518107235192[[#This Row],[ICO2]]</f>
        <v>6122.0998756259251</v>
      </c>
      <c r="N257" s="129">
        <v>10000</v>
      </c>
      <c r="O257" s="122">
        <f t="shared" si="79"/>
        <v>740.74074074074076</v>
      </c>
      <c r="P257" s="180">
        <f>+Tabla5518107235192[[#This Row],[PRECIO N]]-Tabla5518107235192[[#This Row],[Columna1]]</f>
        <v>9259.2592592592591</v>
      </c>
      <c r="Q257" s="124">
        <f>+Tabla5518107235192[[#This Row],[COSTO]]/Tabla5518107235192[[#This Row],[CARTA]]</f>
        <v>0.18467630935164001</v>
      </c>
      <c r="R257" s="182">
        <f>+Tabla5518107235192[[#This Row],[PRECIO N]]/Tabla5518107235192[[#This Row],[COSTO]]</f>
        <v>5.8480700843094322</v>
      </c>
    </row>
    <row r="258" spans="1:18" x14ac:dyDescent="0.3">
      <c r="A258" s="162">
        <v>5</v>
      </c>
      <c r="B258" s="27" t="str">
        <f>+'AGUAS Y BEBIDAS EMBOTELLASDAS'!B76</f>
        <v>COCA COLA ORIGINAL</v>
      </c>
      <c r="C258" s="27"/>
      <c r="D258" s="180">
        <f>+'AGUAS Y BEBIDAS EMBOTELLASDAS'!I79</f>
        <v>2284.1416666700002</v>
      </c>
      <c r="E258" s="122">
        <f>+'AGUAS Y BEBIDAS EMBOTELLASDAS'!I80</f>
        <v>8900</v>
      </c>
      <c r="F258" s="122">
        <f>+E258/1.08*0.08</f>
        <v>659.25925925925924</v>
      </c>
      <c r="G258" s="123">
        <f>+Tabla5518107235192[[#This Row],[VENTA]]-Tabla5518107235192[[#This Row],[ICO 8%]]</f>
        <v>8240.7407407407409</v>
      </c>
      <c r="H258" s="124">
        <f>+Tabla5518107235192[[#This Row],[COSTO]]/Tabla5518107235192[[#This Row],[BASE]]</f>
        <v>0.27717674157343825</v>
      </c>
      <c r="I258" s="125">
        <f>+Tabla5518107235192[[#This Row],[BASE]]/Tabla5518107235192[[#This Row],[COSTO]]</f>
        <v>3.60780631997959</v>
      </c>
      <c r="J258" s="126">
        <f>+VLOOKUP(Tabla5518107235192[[#This Row],[AGUAS Y BEBIDAS EMBOTELLADAS]],Tabla77[#All],3,0)</f>
        <v>308</v>
      </c>
      <c r="K258" s="127">
        <f t="shared" si="78"/>
        <v>7613.805555566667</v>
      </c>
      <c r="L258" s="181">
        <f>+K258/1.08*0.08</f>
        <v>563.98559670864199</v>
      </c>
      <c r="M258" s="128">
        <f>+Tabla5518107235192[[#This Row],[PRECIO SUGERIDO]]+Tabla5518107235192[[#This Row],[ICO2]]</f>
        <v>8177.7911522753093</v>
      </c>
      <c r="N258" s="129">
        <v>10000</v>
      </c>
      <c r="O258" s="122">
        <f t="shared" si="79"/>
        <v>740.74074074074076</v>
      </c>
      <c r="P258" s="180">
        <f>+Tabla5518107235192[[#This Row],[PRECIO N]]-Tabla5518107235192[[#This Row],[Columna1]]</f>
        <v>9259.2592592592591</v>
      </c>
      <c r="Q258" s="124">
        <f>+Tabla5518107235192[[#This Row],[COSTO]]/Tabla5518107235192[[#This Row],[CARTA]]</f>
        <v>0.24668730000036002</v>
      </c>
      <c r="R258" s="182">
        <f>+Tabla5518107235192[[#This Row],[PRECIO N]]/Tabla5518107235192[[#This Row],[COSTO]]</f>
        <v>4.3780121635707383</v>
      </c>
    </row>
    <row r="259" spans="1:18" x14ac:dyDescent="0.3">
      <c r="A259" s="162">
        <v>6</v>
      </c>
      <c r="B259" s="27" t="str">
        <f>+'AGUAS Y BEBIDAS EMBOTELLASDAS'!B89</f>
        <v>COCA COLA ZERO</v>
      </c>
      <c r="C259" s="27"/>
      <c r="D259" s="180">
        <f>+'AGUAS Y BEBIDAS EMBOTELLASDAS'!I92</f>
        <v>2119.6875</v>
      </c>
      <c r="E259" s="122">
        <f>+'AGUAS Y BEBIDAS EMBOTELLASDAS'!I93</f>
        <v>8900</v>
      </c>
      <c r="F259" s="122">
        <f>+E259/1.08*0.08</f>
        <v>659.25925925925924</v>
      </c>
      <c r="G259" s="123">
        <f>+Tabla5518107235192[[#This Row],[VENTA]]-Tabla5518107235192[[#This Row],[ICO 8%]]</f>
        <v>8240.7407407407409</v>
      </c>
      <c r="H259" s="124">
        <f>+Tabla5518107235192[[#This Row],[COSTO]]/Tabla5518107235192[[#This Row],[BASE]]</f>
        <v>0.25722050561797755</v>
      </c>
      <c r="I259" s="125">
        <f>+Tabla5518107235192[[#This Row],[BASE]]/Tabla5518107235192[[#This Row],[COSTO]]</f>
        <v>3.8877149300265916</v>
      </c>
      <c r="J259" s="126">
        <f>+VLOOKUP(Tabla5518107235192[[#This Row],[AGUAS Y BEBIDAS EMBOTELLADAS]],Tabla77[#All],3,0)</f>
        <v>339</v>
      </c>
      <c r="K259" s="127">
        <f t="shared" si="78"/>
        <v>7065.625</v>
      </c>
      <c r="L259" s="181">
        <f>+K259/1.08*0.08</f>
        <v>523.37962962962956</v>
      </c>
      <c r="M259" s="128">
        <f>+Tabla5518107235192[[#This Row],[PRECIO SUGERIDO]]+Tabla5518107235192[[#This Row],[ICO2]]</f>
        <v>7589.0046296296296</v>
      </c>
      <c r="N259" s="129">
        <v>10000</v>
      </c>
      <c r="O259" s="122">
        <f t="shared" si="79"/>
        <v>740.74074074074076</v>
      </c>
      <c r="P259" s="180">
        <f>+Tabla5518107235192[[#This Row],[PRECIO N]]-Tabla5518107235192[[#This Row],[Columna1]]</f>
        <v>9259.2592592592591</v>
      </c>
      <c r="Q259" s="124">
        <f>+Tabla5518107235192[[#This Row],[COSTO]]/Tabla5518107235192[[#This Row],[CARTA]]</f>
        <v>0.22892625</v>
      </c>
      <c r="R259" s="182">
        <f>+Tabla5518107235192[[#This Row],[PRECIO N]]/Tabla5518107235192[[#This Row],[COSTO]]</f>
        <v>4.7176765443019315</v>
      </c>
    </row>
    <row r="260" spans="1:18" x14ac:dyDescent="0.3">
      <c r="A260" s="162">
        <v>7</v>
      </c>
      <c r="B260" s="27" t="str">
        <f>+'AGUAS Y BEBIDAS EMBOTELLASDAS'!B101</f>
        <v xml:space="preserve">TE HATSU </v>
      </c>
      <c r="C260" s="27"/>
      <c r="D260" s="180">
        <f>+'AGUAS Y BEBIDAS EMBOTELLASDAS'!I104</f>
        <v>3458</v>
      </c>
      <c r="E260" s="122">
        <f>+'AGUAS Y BEBIDAS EMBOTELLASDAS'!I105</f>
        <v>10900</v>
      </c>
      <c r="F260" s="122">
        <f>+E260/1.08*0.08</f>
        <v>807.40740740740728</v>
      </c>
      <c r="G260" s="123">
        <f>+Tabla5518107235192[[#This Row],[VENTA]]-Tabla5518107235192[[#This Row],[ICO 8%]]</f>
        <v>10092.592592592593</v>
      </c>
      <c r="H260" s="124">
        <f>+Tabla5518107235192[[#This Row],[COSTO]]/Tabla5518107235192[[#This Row],[BASE]]</f>
        <v>0.3426275229357798</v>
      </c>
      <c r="I260" s="125">
        <f>+Tabla5518107235192[[#This Row],[BASE]]/Tabla5518107235192[[#This Row],[COSTO]]</f>
        <v>2.9186213396739715</v>
      </c>
      <c r="J260" s="126" t="e">
        <f>+VLOOKUP(Tabla5518107235192[[#This Row],[AGUAS Y BEBIDAS EMBOTELLADAS]],Tabla77[#All],3,0)</f>
        <v>#N/A</v>
      </c>
      <c r="K260" s="127">
        <f t="shared" si="78"/>
        <v>11526.666666666666</v>
      </c>
      <c r="L260" s="181">
        <f>+K260/1.08*0.08</f>
        <v>853.82716049382714</v>
      </c>
      <c r="M260" s="128">
        <f>+Tabla5518107235192[[#This Row],[PRECIO SUGERIDO]]+Tabla5518107235192[[#This Row],[ICO2]]</f>
        <v>12380.493827160493</v>
      </c>
      <c r="N260" s="129">
        <v>12000</v>
      </c>
      <c r="O260" s="122">
        <f t="shared" si="79"/>
        <v>888.8888888888888</v>
      </c>
      <c r="P260" s="180">
        <f>+Tabla5518107235192[[#This Row],[PRECIO N]]-Tabla5518107235192[[#This Row],[Columna1]]</f>
        <v>11111.111111111111</v>
      </c>
      <c r="Q260" s="124">
        <f>+Tabla5518107235192[[#This Row],[COSTO]]/Tabla5518107235192[[#This Row],[CARTA]]</f>
        <v>0.31122</v>
      </c>
      <c r="R260" s="182">
        <f>+Tabla5518107235192[[#This Row],[PRECIO N]]/Tabla5518107235192[[#This Row],[COSTO]]</f>
        <v>3.470213996529786</v>
      </c>
    </row>
    <row r="261" spans="1:18" x14ac:dyDescent="0.3">
      <c r="A261" s="162">
        <v>8</v>
      </c>
      <c r="B261" s="27" t="str">
        <f>+'AGUAS Y BEBIDAS EMBOTELLASDAS'!B113</f>
        <v xml:space="preserve">RED BULL </v>
      </c>
      <c r="C261" s="27"/>
      <c r="D261" s="180">
        <f>+'AGUAS Y BEBIDAS EMBOTELLASDAS'!I116</f>
        <v>6387.5</v>
      </c>
      <c r="E261" s="122">
        <f>+'AGUAS Y BEBIDAS EMBOTELLASDAS'!I117</f>
        <v>16500</v>
      </c>
      <c r="F261" s="122">
        <f>+E261/1.08*0.08</f>
        <v>1222.2222222222222</v>
      </c>
      <c r="G261" s="123">
        <f>+Tabla5518107235192[[#This Row],[VENTA]]-Tabla5518107235192[[#This Row],[ICO 8%]]</f>
        <v>15277.777777777777</v>
      </c>
      <c r="H261" s="124">
        <f>+Tabla5518107235192[[#This Row],[COSTO]]/Tabla5518107235192[[#This Row],[BASE]]</f>
        <v>0.41809090909090912</v>
      </c>
      <c r="I261" s="125">
        <f>+Tabla5518107235192[[#This Row],[BASE]]/Tabla5518107235192[[#This Row],[COSTO]]</f>
        <v>2.3918243096325287</v>
      </c>
      <c r="J261" s="126">
        <f>+VLOOKUP(Tabla5518107235192[[#This Row],[AGUAS Y BEBIDAS EMBOTELLADAS]],Tabla77[#All],3,0)</f>
        <v>8</v>
      </c>
      <c r="K261" s="127">
        <f t="shared" si="78"/>
        <v>21291.666666666664</v>
      </c>
      <c r="L261" s="181">
        <f>+K261/1.08*0.08</f>
        <v>1577.1604938271601</v>
      </c>
      <c r="M261" s="128">
        <f>+Tabla5518107235192[[#This Row],[PRECIO SUGERIDO]]+Tabla5518107235192[[#This Row],[ICO2]]</f>
        <v>22868.827160493824</v>
      </c>
      <c r="N261" s="129">
        <v>18000</v>
      </c>
      <c r="O261" s="122">
        <f t="shared" si="79"/>
        <v>1333.3333333333333</v>
      </c>
      <c r="P261" s="180">
        <f>+Tabla5518107235192[[#This Row],[PRECIO N]]-Tabla5518107235192[[#This Row],[Columna1]]</f>
        <v>16666.666666666668</v>
      </c>
      <c r="Q261" s="124">
        <f>+Tabla5518107235192[[#This Row],[COSTO]]/Tabla5518107235192[[#This Row],[CARTA]]</f>
        <v>0.38324999999999998</v>
      </c>
      <c r="R261" s="182">
        <f>+Tabla5518107235192[[#This Row],[PRECIO N]]/Tabla5518107235192[[#This Row],[COSTO]]</f>
        <v>2.8180039138943247</v>
      </c>
    </row>
    <row r="262" spans="1:18" x14ac:dyDescent="0.3">
      <c r="A262" s="162">
        <v>9</v>
      </c>
      <c r="B262" s="27" t="s">
        <v>30</v>
      </c>
      <c r="C262" s="27"/>
      <c r="D262" s="162"/>
      <c r="E262" s="126"/>
      <c r="F262" s="126"/>
      <c r="G262" s="126"/>
      <c r="H262" s="131">
        <f>SUBTOTAL(101,Tabla5518107235192[%])</f>
        <v>0.29535633038517939</v>
      </c>
      <c r="I262" s="126"/>
      <c r="J262" s="126"/>
      <c r="K262" s="93"/>
      <c r="L262" s="162"/>
      <c r="M262" s="126"/>
      <c r="N262" s="132"/>
      <c r="O262" s="126"/>
      <c r="P262" s="162"/>
      <c r="Q262" s="126"/>
      <c r="R262" s="182">
        <f>SUBTOTAL(109,Tabla5518107235192[RATION])</f>
        <v>40.837161864198222</v>
      </c>
    </row>
    <row r="266" spans="1:18" x14ac:dyDescent="0.3">
      <c r="B266" s="116"/>
      <c r="C266" s="59"/>
      <c r="D266" s="137"/>
      <c r="E266" s="117" t="s">
        <v>21</v>
      </c>
      <c r="F266" s="116"/>
      <c r="G266" s="118"/>
      <c r="H266" s="116"/>
      <c r="I266" s="116"/>
      <c r="J266" s="93"/>
      <c r="K266" s="278" t="s">
        <v>25</v>
      </c>
      <c r="L266" s="278"/>
      <c r="M266" s="278"/>
      <c r="N266" s="59"/>
      <c r="O266" s="59"/>
      <c r="P266" s="118"/>
    </row>
    <row r="267" spans="1:18" x14ac:dyDescent="0.3">
      <c r="B267" s="177" t="s">
        <v>277</v>
      </c>
      <c r="C267" s="60" t="s">
        <v>111</v>
      </c>
      <c r="D267" s="178" t="s">
        <v>7</v>
      </c>
      <c r="E267" s="119" t="s">
        <v>16</v>
      </c>
      <c r="F267" s="120" t="s">
        <v>29</v>
      </c>
      <c r="G267" s="60" t="s">
        <v>22</v>
      </c>
      <c r="H267" s="121" t="s">
        <v>17</v>
      </c>
      <c r="I267" s="60" t="s">
        <v>18</v>
      </c>
      <c r="J267" s="60" t="s">
        <v>19</v>
      </c>
      <c r="K267" s="60" t="s">
        <v>23</v>
      </c>
      <c r="L267" s="178" t="s">
        <v>28</v>
      </c>
      <c r="M267" s="60" t="s">
        <v>24</v>
      </c>
      <c r="N267" s="133" t="s">
        <v>26</v>
      </c>
      <c r="O267" s="178" t="s">
        <v>343</v>
      </c>
      <c r="P267" s="178" t="s">
        <v>21</v>
      </c>
      <c r="Q267" s="121" t="s">
        <v>27</v>
      </c>
      <c r="R267" s="179" t="s">
        <v>20</v>
      </c>
    </row>
    <row r="268" spans="1:18" x14ac:dyDescent="0.3">
      <c r="B268" s="27" t="str">
        <f>+'VINOS POR COPA'!B6</f>
        <v>COPA RAMON BILBAO VERDEJO</v>
      </c>
      <c r="C268" s="27"/>
      <c r="D268" s="180">
        <f>+'VINOS POR COPA'!I9</f>
        <v>14390.460000000003</v>
      </c>
      <c r="E268" s="122">
        <f>+'VINOS POR COPA'!I10</f>
        <v>35000</v>
      </c>
      <c r="F268" s="122">
        <f>+E268/1.08*0.08</f>
        <v>2592.5925925925926</v>
      </c>
      <c r="G268" s="123">
        <f>+Tabla551810723519255[[#This Row],[VENTA]]-Tabla551810723519255[[#This Row],[ICO 8%]]</f>
        <v>32407.407407407409</v>
      </c>
      <c r="H268" s="124">
        <f>+Tabla551810723519255[[#This Row],[COSTO]]/Tabla551810723519255[[#This Row],[BASE]]</f>
        <v>0.44404848000000008</v>
      </c>
      <c r="I268" s="125">
        <f>+Tabla551810723519255[[#This Row],[BASE]]/Tabla551810723519255[[#This Row],[COSTO]]</f>
        <v>2.252006357504027</v>
      </c>
      <c r="J268" s="126">
        <f>+VLOOKUP(Tabla551810723519255[[#This Row],[COPA DE VINOS]],Tabla77[#All],3,0)</f>
        <v>91</v>
      </c>
      <c r="K268" s="127">
        <f t="shared" ref="K268:K273" si="82">+D268/(100-70)*100</f>
        <v>47968.200000000004</v>
      </c>
      <c r="L268" s="181">
        <f>+K268/1.08*0.08</f>
        <v>3553.2000000000003</v>
      </c>
      <c r="M268" s="128">
        <f>+Tabla551810723519255[[#This Row],[PRECIO SUGERIDO]]+Tabla551810723519255[[#This Row],[ICO2]]</f>
        <v>51521.4</v>
      </c>
      <c r="N268" s="129">
        <v>38000</v>
      </c>
      <c r="O268" s="122">
        <f t="shared" ref="O268:O273" si="83">+N268/1.08*0.08</f>
        <v>2814.8148148148148</v>
      </c>
      <c r="P268" s="180">
        <f>+Tabla551810723519255[[#This Row],[PRECIO N]]-Tabla551810723519255[[#This Row],[Columna1]]</f>
        <v>35185.185185185182</v>
      </c>
      <c r="Q268" s="124">
        <f>+Tabla551810723519255[[#This Row],[COSTO]]/Tabla551810723519255[[#This Row],[CARTA]]</f>
        <v>0.40899202105263172</v>
      </c>
      <c r="R268" s="182">
        <f>+Tabla551810723519255[[#This Row],[PRECIO N]]/Tabla551810723519255[[#This Row],[COSTO]]</f>
        <v>2.6406383117704362</v>
      </c>
    </row>
    <row r="269" spans="1:18" x14ac:dyDescent="0.3">
      <c r="B269" s="27" t="str">
        <f>+'VINOS POR COPA'!B18</f>
        <v>COPA RAMON BILBAO CRIANZA</v>
      </c>
      <c r="C269" s="27"/>
      <c r="D269" s="180">
        <f>+'VINOS POR COPA'!I21</f>
        <v>9592.94</v>
      </c>
      <c r="E269" s="122">
        <f>+'VINOS POR COPA'!I22</f>
        <v>35000</v>
      </c>
      <c r="F269" s="122">
        <f>+E269/1.08*0.08</f>
        <v>2592.5925925925926</v>
      </c>
      <c r="G269" s="123">
        <f>+Tabla551810723519255[[#This Row],[VENTA]]-Tabla551810723519255[[#This Row],[ICO 8%]]</f>
        <v>32407.407407407409</v>
      </c>
      <c r="H269" s="124">
        <f>+Tabla551810723519255[[#This Row],[COSTO]]/Tabla551810723519255[[#This Row],[BASE]]</f>
        <v>0.29601072</v>
      </c>
      <c r="I269" s="125">
        <f>+Tabla551810723519255[[#This Row],[BASE]]/Tabla551810723519255[[#This Row],[COSTO]]</f>
        <v>3.3782560307275356</v>
      </c>
      <c r="J269" s="126">
        <f>+VLOOKUP(Tabla551810723519255[[#This Row],[COPA DE VINOS]],Tabla77[#All],3,0)</f>
        <v>93</v>
      </c>
      <c r="K269" s="127">
        <f t="shared" si="82"/>
        <v>31976.466666666671</v>
      </c>
      <c r="L269" s="181">
        <f>+K269/1.08*0.08</f>
        <v>2368.6271604938274</v>
      </c>
      <c r="M269" s="128">
        <f>+Tabla551810723519255[[#This Row],[PRECIO SUGERIDO]]+Tabla551810723519255[[#This Row],[ICO2]]</f>
        <v>34345.093827160497</v>
      </c>
      <c r="N269" s="129">
        <v>38000</v>
      </c>
      <c r="O269" s="122">
        <f t="shared" si="83"/>
        <v>2814.8148148148148</v>
      </c>
      <c r="P269" s="180">
        <f>+Tabla551810723519255[[#This Row],[PRECIO N]]-Tabla551810723519255[[#This Row],[Columna1]]</f>
        <v>35185.185185185182</v>
      </c>
      <c r="Q269" s="124">
        <f>+Tabla551810723519255[[#This Row],[COSTO]]/Tabla551810723519255[[#This Row],[CARTA]]</f>
        <v>0.27264145263157896</v>
      </c>
      <c r="R269" s="182">
        <f>+Tabla551810723519255[[#This Row],[PRECIO N]]/Tabla551810723519255[[#This Row],[COSTO]]</f>
        <v>3.9612465000302302</v>
      </c>
    </row>
    <row r="270" spans="1:18" x14ac:dyDescent="0.3">
      <c r="B270" s="27" t="str">
        <f>+'VINOS POR COPA'!B30</f>
        <v>COPA RAMON BILBAO ROSE</v>
      </c>
      <c r="C270" s="27"/>
      <c r="D270" s="180">
        <f>+'VINOS POR COPA'!I33</f>
        <v>14390.460000000003</v>
      </c>
      <c r="E270" s="122">
        <f>+'VINOS POR COPA'!I34</f>
        <v>35000</v>
      </c>
      <c r="F270" s="122">
        <f>+E270/1.08*0.08</f>
        <v>2592.5925925925926</v>
      </c>
      <c r="G270" s="123">
        <f>+Tabla551810723519255[[#This Row],[VENTA]]-Tabla551810723519255[[#This Row],[ICO 8%]]</f>
        <v>32407.407407407409</v>
      </c>
      <c r="H270" s="124">
        <f>+Tabla551810723519255[[#This Row],[COSTO]]/Tabla551810723519255[[#This Row],[BASE]]</f>
        <v>0.44404848000000008</v>
      </c>
      <c r="I270" s="125">
        <f>+Tabla551810723519255[[#This Row],[BASE]]/Tabla551810723519255[[#This Row],[COSTO]]</f>
        <v>2.252006357504027</v>
      </c>
      <c r="J270" s="126">
        <f>+VLOOKUP(Tabla551810723519255[[#This Row],[COPA DE VINOS]],Tabla77[#All],3,0)</f>
        <v>11</v>
      </c>
      <c r="K270" s="127">
        <f t="shared" si="82"/>
        <v>47968.200000000004</v>
      </c>
      <c r="L270" s="181">
        <f>+K270/1.08*0.08</f>
        <v>3553.2000000000003</v>
      </c>
      <c r="M270" s="128">
        <f>+Tabla551810723519255[[#This Row],[PRECIO SUGERIDO]]+Tabla551810723519255[[#This Row],[ICO2]]</f>
        <v>51521.4</v>
      </c>
      <c r="N270" s="129">
        <v>38000</v>
      </c>
      <c r="O270" s="122">
        <f t="shared" si="83"/>
        <v>2814.8148148148148</v>
      </c>
      <c r="P270" s="180">
        <f>+Tabla551810723519255[[#This Row],[PRECIO N]]-Tabla551810723519255[[#This Row],[Columna1]]</f>
        <v>35185.185185185182</v>
      </c>
      <c r="Q270" s="124">
        <f>+Tabla551810723519255[[#This Row],[COSTO]]/Tabla551810723519255[[#This Row],[CARTA]]</f>
        <v>0.40899202105263172</v>
      </c>
      <c r="R270" s="182">
        <f>+Tabla551810723519255[[#This Row],[PRECIO N]]/Tabla551810723519255[[#This Row],[COSTO]]</f>
        <v>2.6406383117704362</v>
      </c>
    </row>
    <row r="271" spans="1:18" x14ac:dyDescent="0.3">
      <c r="B271" s="27" t="str">
        <f>+'VINOS POR COPA'!B43</f>
        <v>COPA DE VINO TARAPACA TINTO</v>
      </c>
      <c r="C271" s="27"/>
      <c r="D271" s="180">
        <f>+'VINOS POR COPA'!I46</f>
        <v>10185</v>
      </c>
      <c r="E271" s="122">
        <f>+'VINOS POR COPA'!I47</f>
        <v>28000</v>
      </c>
      <c r="F271" s="122">
        <f>+E271/1.08*0.08</f>
        <v>2074.0740740740739</v>
      </c>
      <c r="G271" s="123">
        <f>+Tabla551810723519255[[#This Row],[VENTA]]-Tabla551810723519255[[#This Row],[ICO 8%]]</f>
        <v>25925.925925925927</v>
      </c>
      <c r="H271" s="124">
        <f>+Tabla551810723519255[[#This Row],[COSTO]]/Tabla551810723519255[[#This Row],[BASE]]</f>
        <v>0.39284999999999998</v>
      </c>
      <c r="I271" s="125">
        <f>+Tabla551810723519255[[#This Row],[BASE]]/Tabla551810723519255[[#This Row],[COSTO]]</f>
        <v>2.5455008272877691</v>
      </c>
      <c r="J271" s="126">
        <f>+VLOOKUP(Tabla551810723519255[[#This Row],[COPA DE VINOS]],Tabla77[#All],3,0)</f>
        <v>123</v>
      </c>
      <c r="K271" s="127">
        <f t="shared" si="82"/>
        <v>33950</v>
      </c>
      <c r="L271" s="181">
        <f>+K271/1.08*0.08</f>
        <v>2514.8148148148148</v>
      </c>
      <c r="M271" s="128">
        <f>+Tabla551810723519255[[#This Row],[PRECIO SUGERIDO]]+Tabla551810723519255[[#This Row],[ICO2]]</f>
        <v>36464.814814814818</v>
      </c>
      <c r="N271" s="129">
        <v>32000</v>
      </c>
      <c r="O271" s="122">
        <f t="shared" si="83"/>
        <v>2370.3703703703704</v>
      </c>
      <c r="P271" s="180">
        <f>+Tabla551810723519255[[#This Row],[PRECIO N]]-Tabla551810723519255[[#This Row],[Columna1]]</f>
        <v>29629.629629629628</v>
      </c>
      <c r="Q271" s="124">
        <f>+Tabla551810723519255[[#This Row],[COSTO]]/Tabla551810723519255[[#This Row],[CARTA]]</f>
        <v>0.34374375000000001</v>
      </c>
      <c r="R271" s="182">
        <f>+Tabla551810723519255[[#This Row],[PRECIO N]]/Tabla551810723519255[[#This Row],[COSTO]]</f>
        <v>3.1418753068237604</v>
      </c>
    </row>
    <row r="272" spans="1:18" x14ac:dyDescent="0.3">
      <c r="B272" s="27" t="str">
        <f>+'VINOS POR COPA'!B56</f>
        <v xml:space="preserve">TARAPACA VARIETAL ROSE </v>
      </c>
      <c r="C272" s="27"/>
      <c r="D272" s="180">
        <f>+'VINOS POR COPA'!I59</f>
        <v>6791.33</v>
      </c>
      <c r="E272" s="122">
        <f>+'VINOS POR COPA'!I60</f>
        <v>28000</v>
      </c>
      <c r="F272" s="122">
        <f>+E272/1.08*0.08</f>
        <v>2074.0740740740739</v>
      </c>
      <c r="G272" s="123">
        <f>+Tabla551810723519255[[#This Row],[VENTA]]-Tabla551810723519255[[#This Row],[ICO 8%]]</f>
        <v>25925.925925925927</v>
      </c>
      <c r="H272" s="124">
        <f>+Tabla551810723519255[[#This Row],[COSTO]]/Tabla551810723519255[[#This Row],[BASE]]</f>
        <v>0.2619513</v>
      </c>
      <c r="I272" s="125">
        <f>+Tabla551810723519255[[#This Row],[BASE]]/Tabla551810723519255[[#This Row],[COSTO]]</f>
        <v>3.817503482517552</v>
      </c>
      <c r="J272" s="126" t="e">
        <f>+VLOOKUP(Tabla551810723519255[[#This Row],[COPA DE VINOS]],Tabla77[#All],3,0)</f>
        <v>#N/A</v>
      </c>
      <c r="K272" s="127">
        <f t="shared" si="82"/>
        <v>22637.766666666666</v>
      </c>
      <c r="L272" s="181">
        <f>+K272/1.08*0.08</f>
        <v>1676.8716049382713</v>
      </c>
      <c r="M272" s="128">
        <f>+Tabla551810723519255[[#This Row],[PRECIO SUGERIDO]]+Tabla551810723519255[[#This Row],[ICO2]]</f>
        <v>24314.638271604937</v>
      </c>
      <c r="N272" s="129">
        <v>32000</v>
      </c>
      <c r="O272" s="122">
        <f t="shared" si="83"/>
        <v>2370.3703703703704</v>
      </c>
      <c r="P272" s="180">
        <f>+Tabla551810723519255[[#This Row],[PRECIO N]]-Tabla551810723519255[[#This Row],[Columna1]]</f>
        <v>29629.629629629628</v>
      </c>
      <c r="Q272" s="124">
        <f>+Tabla551810723519255[[#This Row],[COSTO]]/Tabla551810723519255[[#This Row],[CARTA]]</f>
        <v>0.2292073875</v>
      </c>
      <c r="R272" s="182">
        <f>+Tabla551810723519255[[#This Row],[PRECIO N]]/Tabla551810723519255[[#This Row],[COSTO]]</f>
        <v>4.7118900127073786</v>
      </c>
    </row>
    <row r="273" spans="2:18" x14ac:dyDescent="0.3">
      <c r="B273" s="27" t="str">
        <f>+'VINOS POR COPA'!B69</f>
        <v>COPA DE VINO TARAPACA BLANC</v>
      </c>
      <c r="C273" s="27"/>
      <c r="D273" s="180">
        <f>+'VINOS POR COPA'!I72</f>
        <v>10186.189999996501</v>
      </c>
      <c r="E273" s="122">
        <f>+'VINOS POR COPA'!I73</f>
        <v>28000</v>
      </c>
      <c r="F273" s="122">
        <f t="shared" ref="F273" si="84">+E273/1.08*0.08</f>
        <v>2074.0740740740739</v>
      </c>
      <c r="G273" s="123">
        <f>+Tabla551810723519255[[#This Row],[VENTA]]-Tabla551810723519255[[#This Row],[ICO 8%]]</f>
        <v>25925.925925925927</v>
      </c>
      <c r="H273" s="124">
        <f>+Tabla551810723519255[[#This Row],[COSTO]]/Tabla551810723519255[[#This Row],[BASE]]</f>
        <v>0.39289589999986502</v>
      </c>
      <c r="I273" s="125">
        <f>+Tabla551810723519255[[#This Row],[BASE]]/Tabla551810723519255[[#This Row],[COSTO]]</f>
        <v>2.5452034495660136</v>
      </c>
      <c r="J273" s="126">
        <f>+VLOOKUP(Tabla551810723519255[[#This Row],[COPA DE VINOS]],Tabla77[#All],3,0)</f>
        <v>69</v>
      </c>
      <c r="K273" s="127">
        <f t="shared" si="82"/>
        <v>33953.966666655004</v>
      </c>
      <c r="L273" s="181">
        <f t="shared" ref="L273" si="85">+K273/1.08*0.08</f>
        <v>2515.1086419744447</v>
      </c>
      <c r="M273" s="128">
        <f>+Tabla551810723519255[[#This Row],[PRECIO SUGERIDO]]+Tabla551810723519255[[#This Row],[ICO2]]</f>
        <v>36469.07530862945</v>
      </c>
      <c r="N273" s="129">
        <v>32000</v>
      </c>
      <c r="O273" s="122">
        <f t="shared" si="83"/>
        <v>2370.3703703703704</v>
      </c>
      <c r="P273" s="180">
        <f>+Tabla551810723519255[[#This Row],[PRECIO N]]-Tabla551810723519255[[#This Row],[Columna1]]</f>
        <v>29629.629629629628</v>
      </c>
      <c r="Q273" s="124">
        <f>+Tabla551810723519255[[#This Row],[COSTO]]/Tabla551810723519255[[#This Row],[CARTA]]</f>
        <v>0.34378391249988194</v>
      </c>
      <c r="R273" s="182">
        <f>+Tabla551810723519255[[#This Row],[PRECIO N]]/Tabla551810723519255[[#This Row],[COSTO]]</f>
        <v>3.141508257750051</v>
      </c>
    </row>
    <row r="274" spans="2:18" x14ac:dyDescent="0.3">
      <c r="B274" s="27" t="s">
        <v>30</v>
      </c>
      <c r="C274" s="27"/>
      <c r="D274" s="162"/>
      <c r="E274" s="126"/>
      <c r="F274" s="126"/>
      <c r="G274" s="126"/>
      <c r="H274" s="131">
        <f>SUBTOTAL(101,Tabla551810723519255[%])</f>
        <v>0.37196747999997753</v>
      </c>
      <c r="I274" s="126"/>
      <c r="J274" s="126"/>
      <c r="K274" s="93"/>
      <c r="L274" s="162"/>
      <c r="M274" s="126"/>
      <c r="N274" s="132"/>
      <c r="O274" s="126"/>
      <c r="P274" s="162"/>
      <c r="Q274" s="126"/>
      <c r="R274" s="182">
        <f>SUBTOTAL(109,Tabla551810723519255[RATION])</f>
        <v>20.237796700852289</v>
      </c>
    </row>
    <row r="278" spans="2:18" x14ac:dyDescent="0.3">
      <c r="B278" s="116"/>
      <c r="C278" s="59"/>
      <c r="D278" s="137"/>
      <c r="E278" s="117" t="s">
        <v>21</v>
      </c>
      <c r="F278" s="116"/>
      <c r="G278" s="118"/>
      <c r="H278" s="116"/>
      <c r="I278" s="116"/>
      <c r="J278" s="93"/>
      <c r="K278" s="278" t="s">
        <v>25</v>
      </c>
      <c r="L278" s="278"/>
      <c r="M278" s="278"/>
      <c r="N278" s="59"/>
      <c r="O278" s="59"/>
      <c r="P278" s="118"/>
    </row>
    <row r="279" spans="2:18" x14ac:dyDescent="0.3">
      <c r="B279" s="177" t="s">
        <v>279</v>
      </c>
      <c r="C279" s="60" t="s">
        <v>111</v>
      </c>
      <c r="D279" s="178" t="s">
        <v>7</v>
      </c>
      <c r="E279" s="119" t="s">
        <v>16</v>
      </c>
      <c r="F279" s="120" t="s">
        <v>29</v>
      </c>
      <c r="G279" s="60" t="s">
        <v>22</v>
      </c>
      <c r="H279" s="121" t="s">
        <v>17</v>
      </c>
      <c r="I279" s="60" t="s">
        <v>18</v>
      </c>
      <c r="J279" s="60" t="s">
        <v>19</v>
      </c>
      <c r="K279" s="60" t="s">
        <v>23</v>
      </c>
      <c r="L279" s="178" t="s">
        <v>28</v>
      </c>
      <c r="M279" s="60" t="s">
        <v>24</v>
      </c>
      <c r="N279" s="133" t="s">
        <v>26</v>
      </c>
      <c r="O279" s="178" t="s">
        <v>343</v>
      </c>
      <c r="P279" s="178" t="s">
        <v>21</v>
      </c>
      <c r="Q279" s="121" t="s">
        <v>27</v>
      </c>
      <c r="R279" s="179" t="s">
        <v>20</v>
      </c>
    </row>
    <row r="280" spans="2:18" x14ac:dyDescent="0.3">
      <c r="B280" s="27" t="str">
        <f>+'VINOS BLANCOS'!B6</f>
        <v>MAR DE FRADES ALBARIÃ‘O</v>
      </c>
      <c r="C280" s="27"/>
      <c r="D280" s="180">
        <f>+'VINOS BLANCOS'!I9</f>
        <v>125043.5</v>
      </c>
      <c r="E280" s="122">
        <f>+'VINOS BLANCOS'!I10</f>
        <v>273000</v>
      </c>
      <c r="F280" s="122">
        <f>+E280/1.08*0.08</f>
        <v>20222.222222222219</v>
      </c>
      <c r="G280" s="123">
        <f>+Tabla551810723519257[[#This Row],[VENTA]]-Tabla551810723519257[[#This Row],[ICO 8%]]</f>
        <v>252777.77777777778</v>
      </c>
      <c r="H280" s="124">
        <f>+Tabla551810723519257[[#This Row],[COSTO]]/Tabla551810723519257[[#This Row],[BASE]]</f>
        <v>0.49467758241758242</v>
      </c>
      <c r="I280" s="125">
        <f>+Tabla551810723519257[[#This Row],[BASE]]/Tabla551810723519257[[#This Row],[COSTO]]</f>
        <v>2.0215187337028935</v>
      </c>
      <c r="J280" s="126">
        <f>+VLOOKUP(Tabla551810723519257[[#This Row],[VINOS BLANCOS]],Tabla77[#All],3,0)</f>
        <v>1</v>
      </c>
      <c r="K280" s="127">
        <f t="shared" ref="K280:K286" si="86">+D280/(100-70)*100</f>
        <v>416811.66666666669</v>
      </c>
      <c r="L280" s="181">
        <f>+K280/1.08*0.08</f>
        <v>30874.93827160494</v>
      </c>
      <c r="M280" s="128">
        <f>+Tabla551810723519257[[#This Row],[PRECIO SUGERIDO]]+Tabla551810723519257[[#This Row],[ICO2]]</f>
        <v>447686.60493827163</v>
      </c>
      <c r="N280" s="129">
        <v>312000</v>
      </c>
      <c r="O280" s="122">
        <f t="shared" ref="O280:O286" si="87">+N280/1.08*0.08</f>
        <v>23111.111111111109</v>
      </c>
      <c r="P280" s="180">
        <f>+Tabla551810723519257[[#This Row],[PRECIO N]]-Tabla551810723519257[[#This Row],[Columna1]]</f>
        <v>288888.88888888888</v>
      </c>
      <c r="Q280" s="124">
        <f>+Tabla551810723519257[[#This Row],[COSTO]]/Tabla551810723519257[[#This Row],[CARTA]]</f>
        <v>0.43284288461538462</v>
      </c>
      <c r="R280" s="182">
        <f>+Tabla551810723519257[[#This Row],[PRECIO N]]/Tabla551810723519257[[#This Row],[COSTO]]</f>
        <v>2.4951316941704289</v>
      </c>
    </row>
    <row r="281" spans="2:18" x14ac:dyDescent="0.3">
      <c r="B281" s="27" t="str">
        <f>+'VINOS BLANCOS'!B19</f>
        <v xml:space="preserve">MENADE SAUVIGNON </v>
      </c>
      <c r="C281" s="27"/>
      <c r="D281" s="180">
        <f>+'VINOS BLANCOS'!I22</f>
        <v>79309.523809499995</v>
      </c>
      <c r="E281" s="122">
        <f>+'VINOS BLANCOS'!I23</f>
        <v>189000</v>
      </c>
      <c r="F281" s="122">
        <f>+E281/1.08*0.08</f>
        <v>14000</v>
      </c>
      <c r="G281" s="123">
        <f>+Tabla551810723519257[[#This Row],[VENTA]]-Tabla551810723519257[[#This Row],[ICO 8%]]</f>
        <v>175000</v>
      </c>
      <c r="H281" s="124">
        <f>+Tabla551810723519257[[#This Row],[COSTO]]/Tabla551810723519257[[#This Row],[BASE]]</f>
        <v>0.45319727891142852</v>
      </c>
      <c r="I281" s="125">
        <f>+Tabla551810723519257[[#This Row],[BASE]]/Tabla551810723519257[[#This Row],[COSTO]]</f>
        <v>2.2065445812075075</v>
      </c>
      <c r="J281" s="126" t="e">
        <f>+VLOOKUP(Tabla551810723519257[[#This Row],[VINOS BLANCOS]],Tabla77[#All],3,0)</f>
        <v>#N/A</v>
      </c>
      <c r="K281" s="127">
        <f t="shared" si="86"/>
        <v>264365.07936499995</v>
      </c>
      <c r="L281" s="181">
        <f>+K281/1.08*0.08</f>
        <v>19582.598471481477</v>
      </c>
      <c r="M281" s="128">
        <f>+Tabla551810723519257[[#This Row],[PRECIO SUGERIDO]]+Tabla551810723519257[[#This Row],[ICO2]]</f>
        <v>283947.67783648142</v>
      </c>
      <c r="N281" s="129">
        <v>198000</v>
      </c>
      <c r="O281" s="122">
        <f t="shared" si="87"/>
        <v>14666.666666666666</v>
      </c>
      <c r="P281" s="180">
        <f>+Tabla551810723519257[[#This Row],[PRECIO N]]-Tabla551810723519257[[#This Row],[Columna1]]</f>
        <v>183333.33333333334</v>
      </c>
      <c r="Q281" s="124">
        <f>+Tabla551810723519257[[#This Row],[COSTO]]/Tabla551810723519257[[#This Row],[CARTA]]</f>
        <v>0.4325974025972727</v>
      </c>
      <c r="R281" s="182">
        <f>+Tabla551810723519257[[#This Row],[PRECIO N]]/Tabla551810723519257[[#This Row],[COSTO]]</f>
        <v>2.4965475833090656</v>
      </c>
    </row>
    <row r="282" spans="2:18" x14ac:dyDescent="0.3">
      <c r="B282" s="27" t="str">
        <f>+'VINOS BLANCOS'!B32</f>
        <v>MENADE VERDEJO ORGANICO</v>
      </c>
      <c r="C282" s="27"/>
      <c r="D282" s="180">
        <f>+'VINOS BLANCOS'!I35</f>
        <v>83261</v>
      </c>
      <c r="E282" s="122">
        <f>+'VINOS BLANCOS'!I36</f>
        <v>189000</v>
      </c>
      <c r="F282" s="122">
        <f>+E282/1.08*0.08</f>
        <v>14000</v>
      </c>
      <c r="G282" s="123">
        <f>+Tabla551810723519257[[#This Row],[VENTA]]-Tabla551810723519257[[#This Row],[ICO 8%]]</f>
        <v>175000</v>
      </c>
      <c r="H282" s="124">
        <f>+Tabla551810723519257[[#This Row],[COSTO]]/Tabla551810723519257[[#This Row],[BASE]]</f>
        <v>0.47577714285714284</v>
      </c>
      <c r="I282" s="125">
        <f>+Tabla551810723519257[[#This Row],[BASE]]/Tabla551810723519257[[#This Row],[COSTO]]</f>
        <v>2.1018243835649342</v>
      </c>
      <c r="J282" s="126">
        <f>+VLOOKUP(Tabla551810723519257[[#This Row],[VINOS BLANCOS]],Tabla77[#All],3,0)</f>
        <v>4</v>
      </c>
      <c r="K282" s="127">
        <f t="shared" si="86"/>
        <v>277536.66666666669</v>
      </c>
      <c r="L282" s="181">
        <f>+K282/1.08*0.08</f>
        <v>20558.271604938273</v>
      </c>
      <c r="M282" s="128">
        <f>+Tabla551810723519257[[#This Row],[PRECIO SUGERIDO]]+Tabla551810723519257[[#This Row],[ICO2]]</f>
        <v>298094.93827160494</v>
      </c>
      <c r="N282" s="129">
        <v>208000</v>
      </c>
      <c r="O282" s="122">
        <f t="shared" si="87"/>
        <v>15407.407407407407</v>
      </c>
      <c r="P282" s="180">
        <f>+Tabla551810723519257[[#This Row],[PRECIO N]]-Tabla551810723519257[[#This Row],[Columna1]]</f>
        <v>192592.59259259258</v>
      </c>
      <c r="Q282" s="124">
        <f>+Tabla551810723519257[[#This Row],[COSTO]]/Tabla551810723519257[[#This Row],[CARTA]]</f>
        <v>0.43231673076923077</v>
      </c>
      <c r="R282" s="182">
        <f>+Tabla551810723519257[[#This Row],[PRECIO N]]/Tabla551810723519257[[#This Row],[COSTO]]</f>
        <v>2.4981684101800363</v>
      </c>
    </row>
    <row r="283" spans="2:18" x14ac:dyDescent="0.3">
      <c r="B283" s="27" t="str">
        <f>+'VINOS BLANCOS'!B44</f>
        <v>RAMON BILBAO VERDEJO</v>
      </c>
      <c r="C283" s="27"/>
      <c r="D283" s="180">
        <f>+'VINOS BLANCOS'!I47</f>
        <v>68523</v>
      </c>
      <c r="E283" s="122">
        <f>+'VINOS BLANCOS'!I48</f>
        <v>165900</v>
      </c>
      <c r="F283" s="122">
        <f>+E283/1.08*0.08</f>
        <v>12288.888888888889</v>
      </c>
      <c r="G283" s="123">
        <f>+Tabla551810723519257[[#This Row],[VENTA]]-Tabla551810723519257[[#This Row],[ICO 8%]]</f>
        <v>153611.11111111112</v>
      </c>
      <c r="H283" s="124">
        <f>+Tabla551810723519257[[#This Row],[COSTO]]/Tabla551810723519257[[#This Row],[BASE]]</f>
        <v>0.4460810126582278</v>
      </c>
      <c r="I283" s="125">
        <f>+Tabla551810723519257[[#This Row],[BASE]]/Tabla551810723519257[[#This Row],[COSTO]]</f>
        <v>2.2417452696337161</v>
      </c>
      <c r="J283" s="126">
        <f>+VLOOKUP(Tabla551810723519257[[#This Row],[VINOS BLANCOS]],Tabla77[#All],3,0)</f>
        <v>15</v>
      </c>
      <c r="K283" s="127">
        <f t="shared" si="86"/>
        <v>228410</v>
      </c>
      <c r="L283" s="181">
        <f>+K283/1.08*0.08</f>
        <v>16919.259259259259</v>
      </c>
      <c r="M283" s="128">
        <f>+Tabla551810723519257[[#This Row],[PRECIO SUGERIDO]]+Tabla551810723519257[[#This Row],[ICO2]]</f>
        <v>245329.25925925927</v>
      </c>
      <c r="N283" s="129">
        <v>171000</v>
      </c>
      <c r="O283" s="122">
        <f t="shared" si="87"/>
        <v>12666.666666666666</v>
      </c>
      <c r="P283" s="180">
        <f>+Tabla551810723519257[[#This Row],[PRECIO N]]-Tabla551810723519257[[#This Row],[Columna1]]</f>
        <v>158333.33333333334</v>
      </c>
      <c r="Q283" s="124">
        <f>+Tabla551810723519257[[#This Row],[COSTO]]/Tabla551810723519257[[#This Row],[CARTA]]</f>
        <v>0.43277684210526313</v>
      </c>
      <c r="R283" s="182">
        <f>+Tabla551810723519257[[#This Row],[PRECIO N]]/Tabla551810723519257[[#This Row],[COSTO]]</f>
        <v>2.4955124556718182</v>
      </c>
    </row>
    <row r="284" spans="2:18" x14ac:dyDescent="0.3">
      <c r="B284" s="27" t="str">
        <f>+'VINOS BLANCOS'!B57</f>
        <v xml:space="preserve">LA CELIA RESERVA CHARDONNAY </v>
      </c>
      <c r="C284" s="27"/>
      <c r="D284" s="180">
        <f>+'VINOS BLANCOS'!I60</f>
        <v>42598.666666666664</v>
      </c>
      <c r="E284" s="122">
        <f>+'VINOS BLANCOS'!I61</f>
        <v>159900</v>
      </c>
      <c r="F284" s="122">
        <f>+E284/1.08*0.08</f>
        <v>11844.444444444443</v>
      </c>
      <c r="G284" s="123">
        <f>+Tabla551810723519257[[#This Row],[VENTA]]-Tabla551810723519257[[#This Row],[ICO 8%]]</f>
        <v>148055.55555555556</v>
      </c>
      <c r="H284" s="124">
        <f>+Tabla551810723519257[[#This Row],[COSTO]]/Tabla551810723519257[[#This Row],[BASE]]</f>
        <v>0.28772082551594746</v>
      </c>
      <c r="I284" s="125">
        <f>+Tabla551810723519257[[#This Row],[BASE]]/Tabla551810723519257[[#This Row],[COSTO]]</f>
        <v>3.4755913069788313</v>
      </c>
      <c r="J284" s="126">
        <f>+VLOOKUP(Tabla551810723519257[[#This Row],[VINOS BLANCOS]],Tabla77[#All],3,0)</f>
        <v>12</v>
      </c>
      <c r="K284" s="127">
        <f t="shared" si="86"/>
        <v>141995.55555555556</v>
      </c>
      <c r="L284" s="181">
        <f>+K284/1.08*0.08</f>
        <v>10518.189300411523</v>
      </c>
      <c r="M284" s="128">
        <f>+Tabla551810723519257[[#This Row],[PRECIO SUGERIDO]]+Tabla551810723519257[[#This Row],[ICO2]]</f>
        <v>152513.74485596709</v>
      </c>
      <c r="N284" s="129">
        <v>159900</v>
      </c>
      <c r="O284" s="122">
        <f t="shared" si="87"/>
        <v>11844.444444444443</v>
      </c>
      <c r="P284" s="180">
        <f>+Tabla551810723519257[[#This Row],[PRECIO N]]-Tabla551810723519257[[#This Row],[Columna1]]</f>
        <v>148055.55555555556</v>
      </c>
      <c r="Q284" s="124">
        <f>+Tabla551810723519257[[#This Row],[COSTO]]/Tabla551810723519257[[#This Row],[CARTA]]</f>
        <v>0.28772082551594746</v>
      </c>
      <c r="R284" s="182">
        <f>+Tabla551810723519257[[#This Row],[PRECIO N]]/Tabla551810723519257[[#This Row],[COSTO]]</f>
        <v>3.7536386115371374</v>
      </c>
    </row>
    <row r="285" spans="2:18" x14ac:dyDescent="0.3">
      <c r="B285" s="27" t="str">
        <f>+'VINOS BLANCOS'!B68</f>
        <v>CAUSIÃ‘O MACUL DON LUIS SAUVIGNON BLANC</v>
      </c>
      <c r="C285" s="27"/>
      <c r="D285" s="180">
        <f>+'VINOS BLANCOS'!I71</f>
        <v>57372</v>
      </c>
      <c r="E285" s="122">
        <f>+'VINOS BLANCOS'!I72</f>
        <v>139000</v>
      </c>
      <c r="F285" s="122">
        <f t="shared" ref="F285" si="88">+E285/1.08*0.08</f>
        <v>10296.296296296296</v>
      </c>
      <c r="G285" s="123">
        <f>+Tabla551810723519257[[#This Row],[VENTA]]-Tabla551810723519257[[#This Row],[ICO 8%]]</f>
        <v>128703.70370370371</v>
      </c>
      <c r="H285" s="124">
        <f>+Tabla551810723519257[[#This Row],[COSTO]]/Tabla551810723519257[[#This Row],[BASE]]</f>
        <v>0.44576805755395682</v>
      </c>
      <c r="I285" s="125">
        <f>+Tabla551810723519257[[#This Row],[BASE]]/Tabla551810723519257[[#This Row],[COSTO]]</f>
        <v>2.2433191052029509</v>
      </c>
      <c r="J285" s="126">
        <f>+VLOOKUP(Tabla551810723519257[[#This Row],[VINOS BLANCOS]],Tabla77[#All],3,0)</f>
        <v>9</v>
      </c>
      <c r="K285" s="127">
        <f t="shared" si="86"/>
        <v>191240</v>
      </c>
      <c r="L285" s="181">
        <f t="shared" ref="L285" si="89">+K285/1.08*0.08</f>
        <v>14165.925925925927</v>
      </c>
      <c r="M285" s="128">
        <f>+Tabla551810723519257[[#This Row],[PRECIO SUGERIDO]]+Tabla551810723519257[[#This Row],[ICO2]]</f>
        <v>205405.92592592593</v>
      </c>
      <c r="N285" s="129">
        <v>143000</v>
      </c>
      <c r="O285" s="122">
        <f t="shared" si="87"/>
        <v>10592.592592592591</v>
      </c>
      <c r="P285" s="180">
        <f>+Tabla551810723519257[[#This Row],[PRECIO N]]-Tabla551810723519257[[#This Row],[Columna1]]</f>
        <v>132407.40740740742</v>
      </c>
      <c r="Q285" s="124">
        <f>+Tabla551810723519257[[#This Row],[COSTO]]/Tabla551810723519257[[#This Row],[CARTA]]</f>
        <v>0.43329902097902095</v>
      </c>
      <c r="R285" s="182">
        <f>+Tabla551810723519257[[#This Row],[PRECIO N]]/Tabla551810723519257[[#This Row],[COSTO]]</f>
        <v>2.4925050547305307</v>
      </c>
    </row>
    <row r="286" spans="2:18" x14ac:dyDescent="0.3">
      <c r="B286" s="27" t="str">
        <f>+'VINOS BLANCOS'!B79</f>
        <v>TARAPACA SAUVIGNON BLANC</v>
      </c>
      <c r="C286" s="27"/>
      <c r="D286" s="180">
        <f>+'VINOS BLANCOS'!I82</f>
        <v>48505.666666650002</v>
      </c>
      <c r="E286" s="122">
        <f>+'VINOS BLANCOS'!I83</f>
        <v>135000</v>
      </c>
      <c r="F286" s="122">
        <f>+E286/1.08*0.08</f>
        <v>9999.9999999999982</v>
      </c>
      <c r="G286" s="123">
        <f>+Tabla551810723519257[[#This Row],[VENTA]]-Tabla551810723519257[[#This Row],[ICO 8%]]</f>
        <v>125000</v>
      </c>
      <c r="H286" s="124">
        <f>+Tabla551810723519257[[#This Row],[COSTO]]/Tabla551810723519257[[#This Row],[BASE]]</f>
        <v>0.38804533333320002</v>
      </c>
      <c r="I286" s="125">
        <f>+Tabla551810723519257[[#This Row],[BASE]]/Tabla551810723519257[[#This Row],[COSTO]]</f>
        <v>2.577018492685589</v>
      </c>
      <c r="J286" s="126">
        <f>+VLOOKUP(Tabla551810723519257[[#This Row],[VINOS BLANCOS]],Tabla77[#All],3,0)</f>
        <v>13</v>
      </c>
      <c r="K286" s="127">
        <f t="shared" si="86"/>
        <v>161685.5555555</v>
      </c>
      <c r="L286" s="181">
        <f>+K286/1.08*0.08</f>
        <v>11976.707818925926</v>
      </c>
      <c r="M286" s="128">
        <f>+Tabla551810723519257[[#This Row],[PRECIO SUGERIDO]]+Tabla551810723519257[[#This Row],[ICO2]]</f>
        <v>173662.26337442594</v>
      </c>
      <c r="N286" s="129">
        <v>135000</v>
      </c>
      <c r="O286" s="122">
        <f t="shared" si="87"/>
        <v>9999.9999999999982</v>
      </c>
      <c r="P286" s="180">
        <f>+Tabla551810723519257[[#This Row],[PRECIO N]]-Tabla551810723519257[[#This Row],[Columna1]]</f>
        <v>125000</v>
      </c>
      <c r="Q286" s="124">
        <f>+Tabla551810723519257[[#This Row],[COSTO]]/Tabla551810723519257[[#This Row],[CARTA]]</f>
        <v>0.38804533333320002</v>
      </c>
      <c r="R286" s="182">
        <f>+Tabla551810723519257[[#This Row],[PRECIO N]]/Tabla551810723519257[[#This Row],[COSTO]]</f>
        <v>2.7831799721004358</v>
      </c>
    </row>
    <row r="287" spans="2:18" x14ac:dyDescent="0.3">
      <c r="B287" s="27" t="s">
        <v>30</v>
      </c>
      <c r="C287" s="27"/>
      <c r="D287" s="162"/>
      <c r="E287" s="126"/>
      <c r="F287" s="126"/>
      <c r="G287" s="126"/>
      <c r="H287" s="131">
        <f>SUBTOTAL(101,Tabla551810723519257[%])</f>
        <v>0.42732389046392655</v>
      </c>
      <c r="I287" s="126"/>
      <c r="J287" s="126"/>
      <c r="K287" s="93"/>
      <c r="L287" s="162"/>
      <c r="M287" s="126"/>
      <c r="N287" s="132"/>
      <c r="O287" s="126"/>
      <c r="P287" s="162"/>
      <c r="Q287" s="126"/>
      <c r="R287" s="182">
        <f>SUBTOTAL(109,Tabla551810723519257[RATION])</f>
        <v>19.014683781699453</v>
      </c>
    </row>
    <row r="290" spans="2:18" x14ac:dyDescent="0.3">
      <c r="B290" s="116"/>
      <c r="C290" s="59"/>
      <c r="D290" s="137"/>
      <c r="E290" s="117" t="s">
        <v>21</v>
      </c>
      <c r="F290" s="116"/>
      <c r="G290" s="118"/>
      <c r="H290" s="116"/>
      <c r="I290" s="116"/>
      <c r="J290" s="93"/>
      <c r="K290" s="278" t="s">
        <v>25</v>
      </c>
      <c r="L290" s="278"/>
      <c r="M290" s="278"/>
      <c r="N290" s="59"/>
      <c r="O290" s="59"/>
      <c r="P290" s="118"/>
    </row>
    <row r="291" spans="2:18" x14ac:dyDescent="0.3">
      <c r="B291" s="177" t="s">
        <v>283</v>
      </c>
      <c r="C291" s="60" t="s">
        <v>111</v>
      </c>
      <c r="D291" s="178" t="s">
        <v>7</v>
      </c>
      <c r="E291" s="119" t="s">
        <v>16</v>
      </c>
      <c r="F291" s="120" t="s">
        <v>29</v>
      </c>
      <c r="G291" s="60" t="s">
        <v>22</v>
      </c>
      <c r="H291" s="121" t="s">
        <v>17</v>
      </c>
      <c r="I291" s="60" t="s">
        <v>18</v>
      </c>
      <c r="J291" s="60" t="s">
        <v>19</v>
      </c>
      <c r="K291" s="60" t="s">
        <v>23</v>
      </c>
      <c r="L291" s="178" t="s">
        <v>28</v>
      </c>
      <c r="M291" s="60" t="s">
        <v>24</v>
      </c>
      <c r="N291" s="133" t="s">
        <v>26</v>
      </c>
      <c r="O291" s="178" t="s">
        <v>343</v>
      </c>
      <c r="P291" s="178" t="s">
        <v>21</v>
      </c>
      <c r="Q291" s="121" t="s">
        <v>27</v>
      </c>
      <c r="R291" s="179" t="s">
        <v>20</v>
      </c>
    </row>
    <row r="292" spans="2:18" x14ac:dyDescent="0.3">
      <c r="B292" s="27" t="str">
        <f>+'VINOS TINTOS'!A6</f>
        <v xml:space="preserve"> TARAPACA VARIETAL MERLOT </v>
      </c>
      <c r="C292" s="27"/>
      <c r="D292" s="180">
        <f>+'VINOS TINTOS'!H9</f>
        <v>48500</v>
      </c>
      <c r="E292" s="122">
        <f>+'VINOS TINTOS'!H10</f>
        <v>135000</v>
      </c>
      <c r="F292" s="122">
        <f t="shared" ref="F292:F300" si="90">+E292/1.08*0.08</f>
        <v>9999.9999999999982</v>
      </c>
      <c r="G292" s="123">
        <f>+Tabla551810723519260[[#This Row],[VENTA]]-Tabla551810723519260[[#This Row],[ICO 8%]]</f>
        <v>125000</v>
      </c>
      <c r="H292" s="124">
        <f>+Tabla551810723519260[[#This Row],[COSTO]]/Tabla551810723519260[[#This Row],[BASE]]</f>
        <v>0.38800000000000001</v>
      </c>
      <c r="I292" s="125">
        <f>+Tabla551810723519260[[#This Row],[BASE]]/Tabla551810723519260[[#This Row],[COSTO]]</f>
        <v>2.5773195876288661</v>
      </c>
      <c r="J292" s="126" t="e">
        <f>+VLOOKUP(Tabla551810723519260[[#This Row],[VINOS TINTO]],Tabla77[#All],3,0)</f>
        <v>#N/A</v>
      </c>
      <c r="K292" s="127">
        <f t="shared" ref="K292:K300" si="91">+D292/(100-60)*100</f>
        <v>121250</v>
      </c>
      <c r="L292" s="181">
        <f t="shared" ref="L292:L300" si="92">+K292/1.08*0.08</f>
        <v>8981.4814814814818</v>
      </c>
      <c r="M292" s="128">
        <f>+Tabla551810723519260[[#This Row],[PRECIO SUGERIDO]]+Tabla551810723519260[[#This Row],[ICO2]]</f>
        <v>130231.48148148149</v>
      </c>
      <c r="N292" s="129">
        <v>135000</v>
      </c>
      <c r="O292" s="122">
        <f t="shared" ref="O292:O300" si="93">+N292/1.08*0.08</f>
        <v>9999.9999999999982</v>
      </c>
      <c r="P292" s="180">
        <f>+Tabla551810723519260[[#This Row],[PRECIO N]]-Tabla551810723519260[[#This Row],[Columna1]]</f>
        <v>125000</v>
      </c>
      <c r="Q292" s="124">
        <f>+Tabla551810723519260[[#This Row],[COSTO]]/Tabla551810723519260[[#This Row],[CARTA]]</f>
        <v>0.38800000000000001</v>
      </c>
      <c r="R292" s="182">
        <f>+Tabla551810723519260[[#This Row],[PRECIO N]]/Tabla551810723519260[[#This Row],[COSTO]]</f>
        <v>2.7835051546391751</v>
      </c>
    </row>
    <row r="293" spans="2:18" x14ac:dyDescent="0.3">
      <c r="B293" s="27" t="str">
        <f>+'VINOS TINTOS'!A18</f>
        <v>RAMON BILBAO TEMPRANILLO</v>
      </c>
      <c r="C293" s="27"/>
      <c r="D293" s="180">
        <f>+'VINOS TINTOS'!H21</f>
        <v>45680.666666666664</v>
      </c>
      <c r="E293" s="122">
        <f>+'VINOS TINTOS'!H22</f>
        <v>165900</v>
      </c>
      <c r="F293" s="122">
        <f t="shared" si="90"/>
        <v>12288.888888888889</v>
      </c>
      <c r="G293" s="123">
        <f>+Tabla551810723519260[[#This Row],[VENTA]]-Tabla551810723519260[[#This Row],[ICO 8%]]</f>
        <v>153611.11111111112</v>
      </c>
      <c r="H293" s="124">
        <f>+Tabla551810723519260[[#This Row],[COSTO]]/Tabla551810723519260[[#This Row],[BASE]]</f>
        <v>0.29737866184448458</v>
      </c>
      <c r="I293" s="125">
        <f>+Tabla551810723519260[[#This Row],[BASE]]/Tabla551810723519260[[#This Row],[COSTO]]</f>
        <v>3.3627160529861895</v>
      </c>
      <c r="J293" s="126" t="e">
        <f>+VLOOKUP(Tabla551810723519260[[#This Row],[VINOS TINTO]],Tabla77[#All],3,0)</f>
        <v>#N/A</v>
      </c>
      <c r="K293" s="127">
        <f t="shared" si="91"/>
        <v>114201.66666666667</v>
      </c>
      <c r="L293" s="181">
        <f t="shared" si="92"/>
        <v>8459.382716049382</v>
      </c>
      <c r="M293" s="128">
        <f>+Tabla551810723519260[[#This Row],[PRECIO SUGERIDO]]+Tabla551810723519260[[#This Row],[ICO2]]</f>
        <v>122661.04938271605</v>
      </c>
      <c r="N293" s="129">
        <v>171000</v>
      </c>
      <c r="O293" s="122">
        <f t="shared" si="93"/>
        <v>12666.666666666666</v>
      </c>
      <c r="P293" s="180">
        <f>+Tabla551810723519260[[#This Row],[PRECIO N]]-Tabla551810723519260[[#This Row],[Columna1]]</f>
        <v>158333.33333333334</v>
      </c>
      <c r="Q293" s="124">
        <f>+Tabla551810723519260[[#This Row],[COSTO]]/Tabla551810723519260[[#This Row],[CARTA]]</f>
        <v>0.28850947368421048</v>
      </c>
      <c r="R293" s="182">
        <f>+Tabla551810723519260[[#This Row],[PRECIO N]]/Tabla551810723519260[[#This Row],[COSTO]]</f>
        <v>3.7433779425285683</v>
      </c>
    </row>
    <row r="294" spans="2:18" x14ac:dyDescent="0.3">
      <c r="B294" s="27" t="str">
        <f>+'VINOS TINTOS'!A29</f>
        <v>LA CELIA RESERVA</v>
      </c>
      <c r="C294" s="27"/>
      <c r="D294" s="180">
        <f>+'VINOS TINTOS'!H32</f>
        <v>63887</v>
      </c>
      <c r="E294" s="122">
        <f>+'VINOS TINTOS'!H33</f>
        <v>159000</v>
      </c>
      <c r="F294" s="122">
        <f t="shared" si="90"/>
        <v>11777.777777777777</v>
      </c>
      <c r="G294" s="123">
        <f>+Tabla551810723519260[[#This Row],[VENTA]]-Tabla551810723519260[[#This Row],[ICO 8%]]</f>
        <v>147222.22222222222</v>
      </c>
      <c r="H294" s="124">
        <f>+Tabla551810723519260[[#This Row],[COSTO]]/Tabla551810723519260[[#This Row],[BASE]]</f>
        <v>0.43394943396226415</v>
      </c>
      <c r="I294" s="125">
        <f>+Tabla551810723519260[[#This Row],[BASE]]/Tabla551810723519260[[#This Row],[COSTO]]</f>
        <v>2.3044159566456748</v>
      </c>
      <c r="J294" s="126">
        <f>+VLOOKUP(Tabla551810723519260[[#This Row],[VINOS TINTO]],Tabla77[#All],3,0)</f>
        <v>11</v>
      </c>
      <c r="K294" s="127">
        <f t="shared" si="91"/>
        <v>159717.5</v>
      </c>
      <c r="L294" s="181">
        <f t="shared" si="92"/>
        <v>11830.925925925925</v>
      </c>
      <c r="M294" s="128">
        <f>+Tabla551810723519260[[#This Row],[PRECIO SUGERIDO]]+Tabla551810723519260[[#This Row],[ICO2]]</f>
        <v>171548.42592592593</v>
      </c>
      <c r="N294" s="129">
        <v>160000</v>
      </c>
      <c r="O294" s="122">
        <f t="shared" si="93"/>
        <v>11851.851851851852</v>
      </c>
      <c r="P294" s="180">
        <f>+Tabla551810723519260[[#This Row],[PRECIO N]]-Tabla551810723519260[[#This Row],[Columna1]]</f>
        <v>148148.14814814815</v>
      </c>
      <c r="Q294" s="124">
        <f>+Tabla551810723519260[[#This Row],[COSTO]]/Tabla551810723519260[[#This Row],[CARTA]]</f>
        <v>0.43123725000000002</v>
      </c>
      <c r="R294" s="182">
        <f>+Tabla551810723519260[[#This Row],[PRECIO N]]/Tabla551810723519260[[#This Row],[COSTO]]</f>
        <v>2.5044218698639784</v>
      </c>
    </row>
    <row r="295" spans="2:18" x14ac:dyDescent="0.3">
      <c r="B295" s="27" t="str">
        <f>+'VINOS TINTOS'!A41</f>
        <v>FINCA LAS MORAS CABERNET SAUUVIGNON</v>
      </c>
      <c r="C295" s="27"/>
      <c r="D295" s="180">
        <f>+'VINOS TINTOS'!H44</f>
        <v>49276</v>
      </c>
      <c r="E295" s="122">
        <f>+'VINOS TINTOS'!H45</f>
        <v>135000</v>
      </c>
      <c r="F295" s="122">
        <f t="shared" si="90"/>
        <v>9999.9999999999982</v>
      </c>
      <c r="G295" s="123">
        <f>+Tabla551810723519260[[#This Row],[VENTA]]-Tabla551810723519260[[#This Row],[ICO 8%]]</f>
        <v>125000</v>
      </c>
      <c r="H295" s="124">
        <f>+Tabla551810723519260[[#This Row],[COSTO]]/Tabla551810723519260[[#This Row],[BASE]]</f>
        <v>0.394208</v>
      </c>
      <c r="I295" s="125">
        <f>+Tabla551810723519260[[#This Row],[BASE]]/Tabla551810723519260[[#This Row],[COSTO]]</f>
        <v>2.5367318775874663</v>
      </c>
      <c r="J295" s="126">
        <f>+VLOOKUP(Tabla551810723519260[[#This Row],[VINOS TINTO]],Tabla77[#All],3,0)</f>
        <v>4</v>
      </c>
      <c r="K295" s="127">
        <f t="shared" si="91"/>
        <v>123190.00000000001</v>
      </c>
      <c r="L295" s="181">
        <f t="shared" si="92"/>
        <v>9125.1851851851861</v>
      </c>
      <c r="M295" s="128">
        <f>+Tabla551810723519260[[#This Row],[PRECIO SUGERIDO]]+Tabla551810723519260[[#This Row],[ICO2]]</f>
        <v>132315.1851851852</v>
      </c>
      <c r="N295" s="129">
        <v>135000</v>
      </c>
      <c r="O295" s="122">
        <f t="shared" si="93"/>
        <v>9999.9999999999982</v>
      </c>
      <c r="P295" s="180">
        <f>+Tabla551810723519260[[#This Row],[PRECIO N]]-Tabla551810723519260[[#This Row],[Columna1]]</f>
        <v>125000</v>
      </c>
      <c r="Q295" s="124">
        <f>+Tabla551810723519260[[#This Row],[COSTO]]/Tabla551810723519260[[#This Row],[CARTA]]</f>
        <v>0.394208</v>
      </c>
      <c r="R295" s="182">
        <f>+Tabla551810723519260[[#This Row],[PRECIO N]]/Tabla551810723519260[[#This Row],[COSTO]]</f>
        <v>2.7396704277944637</v>
      </c>
    </row>
    <row r="296" spans="2:18" x14ac:dyDescent="0.3">
      <c r="B296" s="27" t="str">
        <f>+'VINOS TINTOS'!A53</f>
        <v>OSTATU CRIANZA TEMPRANILLO</v>
      </c>
      <c r="C296" s="27"/>
      <c r="D296" s="180">
        <f>+'VINOS TINTOS'!H56</f>
        <v>79652</v>
      </c>
      <c r="E296" s="122">
        <f>+'VINOS TINTOS'!H57</f>
        <v>225000</v>
      </c>
      <c r="F296" s="122">
        <f t="shared" si="90"/>
        <v>16666.666666666664</v>
      </c>
      <c r="G296" s="123">
        <f>+Tabla551810723519260[[#This Row],[VENTA]]-Tabla551810723519260[[#This Row],[ICO 8%]]</f>
        <v>208333.33333333334</v>
      </c>
      <c r="H296" s="124">
        <f>+Tabla551810723519260[[#This Row],[COSTO]]/Tabla551810723519260[[#This Row],[BASE]]</f>
        <v>0.38232959999999999</v>
      </c>
      <c r="I296" s="125">
        <f>+Tabla551810723519260[[#This Row],[BASE]]/Tabla551810723519260[[#This Row],[COSTO]]</f>
        <v>2.6155442843033865</v>
      </c>
      <c r="J296" s="126">
        <f>+VLOOKUP(Tabla551810723519260[[#This Row],[VINOS TINTO]],Tabla77[#All],3,0)</f>
        <v>5</v>
      </c>
      <c r="K296" s="127">
        <f t="shared" si="91"/>
        <v>199130</v>
      </c>
      <c r="L296" s="181">
        <f t="shared" si="92"/>
        <v>14750.370370370369</v>
      </c>
      <c r="M296" s="128">
        <f>+Tabla551810723519260[[#This Row],[PRECIO SUGERIDO]]+Tabla551810723519260[[#This Row],[ICO2]]</f>
        <v>213880.37037037036</v>
      </c>
      <c r="N296" s="129">
        <v>210000</v>
      </c>
      <c r="O296" s="122">
        <f t="shared" si="93"/>
        <v>15555.555555555555</v>
      </c>
      <c r="P296" s="180">
        <f>+Tabla551810723519260[[#This Row],[PRECIO N]]-Tabla551810723519260[[#This Row],[Columna1]]</f>
        <v>194444.44444444444</v>
      </c>
      <c r="Q296" s="124">
        <f>+Tabla551810723519260[[#This Row],[COSTO]]/Tabla551810723519260[[#This Row],[CARTA]]</f>
        <v>0.40963885714285714</v>
      </c>
      <c r="R296" s="182">
        <f>+Tabla551810723519260[[#This Row],[PRECIO N]]/Tabla551810723519260[[#This Row],[COSTO]]</f>
        <v>2.6364686385778136</v>
      </c>
    </row>
    <row r="297" spans="2:18" x14ac:dyDescent="0.3">
      <c r="B297" s="27" t="str">
        <f>+'VINOS TINTOS'!A66</f>
        <v>FINCA LAS MORAS BLACK LABEL MALBEC</v>
      </c>
      <c r="C297" s="27"/>
      <c r="D297" s="180">
        <f>+'VINOS TINTOS'!H69</f>
        <v>98175</v>
      </c>
      <c r="E297" s="122">
        <f>+'VINOS TINTOS'!H70</f>
        <v>257000</v>
      </c>
      <c r="F297" s="122">
        <f t="shared" si="90"/>
        <v>19037.037037037036</v>
      </c>
      <c r="G297" s="123">
        <f>+Tabla551810723519260[[#This Row],[VENTA]]-Tabla551810723519260[[#This Row],[ICO 8%]]</f>
        <v>237962.96296296298</v>
      </c>
      <c r="H297" s="124">
        <f>+Tabla551810723519260[[#This Row],[COSTO]]/Tabla551810723519260[[#This Row],[BASE]]</f>
        <v>0.41256420233463031</v>
      </c>
      <c r="I297" s="125">
        <f>+Tabla551810723519260[[#This Row],[BASE]]/Tabla551810723519260[[#This Row],[COSTO]]</f>
        <v>2.4238651689632085</v>
      </c>
      <c r="J297" s="126" t="e">
        <f>+VLOOKUP(Tabla551810723519260[[#This Row],[VINOS TINTO]],Tabla77[#All],3,0)</f>
        <v>#N/A</v>
      </c>
      <c r="K297" s="130">
        <f t="shared" si="91"/>
        <v>245437.5</v>
      </c>
      <c r="L297" s="181">
        <f t="shared" si="92"/>
        <v>18180.555555555555</v>
      </c>
      <c r="M297" s="128">
        <f>+Tabla551810723519260[[#This Row],[PRECIO SUGERIDO]]+Tabla551810723519260[[#This Row],[ICO2]]</f>
        <v>263618.05555555556</v>
      </c>
      <c r="N297" s="129">
        <v>257000</v>
      </c>
      <c r="O297" s="122">
        <f t="shared" si="93"/>
        <v>19037.037037037036</v>
      </c>
      <c r="P297" s="180">
        <f>+Tabla551810723519260[[#This Row],[PRECIO N]]-Tabla551810723519260[[#This Row],[Columna1]]</f>
        <v>237962.96296296298</v>
      </c>
      <c r="Q297" s="124">
        <f>+Tabla551810723519260[[#This Row],[COSTO]]/Tabla551810723519260[[#This Row],[CARTA]]</f>
        <v>0.41256420233463031</v>
      </c>
      <c r="R297" s="182">
        <f>+Tabla551810723519260[[#This Row],[PRECIO N]]/Tabla551810723519260[[#This Row],[COSTO]]</f>
        <v>2.6177743824802646</v>
      </c>
    </row>
    <row r="298" spans="2:18" x14ac:dyDescent="0.3">
      <c r="B298" s="27" t="str">
        <f>+'VINOS TINTOS'!A77</f>
        <v>TARAPACA TINTO MALBEC</v>
      </c>
      <c r="C298" s="27"/>
      <c r="D298" s="180">
        <f>+'VINOS TINTOS'!H80</f>
        <v>0</v>
      </c>
      <c r="E298" s="122">
        <f>+'VINOS TINTOS'!H81</f>
        <v>135000</v>
      </c>
      <c r="F298" s="122">
        <f t="shared" si="90"/>
        <v>9999.9999999999982</v>
      </c>
      <c r="G298" s="123">
        <f>+Tabla551810723519260[[#This Row],[VENTA]]-Tabla551810723519260[[#This Row],[ICO 8%]]</f>
        <v>125000</v>
      </c>
      <c r="H298" s="124">
        <f>+Tabla551810723519260[[#This Row],[COSTO]]/Tabla551810723519260[[#This Row],[BASE]]</f>
        <v>0</v>
      </c>
      <c r="I298" s="125" t="e">
        <f>+Tabla551810723519260[[#This Row],[BASE]]/Tabla551810723519260[[#This Row],[COSTO]]</f>
        <v>#DIV/0!</v>
      </c>
      <c r="J298" s="126">
        <f>+VLOOKUP(Tabla551810723519260[[#This Row],[VINOS TINTO]],Tabla77[#All],3,0)</f>
        <v>3</v>
      </c>
      <c r="K298" s="130">
        <f t="shared" si="91"/>
        <v>0</v>
      </c>
      <c r="L298" s="181">
        <f t="shared" si="92"/>
        <v>0</v>
      </c>
      <c r="M298" s="128">
        <f>+Tabla551810723519260[[#This Row],[PRECIO SUGERIDO]]+Tabla551810723519260[[#This Row],[ICO2]]</f>
        <v>0</v>
      </c>
      <c r="N298" s="129">
        <v>135000</v>
      </c>
      <c r="O298" s="122">
        <f t="shared" si="93"/>
        <v>9999.9999999999982</v>
      </c>
      <c r="P298" s="180">
        <f>+Tabla551810723519260[[#This Row],[PRECIO N]]-Tabla551810723519260[[#This Row],[Columna1]]</f>
        <v>125000</v>
      </c>
      <c r="Q298" s="124">
        <f>+Tabla551810723519260[[#This Row],[COSTO]]/Tabla551810723519260[[#This Row],[CARTA]]</f>
        <v>0</v>
      </c>
      <c r="R298" s="182" t="e">
        <f>+Tabla551810723519260[[#This Row],[PRECIO N]]/Tabla551810723519260[[#This Row],[COSTO]]</f>
        <v>#DIV/0!</v>
      </c>
    </row>
    <row r="299" spans="2:18" x14ac:dyDescent="0.3">
      <c r="B299" s="27" t="str">
        <f>+'VINOS TINTOS'!A92</f>
        <v>VINO TARAPACA CABERNET</v>
      </c>
      <c r="C299" s="27"/>
      <c r="D299" s="180" t="e">
        <f>+'VINOS TINTOS'!H95</f>
        <v>#N/A</v>
      </c>
      <c r="E299" s="122">
        <f>+'VINOS TINTOS'!H96</f>
        <v>135000</v>
      </c>
      <c r="F299" s="122">
        <f t="shared" si="90"/>
        <v>9999.9999999999982</v>
      </c>
      <c r="G299" s="123">
        <f>+Tabla551810723519260[[#This Row],[VENTA]]-Tabla551810723519260[[#This Row],[ICO 8%]]</f>
        <v>125000</v>
      </c>
      <c r="H299" s="124" t="e">
        <f>+Tabla551810723519260[[#This Row],[COSTO]]/Tabla551810723519260[[#This Row],[BASE]]</f>
        <v>#N/A</v>
      </c>
      <c r="I299" s="125" t="e">
        <f>+Tabla551810723519260[[#This Row],[BASE]]/Tabla551810723519260[[#This Row],[COSTO]]</f>
        <v>#N/A</v>
      </c>
      <c r="J299" s="126">
        <f>+VLOOKUP(Tabla551810723519260[[#This Row],[VINOS TINTO]],Tabla77[#All],3,0)</f>
        <v>1</v>
      </c>
      <c r="K299" s="130" t="e">
        <f t="shared" si="91"/>
        <v>#N/A</v>
      </c>
      <c r="L299" s="181" t="e">
        <f t="shared" si="92"/>
        <v>#N/A</v>
      </c>
      <c r="M299" s="128" t="e">
        <f>+Tabla551810723519260[[#This Row],[PRECIO SUGERIDO]]+Tabla551810723519260[[#This Row],[ICO2]]</f>
        <v>#N/A</v>
      </c>
      <c r="N299" s="129">
        <v>135000</v>
      </c>
      <c r="O299" s="122">
        <f t="shared" si="93"/>
        <v>9999.9999999999982</v>
      </c>
      <c r="P299" s="180">
        <f>+Tabla551810723519260[[#This Row],[PRECIO N]]-Tabla551810723519260[[#This Row],[Columna1]]</f>
        <v>125000</v>
      </c>
      <c r="Q299" s="124" t="e">
        <f>+Tabla551810723519260[[#This Row],[COSTO]]/Tabla551810723519260[[#This Row],[CARTA]]</f>
        <v>#N/A</v>
      </c>
      <c r="R299" s="182" t="e">
        <f>+Tabla551810723519260[[#This Row],[PRECIO N]]/Tabla551810723519260[[#This Row],[COSTO]]</f>
        <v>#N/A</v>
      </c>
    </row>
    <row r="300" spans="2:18" x14ac:dyDescent="0.3">
      <c r="B300" s="27" t="str">
        <f>+'VINOS TINTOS'!A103</f>
        <v>VINO TARAPACA MERLOT</v>
      </c>
      <c r="C300" s="27"/>
      <c r="D300" s="180">
        <f>+'VINOS TINTOS'!H106</f>
        <v>48500</v>
      </c>
      <c r="E300" s="122">
        <f>+'VINOS TINTOS'!H107</f>
        <v>135000</v>
      </c>
      <c r="F300" s="122">
        <f t="shared" si="90"/>
        <v>9999.9999999999982</v>
      </c>
      <c r="G300" s="123">
        <f>+Tabla551810723519260[[#This Row],[VENTA]]-Tabla551810723519260[[#This Row],[ICO 8%]]</f>
        <v>125000</v>
      </c>
      <c r="H300" s="124">
        <f>+Tabla551810723519260[[#This Row],[COSTO]]/Tabla551810723519260[[#This Row],[BASE]]</f>
        <v>0.38800000000000001</v>
      </c>
      <c r="I300" s="125">
        <f>+Tabla551810723519260[[#This Row],[BASE]]/Tabla551810723519260[[#This Row],[COSTO]]</f>
        <v>2.5773195876288661</v>
      </c>
      <c r="J300" s="126">
        <f>+VLOOKUP(Tabla551810723519260[[#This Row],[VINOS TINTO]],Tabla77[#All],3,0)</f>
        <v>6</v>
      </c>
      <c r="K300" s="130">
        <f t="shared" si="91"/>
        <v>121250</v>
      </c>
      <c r="L300" s="181">
        <f t="shared" si="92"/>
        <v>8981.4814814814818</v>
      </c>
      <c r="M300" s="128">
        <f>+Tabla551810723519260[[#This Row],[PRECIO SUGERIDO]]+Tabla551810723519260[[#This Row],[ICO2]]</f>
        <v>130231.48148148149</v>
      </c>
      <c r="N300" s="129">
        <v>135000</v>
      </c>
      <c r="O300" s="122">
        <f t="shared" si="93"/>
        <v>9999.9999999999982</v>
      </c>
      <c r="P300" s="180">
        <f>+Tabla551810723519260[[#This Row],[PRECIO N]]-Tabla551810723519260[[#This Row],[Columna1]]</f>
        <v>125000</v>
      </c>
      <c r="Q300" s="124">
        <f>+Tabla551810723519260[[#This Row],[COSTO]]/Tabla551810723519260[[#This Row],[CARTA]]</f>
        <v>0.38800000000000001</v>
      </c>
      <c r="R300" s="182">
        <f>+Tabla551810723519260[[#This Row],[PRECIO N]]/Tabla551810723519260[[#This Row],[COSTO]]</f>
        <v>2.7835051546391751</v>
      </c>
    </row>
    <row r="301" spans="2:18" x14ac:dyDescent="0.3">
      <c r="B301" s="27" t="s">
        <v>30</v>
      </c>
      <c r="C301" s="27"/>
      <c r="D301" s="162"/>
      <c r="E301" s="126"/>
      <c r="F301" s="126"/>
      <c r="G301" s="126"/>
      <c r="H301" s="131" t="e">
        <f>SUBTOTAL(101,Tabla551810723519260[%])</f>
        <v>#N/A</v>
      </c>
      <c r="I301" s="126"/>
      <c r="J301" s="126"/>
      <c r="K301" s="93"/>
      <c r="L301" s="162"/>
      <c r="M301" s="126"/>
      <c r="N301" s="132"/>
      <c r="O301" s="126"/>
      <c r="P301" s="162"/>
      <c r="Q301" s="126"/>
      <c r="R301" s="182" t="e">
        <f>SUBTOTAL(109,Tabla551810723519260[RATION])</f>
        <v>#DIV/0!</v>
      </c>
    </row>
    <row r="304" spans="2:18" x14ac:dyDescent="0.3">
      <c r="B304" s="116"/>
      <c r="C304" s="59"/>
      <c r="D304" s="137"/>
      <c r="E304" s="117" t="s">
        <v>21</v>
      </c>
      <c r="F304" s="116"/>
      <c r="G304" s="118"/>
      <c r="H304" s="116"/>
      <c r="I304" s="116"/>
      <c r="J304" s="93"/>
      <c r="K304" s="278" t="s">
        <v>25</v>
      </c>
      <c r="L304" s="278"/>
      <c r="M304" s="278"/>
      <c r="N304" s="59"/>
      <c r="O304" s="59"/>
      <c r="P304" s="118"/>
    </row>
    <row r="305" spans="2:18" x14ac:dyDescent="0.3">
      <c r="B305" s="60" t="s">
        <v>284</v>
      </c>
      <c r="C305" s="60" t="s">
        <v>111</v>
      </c>
      <c r="D305" s="178" t="s">
        <v>7</v>
      </c>
      <c r="E305" s="119" t="s">
        <v>16</v>
      </c>
      <c r="F305" s="120" t="s">
        <v>29</v>
      </c>
      <c r="G305" s="60" t="s">
        <v>22</v>
      </c>
      <c r="H305" s="121" t="s">
        <v>17</v>
      </c>
      <c r="I305" s="60" t="s">
        <v>18</v>
      </c>
      <c r="J305" s="60" t="s">
        <v>19</v>
      </c>
      <c r="K305" s="60" t="s">
        <v>23</v>
      </c>
      <c r="L305" s="178" t="s">
        <v>28</v>
      </c>
      <c r="M305" s="60" t="s">
        <v>24</v>
      </c>
      <c r="N305" s="133" t="s">
        <v>26</v>
      </c>
      <c r="O305" s="178" t="s">
        <v>343</v>
      </c>
      <c r="P305" s="178" t="s">
        <v>21</v>
      </c>
      <c r="Q305" s="121" t="s">
        <v>27</v>
      </c>
      <c r="R305" s="179" t="s">
        <v>20</v>
      </c>
    </row>
    <row r="306" spans="2:18" x14ac:dyDescent="0.3">
      <c r="B306" s="27" t="str">
        <f>+'VINO ROSADO'!B6</f>
        <v xml:space="preserve">RAMON BILBAO ROSADO </v>
      </c>
      <c r="C306" s="27"/>
      <c r="D306" s="180">
        <f>+'VINO ROSADO'!K9</f>
        <v>68526.000000000015</v>
      </c>
      <c r="E306" s="122">
        <f>+'VINO ROSADO'!K10</f>
        <v>165900</v>
      </c>
      <c r="F306" s="122">
        <f>+E306/1.08*0.08</f>
        <v>12288.888888888889</v>
      </c>
      <c r="G306" s="123">
        <f>+Tabla551810723519260281[[#This Row],[VENTA]]-Tabla551810723519260281[[#This Row],[ICO 8%]]</f>
        <v>153611.11111111112</v>
      </c>
      <c r="H306" s="124">
        <f>+Tabla551810723519260281[[#This Row],[COSTO]]/Tabla551810723519260281[[#This Row],[BASE]]</f>
        <v>0.44610054249547926</v>
      </c>
      <c r="I306" s="125">
        <f>+Tabla551810723519260281[[#This Row],[BASE]]/Tabla551810723519260281[[#This Row],[COSTO]]</f>
        <v>2.2416471282595087</v>
      </c>
      <c r="J306" s="126">
        <f>+VLOOKUP(Tabla551810723519260281[[#This Row],[VINOS ROSADOS]],Tabla77[#All],3,0)</f>
        <v>1</v>
      </c>
      <c r="K306" s="127">
        <f t="shared" ref="K306:K307" si="94">+D306/(100-60)*100</f>
        <v>171315.00000000003</v>
      </c>
      <c r="L306" s="181">
        <f>+K306/1.08*0.08</f>
        <v>12690.000000000002</v>
      </c>
      <c r="M306" s="128">
        <f>+Tabla551810723519260281[[#This Row],[PRECIO SUGERIDO]]+Tabla551810723519260281[[#This Row],[ICO2]]</f>
        <v>184005.00000000003</v>
      </c>
      <c r="N306" s="129">
        <v>171000</v>
      </c>
      <c r="O306" s="122">
        <f t="shared" ref="O306:O307" si="95">+N306/1.08*0.08</f>
        <v>12666.666666666666</v>
      </c>
      <c r="P306" s="180">
        <f>+Tabla551810723519260281[[#This Row],[PRECIO N]]-Tabla551810723519260281[[#This Row],[Columna1]]</f>
        <v>158333.33333333334</v>
      </c>
      <c r="Q306" s="124">
        <f>+Tabla551810723519260281[[#This Row],[COSTO]]/Tabla551810723519260281[[#This Row],[CARTA]]</f>
        <v>0.4327957894736843</v>
      </c>
      <c r="R306" s="182">
        <f>+Tabla551810723519260281[[#This Row],[PRECIO N]]/Tabla551810723519260281[[#This Row],[COSTO]]</f>
        <v>2.4954032046230621</v>
      </c>
    </row>
    <row r="307" spans="2:18" x14ac:dyDescent="0.3">
      <c r="B307" s="27" t="str">
        <f>+'VINO ROSADO'!B18</f>
        <v xml:space="preserve">TARAPACA ROSÉ </v>
      </c>
      <c r="C307" s="27"/>
      <c r="D307" s="180">
        <f>+'VINO ROSADO'!K21</f>
        <v>32339.666666666668</v>
      </c>
      <c r="E307" s="122">
        <f>+'VINO ROSADO'!K22</f>
        <v>135000</v>
      </c>
      <c r="F307" s="122">
        <f>+E307/1.08*0.08</f>
        <v>9999.9999999999982</v>
      </c>
      <c r="G307" s="123">
        <f>+Tabla551810723519260281[[#This Row],[VENTA]]-Tabla551810723519260281[[#This Row],[ICO 8%]]</f>
        <v>125000</v>
      </c>
      <c r="H307" s="124">
        <f>+Tabla551810723519260281[[#This Row],[COSTO]]/Tabla551810723519260281[[#This Row],[BASE]]</f>
        <v>0.25871733333333335</v>
      </c>
      <c r="I307" s="125">
        <f>+Tabla551810723519260281[[#This Row],[BASE]]/Tabla551810723519260281[[#This Row],[COSTO]]</f>
        <v>3.8652222760490211</v>
      </c>
      <c r="J307" s="126" t="e">
        <f>+VLOOKUP(Tabla551810723519260281[[#This Row],[VINOS ROSADOS]],Tabla77[#All],3,0)</f>
        <v>#N/A</v>
      </c>
      <c r="K307" s="127">
        <f t="shared" si="94"/>
        <v>80849.166666666672</v>
      </c>
      <c r="L307" s="181">
        <f>+K307/1.08*0.08</f>
        <v>5988.8271604938273</v>
      </c>
      <c r="M307" s="128">
        <f>+Tabla551810723519260281[[#This Row],[PRECIO SUGERIDO]]+Tabla551810723519260281[[#This Row],[ICO2]]</f>
        <v>86837.993827160506</v>
      </c>
      <c r="N307" s="129">
        <v>135000</v>
      </c>
      <c r="O307" s="122">
        <f t="shared" si="95"/>
        <v>9999.9999999999982</v>
      </c>
      <c r="P307" s="180">
        <f>+Tabla551810723519260281[[#This Row],[PRECIO N]]-Tabla551810723519260281[[#This Row],[Columna1]]</f>
        <v>125000</v>
      </c>
      <c r="Q307" s="124">
        <f>+Tabla551810723519260281[[#This Row],[COSTO]]/Tabla551810723519260281[[#This Row],[CARTA]]</f>
        <v>0.25871733333333335</v>
      </c>
      <c r="R307" s="182">
        <f>+Tabla551810723519260281[[#This Row],[PRECIO N]]/Tabla551810723519260281[[#This Row],[COSTO]]</f>
        <v>4.1744400581329426</v>
      </c>
    </row>
    <row r="308" spans="2:18" x14ac:dyDescent="0.3">
      <c r="B308" s="27" t="s">
        <v>30</v>
      </c>
      <c r="C308" s="27"/>
      <c r="D308" s="162"/>
      <c r="E308" s="126"/>
      <c r="F308" s="126"/>
      <c r="G308" s="126"/>
      <c r="H308" s="131">
        <f>SUBTOTAL(101,Tabla551810723519260281[%])</f>
        <v>0.35240893791440631</v>
      </c>
      <c r="I308" s="126"/>
      <c r="J308" s="126"/>
      <c r="K308" s="93"/>
      <c r="L308" s="162"/>
      <c r="M308" s="126"/>
      <c r="N308" s="132"/>
      <c r="O308" s="126"/>
      <c r="P308" s="162"/>
      <c r="Q308" s="126"/>
      <c r="R308" s="182">
        <f>SUBTOTAL(109,Tabla551810723519260281[RATION])</f>
        <v>6.6698432627560047</v>
      </c>
    </row>
    <row r="311" spans="2:18" x14ac:dyDescent="0.3">
      <c r="B311" s="116"/>
      <c r="C311" s="59"/>
      <c r="D311" s="137"/>
      <c r="E311" s="117" t="s">
        <v>21</v>
      </c>
      <c r="F311" s="116"/>
      <c r="G311" s="118"/>
      <c r="H311" s="116"/>
      <c r="I311" s="116"/>
      <c r="J311" s="93"/>
      <c r="K311" s="278" t="s">
        <v>25</v>
      </c>
      <c r="L311" s="278"/>
      <c r="M311" s="278"/>
      <c r="N311" s="59"/>
      <c r="O311" s="59"/>
      <c r="P311" s="118"/>
    </row>
    <row r="312" spans="2:18" x14ac:dyDescent="0.3">
      <c r="B312" s="177" t="s">
        <v>285</v>
      </c>
      <c r="C312" s="60" t="s">
        <v>111</v>
      </c>
      <c r="D312" s="178" t="s">
        <v>7</v>
      </c>
      <c r="E312" s="119" t="s">
        <v>16</v>
      </c>
      <c r="F312" s="120" t="s">
        <v>29</v>
      </c>
      <c r="G312" s="60" t="s">
        <v>22</v>
      </c>
      <c r="H312" s="121" t="s">
        <v>17</v>
      </c>
      <c r="I312" s="60" t="s">
        <v>18</v>
      </c>
      <c r="J312" s="60" t="s">
        <v>19</v>
      </c>
      <c r="K312" s="60" t="s">
        <v>23</v>
      </c>
      <c r="L312" s="178" t="s">
        <v>28</v>
      </c>
      <c r="M312" s="60" t="s">
        <v>24</v>
      </c>
      <c r="N312" s="133" t="s">
        <v>26</v>
      </c>
      <c r="O312" s="178" t="s">
        <v>343</v>
      </c>
      <c r="P312" s="178" t="s">
        <v>21</v>
      </c>
      <c r="Q312" s="121" t="s">
        <v>27</v>
      </c>
      <c r="R312" s="179" t="s">
        <v>20</v>
      </c>
    </row>
    <row r="313" spans="2:18" x14ac:dyDescent="0.3">
      <c r="B313" s="27" t="str">
        <f>+ESPUMOSOS!A6</f>
        <v>CHANDON ARGENTINA BRUT PIBA</v>
      </c>
      <c r="C313" s="27"/>
      <c r="D313" s="180">
        <f>+ESPUMOSOS!J9</f>
        <v>22425</v>
      </c>
      <c r="E313" s="122">
        <f>+ESPUMOSOS!J10</f>
        <v>62000</v>
      </c>
      <c r="F313" s="122">
        <f t="shared" ref="F313:F319" si="96">+E313/1.08*0.08</f>
        <v>4592.5925925925922</v>
      </c>
      <c r="G313" s="123">
        <f>+Tabla551810723519260282[[#This Row],[VENTA]]-Tabla551810723519260282[[#This Row],[ICO 8%]]</f>
        <v>57407.407407407409</v>
      </c>
      <c r="H313" s="124">
        <f>+Tabla551810723519260282[[#This Row],[COSTO]]/Tabla551810723519260282[[#This Row],[BASE]]</f>
        <v>0.3906290322580645</v>
      </c>
      <c r="I313" s="125">
        <f>+Tabla551810723519260282[[#This Row],[BASE]]/Tabla551810723519260282[[#This Row],[COSTO]]</f>
        <v>2.5599735744663281</v>
      </c>
      <c r="J313" s="126">
        <f>+VLOOKUP(Tabla551810723519260282[[#This Row],[ESPUMOSOS]],Tabla77[#All],3,0)</f>
        <v>2</v>
      </c>
      <c r="K313" s="127">
        <f t="shared" ref="K313:K319" si="97">+D313/(100-65)*100</f>
        <v>64071.428571428565</v>
      </c>
      <c r="L313" s="181">
        <f t="shared" ref="L313:L319" si="98">+K313/1.08*0.08</f>
        <v>4746.0317460317447</v>
      </c>
      <c r="M313" s="128">
        <f>+Tabla551810723519260282[[#This Row],[PRECIO SUGERIDO]]+Tabla551810723519260282[[#This Row],[ICO2]]</f>
        <v>68817.460317460311</v>
      </c>
      <c r="N313" s="129">
        <v>62000</v>
      </c>
      <c r="O313" s="122">
        <f t="shared" ref="O313:O321" si="99">+N313/1.08*0.08</f>
        <v>4592.5925925925922</v>
      </c>
      <c r="P313" s="180">
        <f>+Tabla551810723519260282[[#This Row],[PRECIO N]]-Tabla551810723519260282[[#This Row],[Columna1]]</f>
        <v>57407.407407407409</v>
      </c>
      <c r="Q313" s="124">
        <f t="shared" ref="Q313:Q321" si="100">+D313/P313</f>
        <v>0.3906290322580645</v>
      </c>
      <c r="R313" s="182">
        <f>+Tabla551810723519260282[[#This Row],[PRECIO N]]/Tabla551810723519260282[[#This Row],[COSTO]]</f>
        <v>2.7647714604236344</v>
      </c>
    </row>
    <row r="314" spans="2:18" x14ac:dyDescent="0.3">
      <c r="B314" s="27" t="str">
        <f>+ESPUMOSOS!A19</f>
        <v>ESPUMANTE CHANDON ARGENTINA</v>
      </c>
      <c r="C314" s="27"/>
      <c r="D314" s="180">
        <f>+ESPUMOSOS!J22</f>
        <v>71318</v>
      </c>
      <c r="E314" s="122">
        <f>+ESPUMOSOS!J23</f>
        <v>180000</v>
      </c>
      <c r="F314" s="122">
        <f t="shared" si="96"/>
        <v>13333.333333333332</v>
      </c>
      <c r="G314" s="123">
        <f>+Tabla551810723519260282[[#This Row],[VENTA]]-Tabla551810723519260282[[#This Row],[ICO 8%]]</f>
        <v>166666.66666666666</v>
      </c>
      <c r="H314" s="124">
        <f>+Tabla551810723519260282[[#This Row],[COSTO]]/Tabla551810723519260282[[#This Row],[BASE]]</f>
        <v>0.42790800000000001</v>
      </c>
      <c r="I314" s="125">
        <f>+Tabla551810723519260282[[#This Row],[BASE]]/Tabla551810723519260282[[#This Row],[COSTO]]</f>
        <v>2.3369509333782026</v>
      </c>
      <c r="J314" s="126">
        <f>+VLOOKUP(Tabla551810723519260282[[#This Row],[ESPUMOSOS]],Tabla77[#All],3,0)</f>
        <v>1</v>
      </c>
      <c r="K314" s="127">
        <f t="shared" si="97"/>
        <v>203765.71428571429</v>
      </c>
      <c r="L314" s="181">
        <f t="shared" si="98"/>
        <v>15093.756613756614</v>
      </c>
      <c r="M314" s="128">
        <f>+Tabla551810723519260282[[#This Row],[PRECIO SUGERIDO]]+Tabla551810723519260282[[#This Row],[ICO2]]</f>
        <v>218859.47089947091</v>
      </c>
      <c r="N314" s="129">
        <v>180000</v>
      </c>
      <c r="O314" s="122">
        <f t="shared" si="99"/>
        <v>13333.333333333332</v>
      </c>
      <c r="P314" s="180">
        <f>+Tabla551810723519260282[[#This Row],[PRECIO N]]-Tabla551810723519260282[[#This Row],[Columna1]]</f>
        <v>166666.66666666666</v>
      </c>
      <c r="Q314" s="124">
        <f t="shared" si="100"/>
        <v>0.42790800000000001</v>
      </c>
      <c r="R314" s="182">
        <f>+Tabla551810723519260282[[#This Row],[PRECIO N]]/Tabla551810723519260282[[#This Row],[COSTO]]</f>
        <v>2.5239070080484591</v>
      </c>
    </row>
    <row r="315" spans="2:18" x14ac:dyDescent="0.3">
      <c r="B315" s="27" t="str">
        <f>+ESPUMOSOS!A43</f>
        <v>FREIXENET CORDÃ“N NEGRO</v>
      </c>
      <c r="C315" s="27"/>
      <c r="D315" s="180">
        <f>+ESPUMOSOS!J46</f>
        <v>87241.5</v>
      </c>
      <c r="E315" s="122">
        <f>+ESPUMOSOS!J47</f>
        <v>190000</v>
      </c>
      <c r="F315" s="122">
        <f t="shared" si="96"/>
        <v>14074.074074074075</v>
      </c>
      <c r="G315" s="123">
        <f>+Tabla551810723519260282[[#This Row],[VENTA]]-Tabla551810723519260282[[#This Row],[ICO 8%]]</f>
        <v>175925.92592592593</v>
      </c>
      <c r="H315" s="124">
        <f>+Tabla551810723519260282[[#This Row],[COSTO]]/Tabla551810723519260282[[#This Row],[BASE]]</f>
        <v>0.49589905263157896</v>
      </c>
      <c r="I315" s="125">
        <f>+Tabla551810723519260282[[#This Row],[BASE]]/Tabla551810723519260282[[#This Row],[COSTO]]</f>
        <v>2.0165394442544651</v>
      </c>
      <c r="J315" s="126" t="e">
        <f>+VLOOKUP(Tabla551810723519260282[[#This Row],[ESPUMOSOS]],Tabla77[#All],3,0)</f>
        <v>#N/A</v>
      </c>
      <c r="K315" s="127">
        <f t="shared" si="97"/>
        <v>249261.42857142858</v>
      </c>
      <c r="L315" s="181">
        <f t="shared" si="98"/>
        <v>18463.809523809523</v>
      </c>
      <c r="M315" s="128">
        <f>+Tabla551810723519260282[[#This Row],[PRECIO SUGERIDO]]+Tabla551810723519260282[[#This Row],[ICO2]]</f>
        <v>267725.23809523811</v>
      </c>
      <c r="N315" s="129">
        <v>218000</v>
      </c>
      <c r="O315" s="122">
        <f t="shared" si="99"/>
        <v>16148.148148148146</v>
      </c>
      <c r="P315" s="180">
        <f>+Tabla551810723519260282[[#This Row],[PRECIO N]]-Tabla551810723519260282[[#This Row],[Columna1]]</f>
        <v>201851.85185185185</v>
      </c>
      <c r="Q315" s="124">
        <f t="shared" si="100"/>
        <v>0.43220559633027522</v>
      </c>
      <c r="R315" s="182">
        <f>+Tabla551810723519260282[[#This Row],[PRECIO N]]/Tabla551810723519260282[[#This Row],[COSTO]]</f>
        <v>2.4988107723961646</v>
      </c>
    </row>
    <row r="316" spans="2:18" x14ac:dyDescent="0.3">
      <c r="B316" s="27" t="str">
        <f>+ESPUMOSOS!A55</f>
        <v>FREIXENET NEGRO BRUT PIBA</v>
      </c>
      <c r="C316" s="27"/>
      <c r="D316" s="180">
        <f>+ESPUMOSOS!J58</f>
        <v>27250</v>
      </c>
      <c r="E316" s="122">
        <f>+ESPUMOSOS!J59</f>
        <v>70000</v>
      </c>
      <c r="F316" s="122">
        <f t="shared" si="96"/>
        <v>5185.1851851851852</v>
      </c>
      <c r="G316" s="123">
        <f>+Tabla551810723519260282[[#This Row],[VENTA]]-Tabla551810723519260282[[#This Row],[ICO 8%]]</f>
        <v>64814.814814814818</v>
      </c>
      <c r="H316" s="124">
        <f>+Tabla551810723519260282[[#This Row],[COSTO]]/Tabla551810723519260282[[#This Row],[BASE]]</f>
        <v>0.42042857142857143</v>
      </c>
      <c r="I316" s="125">
        <f>+Tabla551810723519260282[[#This Row],[BASE]]/Tabla551810723519260282[[#This Row],[COSTO]]</f>
        <v>2.378525314305131</v>
      </c>
      <c r="J316" s="126">
        <f>+VLOOKUP(Tabla551810723519260282[[#This Row],[ESPUMOSOS]],Tabla77[#All],3,0)</f>
        <v>1</v>
      </c>
      <c r="K316" s="127">
        <f t="shared" si="97"/>
        <v>77857.142857142855</v>
      </c>
      <c r="L316" s="181">
        <f t="shared" si="98"/>
        <v>5767.1957671957662</v>
      </c>
      <c r="M316" s="128">
        <f>+Tabla551810723519260282[[#This Row],[PRECIO SUGERIDO]]+Tabla551810723519260282[[#This Row],[ICO2]]</f>
        <v>83624.338624338619</v>
      </c>
      <c r="N316" s="129">
        <v>70000</v>
      </c>
      <c r="O316" s="122">
        <f t="shared" si="99"/>
        <v>5185.1851851851852</v>
      </c>
      <c r="P316" s="180">
        <f>+Tabla551810723519260282[[#This Row],[PRECIO N]]-Tabla551810723519260282[[#This Row],[Columna1]]</f>
        <v>64814.814814814818</v>
      </c>
      <c r="Q316" s="124">
        <f t="shared" si="100"/>
        <v>0.42042857142857143</v>
      </c>
      <c r="R316" s="182">
        <f>+Tabla551810723519260282[[#This Row],[PRECIO N]]/Tabla551810723519260282[[#This Row],[COSTO]]</f>
        <v>2.5688073394495414</v>
      </c>
    </row>
    <row r="317" spans="2:18" x14ac:dyDescent="0.3">
      <c r="B317" s="27" t="str">
        <f>+ESPUMOSOS!A78</f>
        <v>LAMBRUSCO BLANCO</v>
      </c>
      <c r="C317" s="27"/>
      <c r="D317" s="180">
        <f>+ESPUMOSOS!J81</f>
        <v>34240.666666669997</v>
      </c>
      <c r="E317" s="122">
        <f>+ESPUMOSOS!J82</f>
        <v>110000</v>
      </c>
      <c r="F317" s="122">
        <f t="shared" si="96"/>
        <v>8148.1481481481469</v>
      </c>
      <c r="G317" s="123">
        <f>+Tabla551810723519260282[[#This Row],[VENTA]]-Tabla551810723519260282[[#This Row],[ICO 8%]]</f>
        <v>101851.85185185185</v>
      </c>
      <c r="H317" s="124">
        <f>+Tabla551810723519260282[[#This Row],[COSTO]]/Tabla551810723519260282[[#This Row],[BASE]]</f>
        <v>0.33618109090912357</v>
      </c>
      <c r="I317" s="125">
        <f>+Tabla551810723519260282[[#This Row],[BASE]]/Tabla551810723519260282[[#This Row],[COSTO]]</f>
        <v>2.974587289534139</v>
      </c>
      <c r="J317" s="126" t="e">
        <f>+VLOOKUP(Tabla551810723519260282[[#This Row],[ESPUMOSOS]],Tabla77[#All],3,0)</f>
        <v>#N/A</v>
      </c>
      <c r="K317" s="127">
        <f t="shared" si="97"/>
        <v>97830.4761904857</v>
      </c>
      <c r="L317" s="181">
        <f t="shared" si="98"/>
        <v>7246.7019400359777</v>
      </c>
      <c r="M317" s="128">
        <f>+Tabla551810723519260282[[#This Row],[PRECIO SUGERIDO]]+Tabla551810723519260282[[#This Row],[ICO2]]</f>
        <v>105077.17813052167</v>
      </c>
      <c r="N317" s="129">
        <v>110000</v>
      </c>
      <c r="O317" s="122">
        <f t="shared" si="99"/>
        <v>8148.1481481481469</v>
      </c>
      <c r="P317" s="180">
        <f>+Tabla551810723519260282[[#This Row],[PRECIO N]]-Tabla551810723519260282[[#This Row],[Columna1]]</f>
        <v>101851.85185185185</v>
      </c>
      <c r="Q317" s="124">
        <f t="shared" si="100"/>
        <v>0.33618109090912357</v>
      </c>
      <c r="R317" s="182">
        <f>+Tabla551810723519260282[[#This Row],[PRECIO N]]/Tabla551810723519260282[[#This Row],[COSTO]]</f>
        <v>3.2125542726968703</v>
      </c>
    </row>
    <row r="318" spans="2:18" x14ac:dyDescent="0.3">
      <c r="B318" s="27" t="str">
        <f>+ESPUMOSOS!A90</f>
        <v>MIONETTO PROSECCO DOC</v>
      </c>
      <c r="C318" s="27"/>
      <c r="D318" s="180">
        <f>+ESPUMOSOS!J93</f>
        <v>74596</v>
      </c>
      <c r="E318" s="122">
        <f>+ESPUMOSOS!J94</f>
        <v>180000</v>
      </c>
      <c r="F318" s="122">
        <f t="shared" si="96"/>
        <v>13333.333333333332</v>
      </c>
      <c r="G318" s="123">
        <f>+Tabla551810723519260282[[#This Row],[VENTA]]-Tabla551810723519260282[[#This Row],[ICO 8%]]</f>
        <v>166666.66666666666</v>
      </c>
      <c r="H318" s="124">
        <f>+Tabla551810723519260282[[#This Row],[COSTO]]/Tabla551810723519260282[[#This Row],[BASE]]</f>
        <v>0.44757600000000003</v>
      </c>
      <c r="I318" s="125">
        <f>+Tabla551810723519260282[[#This Row],[BASE]]/Tabla551810723519260282[[#This Row],[COSTO]]</f>
        <v>2.2342574222031564</v>
      </c>
      <c r="J318" s="126">
        <f>+VLOOKUP(Tabla551810723519260282[[#This Row],[ESPUMOSOS]],Tabla77[#All],3,0)</f>
        <v>1</v>
      </c>
      <c r="K318" s="127">
        <f t="shared" si="97"/>
        <v>213131.42857142858</v>
      </c>
      <c r="L318" s="181">
        <f t="shared" si="98"/>
        <v>15787.513227513227</v>
      </c>
      <c r="M318" s="128">
        <f>+Tabla551810723519260282[[#This Row],[PRECIO SUGERIDO]]+Tabla551810723519260282[[#This Row],[ICO2]]</f>
        <v>228918.94179894181</v>
      </c>
      <c r="N318" s="129">
        <v>186000</v>
      </c>
      <c r="O318" s="122">
        <f t="shared" si="99"/>
        <v>13777.777777777777</v>
      </c>
      <c r="P318" s="180">
        <f>+Tabla551810723519260282[[#This Row],[PRECIO N]]-Tabla551810723519260282[[#This Row],[Columna1]]</f>
        <v>172222.22222222222</v>
      </c>
      <c r="Q318" s="124">
        <f t="shared" si="100"/>
        <v>0.43313806451612902</v>
      </c>
      <c r="R318" s="182">
        <f>+Tabla551810723519260282[[#This Row],[PRECIO N]]/Tabla551810723519260282[[#This Row],[COSTO]]</f>
        <v>2.4934312831787229</v>
      </c>
    </row>
    <row r="319" spans="2:18" x14ac:dyDescent="0.3">
      <c r="B319" s="27" t="str">
        <f>+ESPUMOSOS!A113</f>
        <v>MIONETTO PROSECCO PIBA</v>
      </c>
      <c r="C319" s="27"/>
      <c r="D319" s="180">
        <f>+ESPUMOSOS!J116</f>
        <v>25110</v>
      </c>
      <c r="E319" s="122">
        <f>+ESPUMOSOS!J117</f>
        <v>65000</v>
      </c>
      <c r="F319" s="122">
        <f t="shared" si="96"/>
        <v>4814.8148148148148</v>
      </c>
      <c r="G319" s="123">
        <f>+Tabla551810723519260282[[#This Row],[VENTA]]-Tabla551810723519260282[[#This Row],[ICO 8%]]</f>
        <v>60185.185185185182</v>
      </c>
      <c r="H319" s="124">
        <f>+Tabla551810723519260282[[#This Row],[COSTO]]/Tabla551810723519260282[[#This Row],[BASE]]</f>
        <v>0.41721230769230772</v>
      </c>
      <c r="I319" s="125">
        <f>+Tabla551810723519260282[[#This Row],[BASE]]/Tabla551810723519260282[[#This Row],[COSTO]]</f>
        <v>2.396861218047996</v>
      </c>
      <c r="J319" s="126">
        <f>+VLOOKUP(Tabla551810723519260282[[#This Row],[ESPUMOSOS]],Tabla77[#All],3,0)</f>
        <v>5</v>
      </c>
      <c r="K319" s="127">
        <f t="shared" si="97"/>
        <v>71742.857142857145</v>
      </c>
      <c r="L319" s="181">
        <f t="shared" si="98"/>
        <v>5314.2857142857138</v>
      </c>
      <c r="M319" s="128">
        <f>+Tabla551810723519260282[[#This Row],[PRECIO SUGERIDO]]+Tabla551810723519260282[[#This Row],[ICO2]]</f>
        <v>77057.142857142855</v>
      </c>
      <c r="N319" s="129">
        <v>70000</v>
      </c>
      <c r="O319" s="122">
        <f t="shared" si="99"/>
        <v>5185.1851851851852</v>
      </c>
      <c r="P319" s="180">
        <f>+Tabla551810723519260282[[#This Row],[PRECIO N]]-Tabla551810723519260282[[#This Row],[Columna1]]</f>
        <v>64814.814814814818</v>
      </c>
      <c r="Q319" s="124">
        <f t="shared" si="100"/>
        <v>0.38741142857142857</v>
      </c>
      <c r="R319" s="182">
        <f>+Tabla551810723519260282[[#This Row],[PRECIO N]]/Tabla551810723519260282[[#This Row],[COSTO]]</f>
        <v>2.7877339705296693</v>
      </c>
    </row>
    <row r="320" spans="2:18" x14ac:dyDescent="0.3">
      <c r="B320" s="27" t="str">
        <f>+ESPUMOSOS!A176</f>
        <v>VINO PICCINI LAMBRUSCI TINTO REGNO DOC</v>
      </c>
      <c r="C320" s="27"/>
      <c r="D320" s="180">
        <f>+ESPUMOSOS!J179</f>
        <v>34242.5</v>
      </c>
      <c r="E320" s="122">
        <f>+ESPUMOSOS!J180</f>
        <v>110000</v>
      </c>
      <c r="F320" s="122">
        <f>+E320/1.08*0.08</f>
        <v>8148.1481481481469</v>
      </c>
      <c r="G320" s="123">
        <f>+Tabla551810723519260282[[#This Row],[VENTA]]-Tabla551810723519260282[[#This Row],[ICO 8%]]</f>
        <v>101851.85185185185</v>
      </c>
      <c r="H320" s="124">
        <f>+Tabla551810723519260282[[#This Row],[COSTO]]/Tabla551810723519260282[[#This Row],[BASE]]</f>
        <v>0.33619909090909089</v>
      </c>
      <c r="I320" s="125">
        <f>+Tabla551810723519260282[[#This Row],[BASE]]/Tabla551810723519260282[[#This Row],[COSTO]]</f>
        <v>2.9744280310097642</v>
      </c>
      <c r="J320" s="126" t="e">
        <f>+VLOOKUP(Tabla551810723519260282[[#This Row],[ESPUMOSOS]],Tabla77[#All],3,0)</f>
        <v>#N/A</v>
      </c>
      <c r="K320" s="130">
        <f>+D320/(100-65)*100</f>
        <v>97835.71428571429</v>
      </c>
      <c r="L320" s="181">
        <f>+K320/1.08*0.08</f>
        <v>7247.0899470899467</v>
      </c>
      <c r="M320" s="128">
        <f>+Tabla551810723519260282[[#This Row],[PRECIO SUGERIDO]]+Tabla551810723519260282[[#This Row],[ICO2]]</f>
        <v>105082.80423280424</v>
      </c>
      <c r="N320" s="129">
        <v>110000</v>
      </c>
      <c r="O320" s="122">
        <f t="shared" si="99"/>
        <v>8148.1481481481469</v>
      </c>
      <c r="P320" s="180">
        <f>+Tabla551810723519260282[[#This Row],[PRECIO N]]-Tabla551810723519260282[[#This Row],[Columna1]]</f>
        <v>101851.85185185185</v>
      </c>
      <c r="Q320" s="124">
        <f t="shared" si="100"/>
        <v>0.33619909090909089</v>
      </c>
      <c r="R320" s="182">
        <f>+Tabla551810723519260282[[#This Row],[PRECIO N]]/Tabla551810723519260282[[#This Row],[COSTO]]</f>
        <v>3.2123822734905452</v>
      </c>
    </row>
    <row r="321" spans="2:18" x14ac:dyDescent="0.3">
      <c r="B321" s="27" t="str">
        <f>+ESPUMOSOS!A188</f>
        <v>VINO PICCINI LAMBRUSCO ROSADO REGNO</v>
      </c>
      <c r="C321" s="27"/>
      <c r="D321" s="180">
        <f>+ESPUMOSOS!J191</f>
        <v>34226</v>
      </c>
      <c r="E321" s="122">
        <f>+ESPUMOSOS!J192</f>
        <v>110000</v>
      </c>
      <c r="F321" s="122">
        <f>+E321/1.08*0.08</f>
        <v>8148.1481481481469</v>
      </c>
      <c r="G321" s="123">
        <f>+Tabla551810723519260282[[#This Row],[VENTA]]-Tabla551810723519260282[[#This Row],[ICO 8%]]</f>
        <v>101851.85185185185</v>
      </c>
      <c r="H321" s="124">
        <f>+Tabla551810723519260282[[#This Row],[COSTO]]/Tabla551810723519260282[[#This Row],[BASE]]</f>
        <v>0.3360370909090909</v>
      </c>
      <c r="I321" s="125">
        <f>+Tabla551810723519260282[[#This Row],[BASE]]/Tabla551810723519260282[[#This Row],[COSTO]]</f>
        <v>2.97586197194682</v>
      </c>
      <c r="J321" s="126" t="e">
        <f>+VLOOKUP(Tabla551810723519260282[[#This Row],[ESPUMOSOS]],Tabla77[#All],3,0)</f>
        <v>#N/A</v>
      </c>
      <c r="K321" s="130">
        <f>+D321/(100-65)*100</f>
        <v>97788.57142857142</v>
      </c>
      <c r="L321" s="181">
        <f>+K321/1.08*0.08</f>
        <v>7243.5978835978822</v>
      </c>
      <c r="M321" s="128">
        <f>+Tabla551810723519260282[[#This Row],[PRECIO SUGERIDO]]+Tabla551810723519260282[[#This Row],[ICO2]]</f>
        <v>105032.16931216931</v>
      </c>
      <c r="N321" s="129">
        <v>110000</v>
      </c>
      <c r="O321" s="122">
        <f t="shared" si="99"/>
        <v>8148.1481481481469</v>
      </c>
      <c r="P321" s="180">
        <f>+Tabla551810723519260282[[#This Row],[PRECIO N]]-Tabla551810723519260282[[#This Row],[Columna1]]</f>
        <v>101851.85185185185</v>
      </c>
      <c r="Q321" s="124">
        <f t="shared" si="100"/>
        <v>0.3360370909090909</v>
      </c>
      <c r="R321" s="182">
        <f>+Tabla551810723519260282[[#This Row],[PRECIO N]]/Tabla551810723519260282[[#This Row],[COSTO]]</f>
        <v>3.2139309297025651</v>
      </c>
    </row>
    <row r="322" spans="2:18" x14ac:dyDescent="0.3">
      <c r="B322" s="27" t="s">
        <v>30</v>
      </c>
      <c r="C322" s="27"/>
      <c r="D322" s="162"/>
      <c r="E322" s="126"/>
      <c r="F322" s="126"/>
      <c r="G322" s="126"/>
      <c r="H322" s="131">
        <f>SUBTOTAL(101,Tabla551810723519260282[%])</f>
        <v>0.40089669297086983</v>
      </c>
      <c r="I322" s="126"/>
      <c r="J322" s="126"/>
      <c r="K322" s="93"/>
      <c r="L322" s="162"/>
      <c r="M322" s="126"/>
      <c r="N322" s="132"/>
      <c r="O322" s="126"/>
      <c r="P322" s="162"/>
      <c r="Q322" s="126"/>
      <c r="R322" s="182">
        <f>SUBTOTAL(109,Tabla551810723519260282[RATION])</f>
        <v>25.276329309916171</v>
      </c>
    </row>
    <row r="325" spans="2:18" x14ac:dyDescent="0.3">
      <c r="B325" s="116"/>
      <c r="C325" s="59"/>
      <c r="D325" s="137"/>
      <c r="E325" s="117" t="s">
        <v>21</v>
      </c>
      <c r="F325" s="116"/>
      <c r="G325" s="118"/>
      <c r="H325" s="116"/>
      <c r="I325" s="116"/>
      <c r="J325" s="93"/>
      <c r="K325" s="278" t="s">
        <v>25</v>
      </c>
      <c r="L325" s="278"/>
      <c r="M325" s="278"/>
      <c r="N325" s="59"/>
      <c r="O325" s="59"/>
      <c r="P325" s="118"/>
    </row>
    <row r="326" spans="2:18" x14ac:dyDescent="0.3">
      <c r="B326" s="177" t="s">
        <v>286</v>
      </c>
      <c r="C326" s="60" t="s">
        <v>111</v>
      </c>
      <c r="D326" s="178" t="s">
        <v>7</v>
      </c>
      <c r="E326" s="119" t="s">
        <v>16</v>
      </c>
      <c r="F326" s="120" t="s">
        <v>29</v>
      </c>
      <c r="G326" s="60" t="s">
        <v>22</v>
      </c>
      <c r="H326" s="121" t="s">
        <v>17</v>
      </c>
      <c r="I326" s="60" t="s">
        <v>18</v>
      </c>
      <c r="J326" s="60" t="s">
        <v>19</v>
      </c>
      <c r="K326" s="60" t="s">
        <v>23</v>
      </c>
      <c r="L326" s="178" t="s">
        <v>28</v>
      </c>
      <c r="M326" s="60" t="s">
        <v>24</v>
      </c>
      <c r="N326" s="133" t="s">
        <v>26</v>
      </c>
      <c r="O326" s="178" t="s">
        <v>343</v>
      </c>
      <c r="P326" s="178" t="s">
        <v>21</v>
      </c>
      <c r="Q326" s="121" t="s">
        <v>27</v>
      </c>
      <c r="R326" s="179" t="s">
        <v>20</v>
      </c>
    </row>
    <row r="327" spans="2:18" x14ac:dyDescent="0.3">
      <c r="B327" s="27" t="str">
        <f>+PISCO!B6</f>
        <v>PISCO QUEBRANTA</v>
      </c>
      <c r="C327" s="27"/>
      <c r="D327" s="180">
        <f>+PISCO!I9</f>
        <v>81360</v>
      </c>
      <c r="E327" s="122">
        <f>+PISCO!I10</f>
        <v>219000</v>
      </c>
      <c r="F327" s="122">
        <f>+E327/1.08*0.08</f>
        <v>16222.222222222221</v>
      </c>
      <c r="G327" s="123">
        <f>+Tabla551810723519260305[[#This Row],[VENTA]]-Tabla551810723519260305[[#This Row],[ICO 8%]]</f>
        <v>202777.77777777778</v>
      </c>
      <c r="H327" s="124">
        <f>+Tabla551810723519260305[[#This Row],[COSTO]]/Tabla551810723519260305[[#This Row],[BASE]]</f>
        <v>0.40122739726027395</v>
      </c>
      <c r="I327" s="125">
        <f>+Tabla551810723519260305[[#This Row],[BASE]]/Tabla551810723519260305[[#This Row],[COSTO]]</f>
        <v>2.4923522342401401</v>
      </c>
      <c r="J327" s="126" t="e">
        <f>+VLOOKUP(Tabla551810723519260305[[#This Row],[PISCO]],Tabla77[#All],3,0)</f>
        <v>#N/A</v>
      </c>
      <c r="K327" s="136">
        <f t="shared" ref="K327:K332" si="101">+D327/(100-60)*100</f>
        <v>203400</v>
      </c>
      <c r="L327" s="180">
        <f>+K327/1.08*0.08</f>
        <v>15066.666666666666</v>
      </c>
      <c r="M327" s="123">
        <f>+Tabla551810723519260305[[#This Row],[PRECIO SUGERIDO]]+Tabla551810723519260305[[#This Row],[ICO2]]</f>
        <v>218466.66666666666</v>
      </c>
      <c r="N327" s="129">
        <v>180000</v>
      </c>
      <c r="O327" s="122">
        <f t="shared" ref="O327:O332" si="102">+N327/1.08*0.08</f>
        <v>13333.333333333332</v>
      </c>
      <c r="P327" s="180">
        <f>+Tabla551810723519260305[[#This Row],[PRECIO N]]-Tabla551810723519260305[[#This Row],[Columna1]]</f>
        <v>166666.66666666666</v>
      </c>
      <c r="Q327" s="124">
        <f>+Tabla551810723519260305[[#This Row],[COSTO]]/Tabla551810723519260305[[#This Row],[CARTA]]</f>
        <v>0.48816000000000004</v>
      </c>
      <c r="R327" s="182">
        <f>+Tabla551810723519260305[[#This Row],[PRECIO N]]/Tabla551810723519260305[[#This Row],[COSTO]]</f>
        <v>2.2123893805309733</v>
      </c>
    </row>
    <row r="328" spans="2:18" x14ac:dyDescent="0.3">
      <c r="B328" s="27" t="str">
        <f>+PISCO!B20</f>
        <v>PISCO BARSOL ACHOLADO</v>
      </c>
      <c r="C328" s="27"/>
      <c r="D328" s="180">
        <f>+PISCO!I23</f>
        <v>103999.99999991999</v>
      </c>
      <c r="E328" s="122">
        <f>+PISCO!I24</f>
        <v>267500</v>
      </c>
      <c r="F328" s="122">
        <f>+E328/1.08*0.08</f>
        <v>19814.814814814814</v>
      </c>
      <c r="G328" s="123">
        <f>+Tabla551810723519260305[[#This Row],[VENTA]]-Tabla551810723519260305[[#This Row],[ICO 8%]]</f>
        <v>247685.1851851852</v>
      </c>
      <c r="H328" s="124">
        <f>+Tabla551810723519260305[[#This Row],[COSTO]]/Tabla551810723519260305[[#This Row],[BASE]]</f>
        <v>0.41988785046696669</v>
      </c>
      <c r="I328" s="125">
        <f>+Tabla551810723519260305[[#This Row],[BASE]]/Tabla551810723519260305[[#This Row],[COSTO]]</f>
        <v>2.3815883190901515</v>
      </c>
      <c r="J328" s="126" t="e">
        <f>+VLOOKUP(Tabla551810723519260305[[#This Row],[PISCO]],Tabla77[#All],3,0)</f>
        <v>#N/A</v>
      </c>
      <c r="K328" s="136">
        <f t="shared" si="101"/>
        <v>259999.9999998</v>
      </c>
      <c r="L328" s="180">
        <f>+K328/1.08*0.08</f>
        <v>19259.259259244445</v>
      </c>
      <c r="M328" s="123">
        <f>+Tabla551810723519260305[[#This Row],[PRECIO SUGERIDO]]+Tabla551810723519260305[[#This Row],[ICO2]]</f>
        <v>279259.25925904443</v>
      </c>
      <c r="N328" s="129">
        <v>260000</v>
      </c>
      <c r="O328" s="122">
        <f t="shared" si="102"/>
        <v>19259.259259259259</v>
      </c>
      <c r="P328" s="180">
        <f>+Tabla551810723519260305[[#This Row],[PRECIO N]]-Tabla551810723519260305[[#This Row],[Columna1]]</f>
        <v>240740.74074074073</v>
      </c>
      <c r="Q328" s="124">
        <f>+Tabla551810723519260305[[#This Row],[COSTO]]/Tabla551810723519260305[[#This Row],[CARTA]]</f>
        <v>0.43199999999966771</v>
      </c>
      <c r="R328" s="182">
        <f>+Tabla551810723519260305[[#This Row],[PRECIO N]]/Tabla551810723519260305[[#This Row],[COSTO]]</f>
        <v>2.5000000000019234</v>
      </c>
    </row>
    <row r="329" spans="2:18" x14ac:dyDescent="0.3">
      <c r="B329" s="27" t="str">
        <f>+PISCO!B33</f>
        <v>PISCO BARSOL MOSTO VERDE ITALIA</v>
      </c>
      <c r="C329" s="27"/>
      <c r="D329" s="180">
        <f>+PISCO!I36</f>
        <v>151272</v>
      </c>
      <c r="E329" s="122">
        <f>+PISCO!I37</f>
        <v>375300</v>
      </c>
      <c r="F329" s="122">
        <f>+E329/1.08*0.08</f>
        <v>27800</v>
      </c>
      <c r="G329" s="123">
        <f>+Tabla551810723519260305[[#This Row],[VENTA]]-Tabla551810723519260305[[#This Row],[ICO 8%]]</f>
        <v>347500</v>
      </c>
      <c r="H329" s="124">
        <f>+Tabla551810723519260305[[#This Row],[COSTO]]/Tabla551810723519260305[[#This Row],[BASE]]</f>
        <v>0.43531510791366906</v>
      </c>
      <c r="I329" s="125">
        <f>+Tabla551810723519260305[[#This Row],[BASE]]/Tabla551810723519260305[[#This Row],[COSTO]]</f>
        <v>2.2971865249352161</v>
      </c>
      <c r="J329" s="126" t="e">
        <f>+VLOOKUP(Tabla551810723519260305[[#This Row],[PISCO]],Tabla77[#All],3,0)</f>
        <v>#N/A</v>
      </c>
      <c r="K329" s="136">
        <f t="shared" si="101"/>
        <v>378180</v>
      </c>
      <c r="L329" s="180">
        <f>+K329/1.08*0.08</f>
        <v>28013.333333333332</v>
      </c>
      <c r="M329" s="123">
        <f>+Tabla551810723519260305[[#This Row],[PRECIO SUGERIDO]]+Tabla551810723519260305[[#This Row],[ICO2]]</f>
        <v>406193.33333333331</v>
      </c>
      <c r="N329" s="129">
        <v>350000</v>
      </c>
      <c r="O329" s="122">
        <f t="shared" si="102"/>
        <v>25925.925925925923</v>
      </c>
      <c r="P329" s="180">
        <f>+Tabla551810723519260305[[#This Row],[PRECIO N]]-Tabla551810723519260305[[#This Row],[Columna1]]</f>
        <v>324074.0740740741</v>
      </c>
      <c r="Q329" s="124">
        <f>+Tabla551810723519260305[[#This Row],[COSTO]]/Tabla551810723519260305[[#This Row],[CARTA]]</f>
        <v>0.46678217142857137</v>
      </c>
      <c r="R329" s="182">
        <f>+Tabla551810723519260305[[#This Row],[PRECIO N]]/Tabla551810723519260305[[#This Row],[COSTO]]</f>
        <v>2.3137130466973397</v>
      </c>
    </row>
    <row r="330" spans="2:18" x14ac:dyDescent="0.3">
      <c r="B330" s="27" t="str">
        <f>+PISCO!B45</f>
        <v xml:space="preserve">TRAGO PISCO QUEBRANTA </v>
      </c>
      <c r="C330" s="27"/>
      <c r="D330" s="180">
        <f>+PISCO!I48</f>
        <v>6780</v>
      </c>
      <c r="E330" s="122">
        <f>+PISCO!I49</f>
        <v>13500</v>
      </c>
      <c r="F330" s="122">
        <f>+E330/1.08*0.08</f>
        <v>1000</v>
      </c>
      <c r="G330" s="123">
        <f>+Tabla551810723519260305[[#This Row],[VENTA]]-Tabla551810723519260305[[#This Row],[ICO 8%]]</f>
        <v>12500</v>
      </c>
      <c r="H330" s="124">
        <f>+Tabla551810723519260305[[#This Row],[COSTO]]/Tabla551810723519260305[[#This Row],[BASE]]</f>
        <v>0.54239999999999999</v>
      </c>
      <c r="I330" s="125">
        <f>+Tabla551810723519260305[[#This Row],[BASE]]/Tabla551810723519260305[[#This Row],[COSTO]]</f>
        <v>1.8436578171091444</v>
      </c>
      <c r="J330" s="126">
        <f>+VLOOKUP(Tabla551810723519260305[[#This Row],[PISCO]],Tabla77[#All],3,0)</f>
        <v>13</v>
      </c>
      <c r="K330" s="136">
        <f t="shared" si="101"/>
        <v>16950</v>
      </c>
      <c r="L330" s="180">
        <f>+K330/1.08*0.08</f>
        <v>1255.5555555555554</v>
      </c>
      <c r="M330" s="123">
        <f>+Tabla551810723519260305[[#This Row],[PRECIO SUGERIDO]]+Tabla551810723519260305[[#This Row],[ICO2]]</f>
        <v>18205.555555555555</v>
      </c>
      <c r="N330" s="129">
        <v>14000</v>
      </c>
      <c r="O330" s="122">
        <f t="shared" si="102"/>
        <v>1037.037037037037</v>
      </c>
      <c r="P330" s="180">
        <f>+Tabla551810723519260305[[#This Row],[PRECIO N]]-Tabla551810723519260305[[#This Row],[Columna1]]</f>
        <v>12962.962962962964</v>
      </c>
      <c r="Q330" s="124">
        <f>+Tabla551810723519260305[[#This Row],[COSTO]]/Tabla551810723519260305[[#This Row],[CARTA]]</f>
        <v>0.5230285714285714</v>
      </c>
      <c r="R330" s="182">
        <f>+Tabla551810723519260305[[#This Row],[PRECIO N]]/Tabla551810723519260305[[#This Row],[COSTO]]</f>
        <v>2.0648967551622417</v>
      </c>
    </row>
    <row r="331" spans="2:18" x14ac:dyDescent="0.3">
      <c r="B331" s="27" t="str">
        <f>+PISCO!B57</f>
        <v>TRAGO PISCO ACHOLADO</v>
      </c>
      <c r="C331" s="27"/>
      <c r="D331" s="180">
        <f>+PISCO!I60</f>
        <v>8666.6666666599995</v>
      </c>
      <c r="E331" s="122">
        <f>+PISCO!I61</f>
        <v>17000</v>
      </c>
      <c r="F331" s="122">
        <f>+E331/1.08*0.08</f>
        <v>1259.2592592592591</v>
      </c>
      <c r="G331" s="123">
        <f>+Tabla551810723519260305[[#This Row],[VENTA]]-Tabla551810723519260305[[#This Row],[ICO 8%]]</f>
        <v>15740.740740740741</v>
      </c>
      <c r="H331" s="124">
        <f>+Tabla551810723519260305[[#This Row],[COSTO]]/Tabla551810723519260305[[#This Row],[BASE]]</f>
        <v>0.55058823529369405</v>
      </c>
      <c r="I331" s="125">
        <f>+Tabla551810723519260305[[#This Row],[BASE]]/Tabla551810723519260305[[#This Row],[COSTO]]</f>
        <v>1.8162393162407136</v>
      </c>
      <c r="J331" s="126">
        <f>+VLOOKUP(Tabla551810723519260305[[#This Row],[PISCO]],Tabla77[#All],3,0)</f>
        <v>1</v>
      </c>
      <c r="K331" s="136">
        <f t="shared" si="101"/>
        <v>21666.666666649999</v>
      </c>
      <c r="L331" s="180">
        <f>+K331/1.08*0.08</f>
        <v>1604.9382716037037</v>
      </c>
      <c r="M331" s="123">
        <f>+Tabla551810723519260305[[#This Row],[PRECIO SUGERIDO]]+Tabla551810723519260305[[#This Row],[ICO2]]</f>
        <v>23271.604938253702</v>
      </c>
      <c r="N331" s="129">
        <v>21000</v>
      </c>
      <c r="O331" s="122">
        <f t="shared" si="102"/>
        <v>1555.5555555555554</v>
      </c>
      <c r="P331" s="180">
        <f>+Tabla551810723519260305[[#This Row],[PRECIO N]]-Tabla551810723519260305[[#This Row],[Columna1]]</f>
        <v>19444.444444444445</v>
      </c>
      <c r="Q331" s="124">
        <f>+Tabla551810723519260305[[#This Row],[COSTO]]/Tabla551810723519260305[[#This Row],[CARTA]]</f>
        <v>0.44571428571394284</v>
      </c>
      <c r="R331" s="182">
        <f>+Tabla551810723519260305[[#This Row],[PRECIO N]]/Tabla551810723519260305[[#This Row],[COSTO]]</f>
        <v>2.4230769230787872</v>
      </c>
    </row>
    <row r="332" spans="2:18" x14ac:dyDescent="0.3">
      <c r="B332" s="27" t="str">
        <f>+PISCO!B69</f>
        <v>TRAGO DE PISCO MOSTOVERDE</v>
      </c>
      <c r="C332" s="27"/>
      <c r="D332" s="180">
        <f>+PISCO!I72</f>
        <v>12606</v>
      </c>
      <c r="E332" s="122">
        <f>+PISCO!I73</f>
        <v>23000</v>
      </c>
      <c r="F332" s="122">
        <f t="shared" ref="F332" si="103">+E332/1.08*0.08</f>
        <v>1703.7037037037037</v>
      </c>
      <c r="G332" s="123">
        <f>+Tabla551810723519260305[[#This Row],[VENTA]]-Tabla551810723519260305[[#This Row],[ICO 8%]]</f>
        <v>21296.296296296296</v>
      </c>
      <c r="H332" s="124">
        <f>+Tabla551810723519260305[[#This Row],[COSTO]]/Tabla551810723519260305[[#This Row],[BASE]]</f>
        <v>0.59193391304347831</v>
      </c>
      <c r="I332" s="125">
        <f>+Tabla551810723519260305[[#This Row],[BASE]]/Tabla551810723519260305[[#This Row],[COSTO]]</f>
        <v>1.6893777801282164</v>
      </c>
      <c r="J332" s="126">
        <f>+VLOOKUP(Tabla551810723519260305[[#This Row],[PISCO]],Tabla77[#All],3,0)</f>
        <v>1</v>
      </c>
      <c r="K332" s="136">
        <f t="shared" si="101"/>
        <v>31514.999999999996</v>
      </c>
      <c r="L332" s="180">
        <f t="shared" ref="L332" si="104">+K332/1.08*0.08</f>
        <v>2334.4444444444443</v>
      </c>
      <c r="M332" s="123">
        <f>+Tabla551810723519260305[[#This Row],[PRECIO SUGERIDO]]+Tabla551810723519260305[[#This Row],[ICO2]]</f>
        <v>33849.444444444438</v>
      </c>
      <c r="N332" s="129">
        <v>29000</v>
      </c>
      <c r="O332" s="122">
        <f t="shared" si="102"/>
        <v>2148.1481481481483</v>
      </c>
      <c r="P332" s="180">
        <f>+Tabla551810723519260305[[#This Row],[PRECIO N]]-Tabla551810723519260305[[#This Row],[Columna1]]</f>
        <v>26851.85185185185</v>
      </c>
      <c r="Q332" s="124">
        <f>+Tabla551810723519260305[[#This Row],[COSTO]]/Tabla551810723519260305[[#This Row],[CARTA]]</f>
        <v>0.46946482758620695</v>
      </c>
      <c r="R332" s="182">
        <f>+Tabla551810723519260305[[#This Row],[PRECIO N]]/Tabla551810723519260305[[#This Row],[COSTO]]</f>
        <v>2.3004918292876408</v>
      </c>
    </row>
    <row r="333" spans="2:18" x14ac:dyDescent="0.3">
      <c r="B333" s="27" t="s">
        <v>30</v>
      </c>
      <c r="C333" s="27"/>
      <c r="D333" s="162"/>
      <c r="E333" s="126"/>
      <c r="F333" s="126"/>
      <c r="G333" s="126"/>
      <c r="H333" s="131">
        <f>SUBTOTAL(101,Tabla551810723519260305[%])</f>
        <v>0.49022541732968034</v>
      </c>
      <c r="I333" s="126"/>
      <c r="J333" s="126"/>
      <c r="K333" s="93"/>
      <c r="L333" s="162"/>
      <c r="M333" s="126"/>
      <c r="N333" s="132"/>
      <c r="O333" s="126"/>
      <c r="P333" s="162"/>
      <c r="Q333" s="126"/>
      <c r="R333" s="182">
        <f>SUBTOTAL(109,Tabla551810723519260305[RATION])</f>
        <v>13.814567934758905</v>
      </c>
    </row>
    <row r="338" spans="2:18" x14ac:dyDescent="0.3">
      <c r="B338" s="116"/>
      <c r="C338" s="59"/>
      <c r="D338" s="137"/>
      <c r="E338" s="117" t="s">
        <v>21</v>
      </c>
      <c r="F338" s="116"/>
      <c r="G338" s="118"/>
      <c r="H338" s="116"/>
      <c r="I338" s="116"/>
      <c r="J338" s="93"/>
      <c r="K338" s="278" t="s">
        <v>25</v>
      </c>
      <c r="L338" s="278"/>
      <c r="M338" s="278"/>
      <c r="N338" s="59"/>
      <c r="O338" s="59"/>
      <c r="P338" s="118"/>
    </row>
    <row r="339" spans="2:18" x14ac:dyDescent="0.3">
      <c r="B339" s="177" t="s">
        <v>287</v>
      </c>
      <c r="C339" s="60" t="s">
        <v>111</v>
      </c>
      <c r="D339" s="178" t="s">
        <v>7</v>
      </c>
      <c r="E339" s="119" t="s">
        <v>16</v>
      </c>
      <c r="F339" s="120" t="s">
        <v>29</v>
      </c>
      <c r="G339" s="60" t="s">
        <v>22</v>
      </c>
      <c r="H339" s="121" t="s">
        <v>17</v>
      </c>
      <c r="I339" s="60" t="s">
        <v>18</v>
      </c>
      <c r="J339" s="60" t="s">
        <v>19</v>
      </c>
      <c r="K339" s="60" t="s">
        <v>23</v>
      </c>
      <c r="L339" s="178" t="s">
        <v>28</v>
      </c>
      <c r="M339" s="60" t="s">
        <v>24</v>
      </c>
      <c r="N339" s="133" t="s">
        <v>26</v>
      </c>
      <c r="O339" s="178" t="s">
        <v>343</v>
      </c>
      <c r="P339" s="178" t="s">
        <v>21</v>
      </c>
      <c r="Q339" s="121" t="s">
        <v>27</v>
      </c>
      <c r="R339" s="179" t="s">
        <v>20</v>
      </c>
    </row>
    <row r="340" spans="2:18" x14ac:dyDescent="0.3">
      <c r="B340" s="27" t="str">
        <f>+AGUARDIENTE!B6</f>
        <v>BOTELLA DE AGUARDIENTE ANTIOQUEÃ‘O TAPA AZUL</v>
      </c>
      <c r="C340" s="27"/>
      <c r="D340" s="180">
        <f>+AGUARDIENTE!I9</f>
        <v>45556.999999920001</v>
      </c>
      <c r="E340" s="122">
        <f>+AGUARDIENTE!I10</f>
        <v>145000</v>
      </c>
      <c r="F340" s="122">
        <f>+E340/1.08*0.08</f>
        <v>10740.740740740739</v>
      </c>
      <c r="G340" s="123">
        <f>+Tabla551810723519260305309[[#This Row],[VENTA]]-Tabla551810723519260305309[[#This Row],[ICO 8%]]</f>
        <v>134259.25925925927</v>
      </c>
      <c r="H340" s="124">
        <f>+Tabla551810723519260305309[[#This Row],[COSTO]]/Tabla551810723519260305309[[#This Row],[BASE]]</f>
        <v>0.33932110344767996</v>
      </c>
      <c r="I340" s="125">
        <f>+Tabla551810723519260305309[[#This Row],[BASE]]/Tabla551810723519260305309[[#This Row],[COSTO]]</f>
        <v>2.9470610281514373</v>
      </c>
      <c r="J340" s="126">
        <f>+VLOOKUP(Tabla551810723519260305309[[#This Row],[AGUARDIENTE]],Tabla77[#All],3,0)</f>
        <v>2</v>
      </c>
      <c r="K340" s="136">
        <f t="shared" ref="K340:K342" si="105">+D340/(100-75)*100</f>
        <v>182227.99999968</v>
      </c>
      <c r="L340" s="180">
        <f>+K340/1.08*0.08</f>
        <v>13498.370370346667</v>
      </c>
      <c r="M340" s="123">
        <f>+Tabla551810723519260305309[[#This Row],[PRECIO SUGERIDO]]+Tabla551810723519260305309[[#This Row],[ICO2]]</f>
        <v>195726.37037002668</v>
      </c>
      <c r="N340" s="129">
        <v>160000</v>
      </c>
      <c r="O340" s="122">
        <f t="shared" ref="O340:O342" si="106">+N340/1.08*0.08</f>
        <v>11851.851851851852</v>
      </c>
      <c r="P340" s="180">
        <f>+Tabla551810723519260305309[[#This Row],[PRECIO N]]-Tabla551810723519260305309[[#This Row],[Columna1]]</f>
        <v>148148.14814814815</v>
      </c>
      <c r="Q340" s="124">
        <f>+Tabla551810723519260305309[[#This Row],[COSTO]]/Tabla551810723519260305309[[#This Row],[CARTA]]</f>
        <v>0.30750974999946001</v>
      </c>
      <c r="R340" s="182">
        <f>+Tabla551810723519260305309[[#This Row],[PRECIO N]]/Tabla551810723519260305309[[#This Row],[COSTO]]</f>
        <v>3.5120837632039197</v>
      </c>
    </row>
    <row r="341" spans="2:18" x14ac:dyDescent="0.3">
      <c r="B341" s="27" t="str">
        <f>+AGUARDIENTE!B19</f>
        <v>MEDIA AGUARDIENTE AZUL</v>
      </c>
      <c r="C341" s="27"/>
      <c r="D341" s="180">
        <f>+AGUARDIENTE!I22</f>
        <v>24403</v>
      </c>
      <c r="E341" s="122">
        <f>+AGUARDIENTE!I23</f>
        <v>80000</v>
      </c>
      <c r="F341" s="122">
        <f>+E341/1.08*0.08</f>
        <v>5925.9259259259261</v>
      </c>
      <c r="G341" s="123">
        <f>+Tabla551810723519260305309[[#This Row],[VENTA]]-Tabla551810723519260305309[[#This Row],[ICO 8%]]</f>
        <v>74074.074074074073</v>
      </c>
      <c r="H341" s="124">
        <f>+Tabla551810723519260305309[[#This Row],[COSTO]]/Tabla551810723519260305309[[#This Row],[BASE]]</f>
        <v>0.32944050000000002</v>
      </c>
      <c r="I341" s="125">
        <f>+Tabla551810723519260305309[[#This Row],[BASE]]/Tabla551810723519260305309[[#This Row],[COSTO]]</f>
        <v>3.035449496950132</v>
      </c>
      <c r="J341" s="126">
        <f>+VLOOKUP(Tabla551810723519260305309[[#This Row],[AGUARDIENTE]],Tabla77[#All],3,0)</f>
        <v>6</v>
      </c>
      <c r="K341" s="136">
        <f t="shared" si="105"/>
        <v>97612</v>
      </c>
      <c r="L341" s="180">
        <f>+K341/1.08*0.08</f>
        <v>7230.5185185185182</v>
      </c>
      <c r="M341" s="123">
        <f>+Tabla551810723519260305309[[#This Row],[PRECIO SUGERIDO]]+Tabla551810723519260305309[[#This Row],[ICO2]]</f>
        <v>104842.51851851851</v>
      </c>
      <c r="N341" s="129">
        <v>80000</v>
      </c>
      <c r="O341" s="122">
        <f t="shared" si="106"/>
        <v>5925.9259259259261</v>
      </c>
      <c r="P341" s="180">
        <f>+Tabla551810723519260305309[[#This Row],[PRECIO N]]-Tabla551810723519260305309[[#This Row],[Columna1]]</f>
        <v>74074.074074074073</v>
      </c>
      <c r="Q341" s="124">
        <f>+Tabla551810723519260305309[[#This Row],[COSTO]]/Tabla551810723519260305309[[#This Row],[CARTA]]</f>
        <v>0.32944050000000002</v>
      </c>
      <c r="R341" s="182">
        <f>+Tabla551810723519260305309[[#This Row],[PRECIO N]]/Tabla551810723519260305309[[#This Row],[COSTO]]</f>
        <v>3.2782854567061426</v>
      </c>
    </row>
    <row r="342" spans="2:18" x14ac:dyDescent="0.3">
      <c r="B342" s="27" t="str">
        <f>+AGUARDIENTE!B30</f>
        <v>TRAGO AGUARDIENTE AZUL</v>
      </c>
      <c r="C342" s="27"/>
      <c r="D342" s="180">
        <f>+AGUARDIENTE!I33</f>
        <v>3796.4166666599999</v>
      </c>
      <c r="E342" s="122">
        <f>+AGUARDIENTE!I34</f>
        <v>13900</v>
      </c>
      <c r="F342" s="122">
        <f>+E342/1.08*0.08</f>
        <v>1029.6296296296296</v>
      </c>
      <c r="G342" s="123">
        <f>+Tabla551810723519260305309[[#This Row],[VENTA]]-Tabla551810723519260305309[[#This Row],[ICO 8%]]</f>
        <v>12870.37037037037</v>
      </c>
      <c r="H342" s="124">
        <f>+Tabla551810723519260305309[[#This Row],[COSTO]]/Tabla551810723519260305309[[#This Row],[BASE]]</f>
        <v>0.29497338129444606</v>
      </c>
      <c r="I342" s="125">
        <f>+Tabla551810723519260305309[[#This Row],[BASE]]/Tabla551810723519260305309[[#This Row],[COSTO]]</f>
        <v>3.3901364103148945</v>
      </c>
      <c r="J342" s="126">
        <f>+VLOOKUP(Tabla551810723519260305309[[#This Row],[AGUARDIENTE]],Tabla77[#All],3,0)</f>
        <v>20</v>
      </c>
      <c r="K342" s="136">
        <f t="shared" si="105"/>
        <v>15185.66666664</v>
      </c>
      <c r="L342" s="180">
        <f>+K342/1.08*0.08</f>
        <v>1124.8641975288888</v>
      </c>
      <c r="M342" s="123">
        <f>+Tabla551810723519260305309[[#This Row],[PRECIO SUGERIDO]]+Tabla551810723519260305309[[#This Row],[ICO2]]</f>
        <v>16310.530864168888</v>
      </c>
      <c r="N342" s="129">
        <v>15000</v>
      </c>
      <c r="O342" s="122">
        <f t="shared" si="106"/>
        <v>1111.1111111111111</v>
      </c>
      <c r="P342" s="180">
        <f>+Tabla551810723519260305309[[#This Row],[PRECIO N]]-Tabla551810723519260305309[[#This Row],[Columna1]]</f>
        <v>13888.888888888889</v>
      </c>
      <c r="Q342" s="124">
        <f>+Tabla551810723519260305309[[#This Row],[COSTO]]/Tabla551810723519260305309[[#This Row],[CARTA]]</f>
        <v>0.27334199999952002</v>
      </c>
      <c r="R342" s="182">
        <f>+Tabla551810723519260305309[[#This Row],[PRECIO N]]/Tabla551810723519260305309[[#This Row],[COSTO]]</f>
        <v>3.9510942336044095</v>
      </c>
    </row>
    <row r="343" spans="2:18" x14ac:dyDescent="0.3">
      <c r="B343" s="27" t="s">
        <v>30</v>
      </c>
      <c r="C343" s="27"/>
      <c r="D343" s="162"/>
      <c r="E343" s="126"/>
      <c r="F343" s="126"/>
      <c r="G343" s="126"/>
      <c r="H343" s="131">
        <f>SUBTOTAL(101,Tabla551810723519260305309[%])</f>
        <v>0.32124499491404201</v>
      </c>
      <c r="I343" s="126"/>
      <c r="J343" s="126"/>
      <c r="K343" s="93"/>
      <c r="L343" s="162"/>
      <c r="M343" s="126"/>
      <c r="N343" s="132"/>
      <c r="O343" s="126"/>
      <c r="P343" s="162"/>
      <c r="Q343" s="126"/>
      <c r="R343" s="182">
        <f>SUBTOTAL(109,Tabla551810723519260305309[RATION])</f>
        <v>10.741463453514472</v>
      </c>
    </row>
    <row r="348" spans="2:18" x14ac:dyDescent="0.3">
      <c r="B348" s="116"/>
      <c r="C348" s="59"/>
      <c r="D348" s="137"/>
      <c r="E348" s="117" t="s">
        <v>21</v>
      </c>
      <c r="F348" s="116"/>
      <c r="G348" s="118"/>
      <c r="H348" s="116"/>
      <c r="I348" s="116"/>
      <c r="J348" s="93"/>
      <c r="K348" s="278" t="s">
        <v>25</v>
      </c>
      <c r="L348" s="278"/>
      <c r="M348" s="278"/>
      <c r="N348" s="59"/>
      <c r="O348" s="59"/>
      <c r="P348" s="118"/>
    </row>
    <row r="349" spans="2:18" x14ac:dyDescent="0.3">
      <c r="B349" s="177" t="s">
        <v>288</v>
      </c>
      <c r="C349" s="60" t="s">
        <v>111</v>
      </c>
      <c r="D349" s="178" t="s">
        <v>7</v>
      </c>
      <c r="E349" s="119" t="s">
        <v>16</v>
      </c>
      <c r="F349" s="120" t="s">
        <v>29</v>
      </c>
      <c r="G349" s="60" t="s">
        <v>22</v>
      </c>
      <c r="H349" s="121" t="s">
        <v>17</v>
      </c>
      <c r="I349" s="60" t="s">
        <v>18</v>
      </c>
      <c r="J349" s="60" t="s">
        <v>19</v>
      </c>
      <c r="K349" s="60" t="s">
        <v>23</v>
      </c>
      <c r="L349" s="178" t="s">
        <v>28</v>
      </c>
      <c r="M349" s="60" t="s">
        <v>24</v>
      </c>
      <c r="N349" s="133" t="s">
        <v>26</v>
      </c>
      <c r="O349" s="178" t="s">
        <v>343</v>
      </c>
      <c r="P349" s="178" t="s">
        <v>21</v>
      </c>
      <c r="Q349" s="121" t="s">
        <v>27</v>
      </c>
      <c r="R349" s="179" t="s">
        <v>20</v>
      </c>
    </row>
    <row r="350" spans="2:18" x14ac:dyDescent="0.3">
      <c r="B350" s="27" t="str">
        <f>+RON!B6</f>
        <v>RON MEDELLIN 8 AÃ‘OS</v>
      </c>
      <c r="C350" s="27"/>
      <c r="D350" s="180">
        <f>+RON!I9</f>
        <v>70078.000000079992</v>
      </c>
      <c r="E350" s="122">
        <f>+RON!I10</f>
        <v>296000</v>
      </c>
      <c r="F350" s="122">
        <f>+E350/1.08*0.08</f>
        <v>21925.925925925923</v>
      </c>
      <c r="G350" s="123">
        <f>+Tabla551810723519260305310[[#This Row],[VENTA]]-Tabla551810723519260305310[[#This Row],[ICO 8%]]</f>
        <v>274074.0740740741</v>
      </c>
      <c r="H350" s="124">
        <f>+Tabla551810723519260305310[[#This Row],[COSTO]]/Tabla551810723519260305310[[#This Row],[BASE]]</f>
        <v>0.25569000000029185</v>
      </c>
      <c r="I350" s="125">
        <f>+Tabla551810723519260305310[[#This Row],[BASE]]/Tabla551810723519260305310[[#This Row],[COSTO]]</f>
        <v>3.9109859595559415</v>
      </c>
      <c r="J350" s="126">
        <f>+VLOOKUP(Tabla551810723519260305310[[#This Row],[RON]],Tabla77[#All],3,0)</f>
        <v>1</v>
      </c>
      <c r="K350" s="136">
        <f t="shared" ref="K350:K356" si="107">+D350/(100-40)*100</f>
        <v>116796.66666679998</v>
      </c>
      <c r="L350" s="180">
        <f>+K350/1.08*0.08</f>
        <v>8651.6049382814799</v>
      </c>
      <c r="M350" s="123">
        <f>+Tabla551810723519260305310[[#This Row],[PRECIO SUGERIDO]]+Tabla551810723519260305310[[#This Row],[ICO2]]</f>
        <v>125448.27160508146</v>
      </c>
      <c r="N350" s="129">
        <v>180000</v>
      </c>
      <c r="O350" s="122">
        <f t="shared" ref="O350:O356" si="108">+N350/1.08*0.08</f>
        <v>13333.333333333332</v>
      </c>
      <c r="P350" s="180">
        <f>+Tabla551810723519260305310[[#This Row],[PRECIO N]]-Tabla551810723519260305310[[#This Row],[Columna1]]</f>
        <v>166666.66666666666</v>
      </c>
      <c r="Q350" s="124">
        <f>+Tabla551810723519260305310[[#This Row],[COSTO]]/Tabla551810723519260305310[[#This Row],[CARTA]]</f>
        <v>0.42046800000047996</v>
      </c>
      <c r="R350" s="182">
        <f>+Tabla551810723519260305310[[#This Row],[PRECIO N]]/Tabla551810723519260305310[[#This Row],[COSTO]]</f>
        <v>2.5685664545191722</v>
      </c>
    </row>
    <row r="351" spans="2:18" x14ac:dyDescent="0.3">
      <c r="B351" s="27" t="str">
        <f>+RON!B18</f>
        <v xml:space="preserve">MEDIA RON MEDELLIN 8 AÑOS </v>
      </c>
      <c r="C351" s="27"/>
      <c r="D351" s="180">
        <f>+RON!I21</f>
        <v>41250</v>
      </c>
      <c r="E351" s="122">
        <f>+RON!I22</f>
        <v>135000</v>
      </c>
      <c r="F351" s="122">
        <f>+E351/1.08*0.08</f>
        <v>9999.9999999999982</v>
      </c>
      <c r="G351" s="123">
        <f>+Tabla551810723519260305310[[#This Row],[VENTA]]-Tabla551810723519260305310[[#This Row],[ICO 8%]]</f>
        <v>125000</v>
      </c>
      <c r="H351" s="124">
        <f>+Tabla551810723519260305310[[#This Row],[COSTO]]/Tabla551810723519260305310[[#This Row],[BASE]]</f>
        <v>0.33</v>
      </c>
      <c r="I351" s="125">
        <f>+Tabla551810723519260305310[[#This Row],[BASE]]/Tabla551810723519260305310[[#This Row],[COSTO]]</f>
        <v>3.0303030303030303</v>
      </c>
      <c r="J351" s="126" t="e">
        <f>+VLOOKUP(Tabla551810723519260305310[[#This Row],[RON]],Tabla77[#All],3,0)</f>
        <v>#N/A</v>
      </c>
      <c r="K351" s="136">
        <f t="shared" si="107"/>
        <v>68750</v>
      </c>
      <c r="L351" s="180">
        <f>+K351/1.08*0.08</f>
        <v>5092.5925925925922</v>
      </c>
      <c r="M351" s="123">
        <f>+Tabla551810723519260305310[[#This Row],[PRECIO SUGERIDO]]+Tabla551810723519260305310[[#This Row],[ICO2]]</f>
        <v>73842.592592592599</v>
      </c>
      <c r="N351" s="129">
        <v>103000</v>
      </c>
      <c r="O351" s="122">
        <f t="shared" si="108"/>
        <v>7629.6296296296296</v>
      </c>
      <c r="P351" s="180">
        <f>+Tabla551810723519260305310[[#This Row],[PRECIO N]]-Tabla551810723519260305310[[#This Row],[Columna1]]</f>
        <v>95370.370370370365</v>
      </c>
      <c r="Q351" s="124">
        <f>+Tabla551810723519260305310[[#This Row],[COSTO]]/Tabla551810723519260305310[[#This Row],[CARTA]]</f>
        <v>0.43252427184466025</v>
      </c>
      <c r="R351" s="182">
        <f>+Tabla551810723519260305310[[#This Row],[PRECIO N]]/Tabla551810723519260305310[[#This Row],[COSTO]]</f>
        <v>2.4969696969696971</v>
      </c>
    </row>
    <row r="352" spans="2:18" x14ac:dyDescent="0.3">
      <c r="B352" s="27" t="str">
        <f>+RON!B32</f>
        <v>RON ZACAPA 23 AÑOS</v>
      </c>
      <c r="C352" s="27"/>
      <c r="D352" s="180">
        <f>+RON!I35</f>
        <v>258698</v>
      </c>
      <c r="E352" s="122">
        <f>+RON!I36</f>
        <v>550000</v>
      </c>
      <c r="F352" s="122">
        <f>+E352/1.08*0.08</f>
        <v>40740.740740740737</v>
      </c>
      <c r="G352" s="123">
        <f>+Tabla551810723519260305310[[#This Row],[VENTA]]-Tabla551810723519260305310[[#This Row],[ICO 8%]]</f>
        <v>509259.25925925927</v>
      </c>
      <c r="H352" s="124">
        <f>+Tabla551810723519260305310[[#This Row],[COSTO]]/Tabla551810723519260305310[[#This Row],[BASE]]</f>
        <v>0.50798880000000002</v>
      </c>
      <c r="I352" s="125">
        <f>+Tabla551810723519260305310[[#This Row],[BASE]]/Tabla551810723519260305310[[#This Row],[COSTO]]</f>
        <v>1.9685473380515477</v>
      </c>
      <c r="J352" s="126" t="e">
        <f>+VLOOKUP(Tabla551810723519260305310[[#This Row],[RON]],Tabla77[#All],3,0)</f>
        <v>#N/A</v>
      </c>
      <c r="K352" s="136">
        <f t="shared" si="107"/>
        <v>431163.33333333331</v>
      </c>
      <c r="L352" s="180">
        <f>+K352/1.08*0.08</f>
        <v>31938.024691358023</v>
      </c>
      <c r="M352" s="123">
        <f>+Tabla551810723519260305310[[#This Row],[PRECIO SUGERIDO]]+Tabla551810723519260305310[[#This Row],[ICO2]]</f>
        <v>463101.35802469135</v>
      </c>
      <c r="N352" s="129">
        <v>650000</v>
      </c>
      <c r="O352" s="122">
        <f t="shared" si="108"/>
        <v>48148.148148148146</v>
      </c>
      <c r="P352" s="180">
        <f>+Tabla551810723519260305310[[#This Row],[PRECIO N]]-Tabla551810723519260305310[[#This Row],[Columna1]]</f>
        <v>601851.85185185191</v>
      </c>
      <c r="Q352" s="124">
        <f>+Tabla551810723519260305310[[#This Row],[COSTO]]/Tabla551810723519260305310[[#This Row],[CARTA]]</f>
        <v>0.42983667692307687</v>
      </c>
      <c r="R352" s="182">
        <f>+Tabla551810723519260305310[[#This Row],[PRECIO N]]/Tabla551810723519260305310[[#This Row],[COSTO]]</f>
        <v>2.5125822387494297</v>
      </c>
    </row>
    <row r="353" spans="2:18" x14ac:dyDescent="0.3">
      <c r="B353" s="27" t="str">
        <f>+RON!B44</f>
        <v>RON ZACAPA AMBAR 12 AÃ‘OS</v>
      </c>
      <c r="C353" s="27"/>
      <c r="D353" s="180">
        <f>+RON!I47</f>
        <v>127000.00000008001</v>
      </c>
      <c r="E353" s="122">
        <f>+RON!I48</f>
        <v>290000</v>
      </c>
      <c r="F353" s="122">
        <f>+E353/1.08*0.08</f>
        <v>21481.481481481478</v>
      </c>
      <c r="G353" s="123">
        <f>+Tabla551810723519260305310[[#This Row],[VENTA]]-Tabla551810723519260305310[[#This Row],[ICO 8%]]</f>
        <v>268518.51851851854</v>
      </c>
      <c r="H353" s="124">
        <f>+Tabla551810723519260305310[[#This Row],[COSTO]]/Tabla551810723519260305310[[#This Row],[BASE]]</f>
        <v>0.47296551724167724</v>
      </c>
      <c r="I353" s="125">
        <f>+Tabla551810723519260305310[[#This Row],[BASE]]/Tabla551810723519260305310[[#This Row],[COSTO]]</f>
        <v>2.11431904345157</v>
      </c>
      <c r="J353" s="126">
        <f>+VLOOKUP(Tabla551810723519260305310[[#This Row],[RON]],Tabla77[#All],3,0)</f>
        <v>1</v>
      </c>
      <c r="K353" s="136">
        <f t="shared" si="107"/>
        <v>211666.66666680004</v>
      </c>
      <c r="L353" s="180">
        <f>+K353/1.08*0.08</f>
        <v>15679.01234568889</v>
      </c>
      <c r="M353" s="123">
        <f>+Tabla551810723519260305310[[#This Row],[PRECIO SUGERIDO]]+Tabla551810723519260305310[[#This Row],[ICO2]]</f>
        <v>227345.67901248892</v>
      </c>
      <c r="N353" s="129">
        <v>320000</v>
      </c>
      <c r="O353" s="122">
        <f t="shared" si="108"/>
        <v>23703.703703703704</v>
      </c>
      <c r="P353" s="180">
        <f>+Tabla551810723519260305310[[#This Row],[PRECIO N]]-Tabla551810723519260305310[[#This Row],[Columna1]]</f>
        <v>296296.29629629629</v>
      </c>
      <c r="Q353" s="124">
        <f>+Tabla551810723519260305310[[#This Row],[COSTO]]/Tabla551810723519260305310[[#This Row],[CARTA]]</f>
        <v>0.42862500000027004</v>
      </c>
      <c r="R353" s="182">
        <f>+Tabla551810723519260305310[[#This Row],[PRECIO N]]/Tabla551810723519260305310[[#This Row],[COSTO]]</f>
        <v>2.5196850393684915</v>
      </c>
    </row>
    <row r="354" spans="2:18" x14ac:dyDescent="0.3">
      <c r="B354" s="27" t="str">
        <f>+RON!B56</f>
        <v>TRAGO RON MEDELLIN 8 AÃ‘OS</v>
      </c>
      <c r="C354" s="27"/>
      <c r="D354" s="180">
        <f>+RON!I59</f>
        <v>5839.8333333399996</v>
      </c>
      <c r="E354" s="122">
        <f>+RON!I60</f>
        <v>18000</v>
      </c>
      <c r="F354" s="122">
        <f>+E354/1.08*0.08</f>
        <v>1333.3333333333333</v>
      </c>
      <c r="G354" s="123">
        <f>+Tabla551810723519260305310[[#This Row],[VENTA]]-Tabla551810723519260305310[[#This Row],[ICO 8%]]</f>
        <v>16666.666666666668</v>
      </c>
      <c r="H354" s="124">
        <f>+Tabla551810723519260305310[[#This Row],[COSTO]]/Tabla551810723519260305310[[#This Row],[BASE]]</f>
        <v>0.35039000000039994</v>
      </c>
      <c r="I354" s="125">
        <f>+Tabla551810723519260305310[[#This Row],[BASE]]/Tabla551810723519260305310[[#This Row],[COSTO]]</f>
        <v>2.8539627272435246</v>
      </c>
      <c r="J354" s="126">
        <f>+VLOOKUP(Tabla551810723519260305310[[#This Row],[RON]],Tabla77[#All],3,0)</f>
        <v>14</v>
      </c>
      <c r="K354" s="136">
        <f t="shared" si="107"/>
        <v>9733.055555566667</v>
      </c>
      <c r="L354" s="180">
        <f>+K354/1.08*0.08</f>
        <v>720.9670781901234</v>
      </c>
      <c r="M354" s="123">
        <f>+Tabla551810723519260305310[[#This Row],[PRECIO SUGERIDO]]+Tabla551810723519260305310[[#This Row],[ICO2]]</f>
        <v>10454.022633756791</v>
      </c>
      <c r="N354" s="129">
        <v>20000</v>
      </c>
      <c r="O354" s="122">
        <f t="shared" si="108"/>
        <v>1481.4814814814815</v>
      </c>
      <c r="P354" s="180">
        <f>+Tabla551810723519260305310[[#This Row],[PRECIO N]]-Tabla551810723519260305310[[#This Row],[Columna1]]</f>
        <v>18518.518518518518</v>
      </c>
      <c r="Q354" s="124">
        <f>+Tabla551810723519260305310[[#This Row],[COSTO]]/Tabla551810723519260305310[[#This Row],[CARTA]]</f>
        <v>0.31535100000035998</v>
      </c>
      <c r="R354" s="182">
        <f>+Tabla551810723519260305310[[#This Row],[PRECIO N]]/Tabla551810723519260305310[[#This Row],[COSTO]]</f>
        <v>3.424755272692229</v>
      </c>
    </row>
    <row r="355" spans="2:18" x14ac:dyDescent="0.3">
      <c r="B355" s="27" t="str">
        <f>+RON!B68</f>
        <v>TRAGO RON ZACAPA 23 AÃ‘OS</v>
      </c>
      <c r="C355" s="27"/>
      <c r="D355" s="180">
        <f>+RON!I71</f>
        <v>23518</v>
      </c>
      <c r="E355" s="122">
        <f>+RON!I72</f>
        <v>28900</v>
      </c>
      <c r="F355" s="122">
        <f t="shared" ref="F355" si="109">+E355/1.08*0.08</f>
        <v>2140.7407407407409</v>
      </c>
      <c r="G355" s="123">
        <f>+Tabla551810723519260305310[[#This Row],[VENTA]]-Tabla551810723519260305310[[#This Row],[ICO 8%]]</f>
        <v>26759.259259259259</v>
      </c>
      <c r="H355" s="124">
        <f>+Tabla551810723519260305310[[#This Row],[COSTO]]/Tabla551810723519260305310[[#This Row],[BASE]]</f>
        <v>0.87887335640138409</v>
      </c>
      <c r="I355" s="125">
        <f>+Tabla551810723519260305310[[#This Row],[BASE]]/Tabla551810723519260305310[[#This Row],[COSTO]]</f>
        <v>1.1378203613937945</v>
      </c>
      <c r="J355" s="126">
        <f>+VLOOKUP(Tabla551810723519260305310[[#This Row],[RON]],Tabla77[#All],3,0)</f>
        <v>6</v>
      </c>
      <c r="K355" s="136">
        <f t="shared" si="107"/>
        <v>39196.666666666664</v>
      </c>
      <c r="L355" s="180">
        <f t="shared" ref="L355" si="110">+K355/1.08*0.08</f>
        <v>2903.4567901234564</v>
      </c>
      <c r="M355" s="123">
        <f>+Tabla551810723519260305310[[#This Row],[PRECIO SUGERIDO]]+Tabla551810723519260305310[[#This Row],[ICO2]]</f>
        <v>42100.123456790119</v>
      </c>
      <c r="N355" s="129">
        <v>69000</v>
      </c>
      <c r="O355" s="122">
        <f t="shared" si="108"/>
        <v>5111.1111111111104</v>
      </c>
      <c r="P355" s="180">
        <f>+Tabla551810723519260305310[[#This Row],[PRECIO N]]-Tabla551810723519260305310[[#This Row],[Columna1]]</f>
        <v>63888.888888888891</v>
      </c>
      <c r="Q355" s="124">
        <f>+Tabla551810723519260305310[[#This Row],[COSTO]]/Tabla551810723519260305310[[#This Row],[CARTA]]</f>
        <v>0.36810782608695652</v>
      </c>
      <c r="R355" s="182">
        <f>+Tabla551810723519260305310[[#This Row],[PRECIO N]]/Tabla551810723519260305310[[#This Row],[COSTO]]</f>
        <v>2.9339229526320265</v>
      </c>
    </row>
    <row r="356" spans="2:18" x14ac:dyDescent="0.3">
      <c r="B356" s="27" t="str">
        <f>+RON!B79</f>
        <v>TRAGO RON ZACAPA AMBAR 12 AÃ‘OS</v>
      </c>
      <c r="C356" s="27"/>
      <c r="D356" s="180">
        <f>+RON!I82</f>
        <v>10583.333333340001</v>
      </c>
      <c r="E356" s="122">
        <f>+RON!I83</f>
        <v>25000</v>
      </c>
      <c r="F356" s="122">
        <f>+E356/1.08*0.08</f>
        <v>1851.8518518518517</v>
      </c>
      <c r="G356" s="123">
        <f>+Tabla551810723519260305310[[#This Row],[VENTA]]-Tabla551810723519260305310[[#This Row],[ICO 8%]]</f>
        <v>23148.14814814815</v>
      </c>
      <c r="H356" s="124">
        <f>+Tabla551810723519260305310[[#This Row],[COSTO]]/Tabla551810723519260305310[[#This Row],[BASE]]</f>
        <v>0.45720000000028799</v>
      </c>
      <c r="I356" s="125">
        <f>+Tabla551810723519260305310[[#This Row],[BASE]]/Tabla551810723519260305310[[#This Row],[COSTO]]</f>
        <v>2.1872265966740376</v>
      </c>
      <c r="J356" s="126">
        <f>+VLOOKUP(Tabla551810723519260305310[[#This Row],[RON]],Tabla77[#All],3,0)</f>
        <v>1</v>
      </c>
      <c r="K356" s="136">
        <f t="shared" si="107"/>
        <v>17638.888888900001</v>
      </c>
      <c r="L356" s="180">
        <f>+K356/1.08*0.08</f>
        <v>1306.5843621407407</v>
      </c>
      <c r="M356" s="123">
        <f>+Tabla551810723519260305310[[#This Row],[PRECIO SUGERIDO]]+Tabla551810723519260305310[[#This Row],[ICO2]]</f>
        <v>18945.473251040741</v>
      </c>
      <c r="N356" s="129">
        <v>30000</v>
      </c>
      <c r="O356" s="122">
        <f t="shared" si="108"/>
        <v>2222.2222222222222</v>
      </c>
      <c r="P356" s="180">
        <f>+Tabla551810723519260305310[[#This Row],[PRECIO N]]-Tabla551810723519260305310[[#This Row],[Columna1]]</f>
        <v>27777.777777777777</v>
      </c>
      <c r="Q356" s="124">
        <f>+Tabla551810723519260305310[[#This Row],[COSTO]]/Tabla551810723519260305310[[#This Row],[CARTA]]</f>
        <v>0.38100000000024004</v>
      </c>
      <c r="R356" s="182">
        <f>+Tabla551810723519260305310[[#This Row],[PRECIO N]]/Tabla551810723519260305310[[#This Row],[COSTO]]</f>
        <v>2.8346456692895527</v>
      </c>
    </row>
    <row r="357" spans="2:18" x14ac:dyDescent="0.3">
      <c r="B357" s="27" t="s">
        <v>30</v>
      </c>
      <c r="C357" s="27"/>
      <c r="D357" s="162"/>
      <c r="E357" s="126"/>
      <c r="F357" s="126"/>
      <c r="G357" s="126"/>
      <c r="H357" s="131">
        <f>SUBTOTAL(101,Tabla551810723519260305310[%])</f>
        <v>0.46472966766343449</v>
      </c>
      <c r="I357" s="126"/>
      <c r="J357" s="126"/>
      <c r="K357" s="93"/>
      <c r="L357" s="162"/>
      <c r="M357" s="126"/>
      <c r="N357" s="132"/>
      <c r="O357" s="126"/>
      <c r="P357" s="162"/>
      <c r="Q357" s="126"/>
      <c r="R357" s="182">
        <f>SUBTOTAL(109,Tabla551810723519260305310[RATION])</f>
        <v>19.2911273242206</v>
      </c>
    </row>
    <row r="360" spans="2:18" x14ac:dyDescent="0.3">
      <c r="B360" s="116"/>
      <c r="C360" s="59"/>
      <c r="D360" s="137"/>
      <c r="E360" s="117" t="s">
        <v>21</v>
      </c>
      <c r="F360" s="116"/>
      <c r="G360" s="118"/>
      <c r="H360" s="116"/>
      <c r="I360" s="116"/>
      <c r="J360" s="93"/>
      <c r="K360" s="278" t="s">
        <v>25</v>
      </c>
      <c r="L360" s="278"/>
      <c r="M360" s="278"/>
      <c r="N360" s="59"/>
      <c r="O360" s="59"/>
      <c r="P360" s="118"/>
    </row>
    <row r="361" spans="2:18" x14ac:dyDescent="0.3">
      <c r="B361" s="177" t="s">
        <v>296</v>
      </c>
      <c r="C361" s="60" t="s">
        <v>111</v>
      </c>
      <c r="D361" s="178" t="s">
        <v>7</v>
      </c>
      <c r="E361" s="119" t="s">
        <v>16</v>
      </c>
      <c r="F361" s="120" t="s">
        <v>29</v>
      </c>
      <c r="G361" s="60" t="s">
        <v>22</v>
      </c>
      <c r="H361" s="121" t="s">
        <v>17</v>
      </c>
      <c r="I361" s="60" t="s">
        <v>18</v>
      </c>
      <c r="J361" s="60" t="s">
        <v>19</v>
      </c>
      <c r="K361" s="60" t="s">
        <v>23</v>
      </c>
      <c r="L361" s="178" t="s">
        <v>28</v>
      </c>
      <c r="M361" s="60" t="s">
        <v>24</v>
      </c>
      <c r="N361" s="133" t="s">
        <v>26</v>
      </c>
      <c r="O361" s="178" t="s">
        <v>343</v>
      </c>
      <c r="P361" s="178" t="s">
        <v>21</v>
      </c>
      <c r="Q361" s="121" t="s">
        <v>27</v>
      </c>
      <c r="R361" s="179" t="s">
        <v>20</v>
      </c>
    </row>
    <row r="362" spans="2:18" x14ac:dyDescent="0.3">
      <c r="B362" s="27" t="str">
        <f>+'TEQUILA Y MEZCAL'!B6</f>
        <v>DON JULIO REPOSADO</v>
      </c>
      <c r="C362" s="27"/>
      <c r="D362" s="180">
        <f>+'TEQUILA Y MEZCAL'!I9</f>
        <v>276788.72727263998</v>
      </c>
      <c r="E362" s="122">
        <f>+'TEQUILA Y MEZCAL'!I10</f>
        <v>725000</v>
      </c>
      <c r="F362" s="122">
        <f>+E362/1.08*0.08</f>
        <v>53703.703703703708</v>
      </c>
      <c r="G362" s="123">
        <f>+Tabla551810723519260305311[[#This Row],[VENTA]]-Tabla551810723519260305311[[#This Row],[ICO 8%]]</f>
        <v>671296.29629629629</v>
      </c>
      <c r="H362" s="124">
        <f>+Tabla551810723519260305311[[#This Row],[COSTO]]/Tabla551810723519260305311[[#This Row],[BASE]]</f>
        <v>0.41231975924751885</v>
      </c>
      <c r="I362" s="125">
        <f>+Tabla551810723519260305311[[#This Row],[BASE]]/Tabla551810723519260305311[[#This Row],[COSTO]]</f>
        <v>2.425302153418488</v>
      </c>
      <c r="J362" s="126" t="e">
        <f>+VLOOKUP(Tabla551810723519260305311[[#This Row],[TEQUILA Y MEZCAL]],Tabla77[#All],3,0)</f>
        <v>#N/A</v>
      </c>
      <c r="K362" s="136">
        <f t="shared" ref="K362:K372" si="111">+D362/(100-60)*100</f>
        <v>691971.81818159996</v>
      </c>
      <c r="L362" s="180">
        <f>+K362/1.08*0.08</f>
        <v>51257.17171715555</v>
      </c>
      <c r="M362" s="123">
        <f>+Tabla551810723519260305311[[#This Row],[PRECIO SUGERIDO]]+Tabla551810723519260305311[[#This Row],[ICO2]]</f>
        <v>743228.98989875545</v>
      </c>
      <c r="N362" s="129">
        <v>692000</v>
      </c>
      <c r="O362" s="122">
        <f t="shared" ref="O362:O372" si="112">+N362/1.08*0.08</f>
        <v>51259.259259259255</v>
      </c>
      <c r="P362" s="180">
        <f>+Tabla551810723519260305311[[#This Row],[PRECIO N]]-Tabla551810723519260305311[[#This Row],[Columna1]]</f>
        <v>640740.74074074079</v>
      </c>
      <c r="Q362" s="124">
        <f>+Tabla551810723519260305311[[#This Row],[COSTO]]/Tabla551810723519260305311[[#This Row],[CARTA]]</f>
        <v>0.43198240672608551</v>
      </c>
      <c r="R362" s="182">
        <f>+Tabla551810723519260305311[[#This Row],[PRECIO N]]/Tabla551810723519260305311[[#This Row],[COSTO]]</f>
        <v>2.5001018170742637</v>
      </c>
    </row>
    <row r="363" spans="2:18" x14ac:dyDescent="0.3">
      <c r="B363" s="27" t="str">
        <f>+'TEQUILA Y MEZCAL'!B17</f>
        <v>RESERVA DE DON JULIO BLANCO</v>
      </c>
      <c r="C363" s="27"/>
      <c r="D363" s="180">
        <f>+'TEQUILA Y MEZCAL'!I20</f>
        <v>203896</v>
      </c>
      <c r="E363" s="122">
        <f>+'TEQUILA Y MEZCAL'!I21</f>
        <v>540000</v>
      </c>
      <c r="F363" s="122">
        <f>+E363/1.08*0.08</f>
        <v>39999.999999999993</v>
      </c>
      <c r="G363" s="123">
        <f>+Tabla551810723519260305311[[#This Row],[VENTA]]-Tabla551810723519260305311[[#This Row],[ICO 8%]]</f>
        <v>500000</v>
      </c>
      <c r="H363" s="124">
        <f>+Tabla551810723519260305311[[#This Row],[COSTO]]/Tabla551810723519260305311[[#This Row],[BASE]]</f>
        <v>0.40779199999999999</v>
      </c>
      <c r="I363" s="125">
        <f>+Tabla551810723519260305311[[#This Row],[BASE]]/Tabla551810723519260305311[[#This Row],[COSTO]]</f>
        <v>2.452230548907286</v>
      </c>
      <c r="J363" s="126" t="e">
        <f>+VLOOKUP(Tabla551810723519260305311[[#This Row],[TEQUILA Y MEZCAL]],Tabla77[#All],3,0)</f>
        <v>#N/A</v>
      </c>
      <c r="K363" s="136">
        <f t="shared" si="111"/>
        <v>509739.99999999994</v>
      </c>
      <c r="L363" s="180">
        <f>+K363/1.08*0.08</f>
        <v>37758.518518518511</v>
      </c>
      <c r="M363" s="123">
        <f>+Tabla551810723519260305311[[#This Row],[PRECIO SUGERIDO]]+Tabla551810723519260305311[[#This Row],[ICO2]]</f>
        <v>547498.51851851842</v>
      </c>
      <c r="N363" s="129">
        <v>540000</v>
      </c>
      <c r="O363" s="122">
        <f t="shared" si="112"/>
        <v>39999.999999999993</v>
      </c>
      <c r="P363" s="180">
        <f>+Tabla551810723519260305311[[#This Row],[PRECIO N]]-Tabla551810723519260305311[[#This Row],[Columna1]]</f>
        <v>500000</v>
      </c>
      <c r="Q363" s="124">
        <f>+Tabla551810723519260305311[[#This Row],[COSTO]]/Tabla551810723519260305311[[#This Row],[CARTA]]</f>
        <v>0.40779199999999999</v>
      </c>
      <c r="R363" s="182">
        <f>+Tabla551810723519260305311[[#This Row],[PRECIO N]]/Tabla551810723519260305311[[#This Row],[COSTO]]</f>
        <v>2.6484089928198689</v>
      </c>
    </row>
    <row r="364" spans="2:18" x14ac:dyDescent="0.3">
      <c r="B364" s="27" t="str">
        <f>+'TEQUILA Y MEZCAL'!B30</f>
        <v>DON JULIO 70</v>
      </c>
      <c r="C364" s="27"/>
      <c r="D364" s="180">
        <f>+'TEQUILA Y MEZCAL'!I33</f>
        <v>346929</v>
      </c>
      <c r="E364" s="122">
        <f>+'TEQUILA Y MEZCAL'!I34</f>
        <v>935000</v>
      </c>
      <c r="F364" s="122">
        <f>+E364/1.08*0.08</f>
        <v>69259.259259259255</v>
      </c>
      <c r="G364" s="123">
        <f>+Tabla551810723519260305311[[#This Row],[VENTA]]-Tabla551810723519260305311[[#This Row],[ICO 8%]]</f>
        <v>865740.74074074079</v>
      </c>
      <c r="H364" s="124">
        <f>+Tabla551810723519260305311[[#This Row],[COSTO]]/Tabla551810723519260305311[[#This Row],[BASE]]</f>
        <v>0.40073082352941175</v>
      </c>
      <c r="I364" s="125">
        <f>+Tabla551810723519260305311[[#This Row],[BASE]]/Tabla551810723519260305311[[#This Row],[COSTO]]</f>
        <v>2.495440683081382</v>
      </c>
      <c r="J364" s="126" t="e">
        <f>+VLOOKUP(Tabla551810723519260305311[[#This Row],[TEQUILA Y MEZCAL]],Tabla77[#All],3,0)</f>
        <v>#N/A</v>
      </c>
      <c r="K364" s="136">
        <f t="shared" si="111"/>
        <v>867322.5</v>
      </c>
      <c r="L364" s="180">
        <f>+K364/1.08*0.08</f>
        <v>64246.111111111109</v>
      </c>
      <c r="M364" s="123">
        <f>+Tabla551810723519260305311[[#This Row],[PRECIO SUGERIDO]]+Tabla551810723519260305311[[#This Row],[ICO2]]</f>
        <v>931568.61111111112</v>
      </c>
      <c r="N364" s="129">
        <v>870000</v>
      </c>
      <c r="O364" s="122">
        <f t="shared" si="112"/>
        <v>64444.444444444445</v>
      </c>
      <c r="P364" s="180">
        <f>+Tabla551810723519260305311[[#This Row],[PRECIO N]]-Tabla551810723519260305311[[#This Row],[Columna1]]</f>
        <v>805555.5555555555</v>
      </c>
      <c r="Q364" s="124">
        <f>+Tabla551810723519260305311[[#This Row],[COSTO]]/Tabla551810723519260305311[[#This Row],[CARTA]]</f>
        <v>0.43067048275862074</v>
      </c>
      <c r="R364" s="182">
        <f>+Tabla551810723519260305311[[#This Row],[PRECIO N]]/Tabla551810723519260305311[[#This Row],[COSTO]]</f>
        <v>2.5077177174580392</v>
      </c>
    </row>
    <row r="365" spans="2:18" x14ac:dyDescent="0.3">
      <c r="B365" s="27" t="str">
        <f>+'TEQUILA Y MEZCAL'!B42</f>
        <v>DON JULIO AÑEJO</v>
      </c>
      <c r="C365" s="27"/>
      <c r="D365" s="180">
        <f>+'TEQUILA Y MEZCAL'!I45</f>
        <v>286458.99999992002</v>
      </c>
      <c r="E365" s="122">
        <f>+'TEQUILA Y MEZCAL'!I46</f>
        <v>816000</v>
      </c>
      <c r="F365" s="122">
        <f>+E365/1.08*0.08</f>
        <v>60444.444444444438</v>
      </c>
      <c r="G365" s="123">
        <f>+Tabla551810723519260305311[[#This Row],[VENTA]]-Tabla551810723519260305311[[#This Row],[ICO 8%]]</f>
        <v>755555.5555555555</v>
      </c>
      <c r="H365" s="124">
        <f>+Tabla551810723519260305311[[#This Row],[COSTO]]/Tabla551810723519260305311[[#This Row],[BASE]]</f>
        <v>0.37913691176460007</v>
      </c>
      <c r="I365" s="125">
        <f>+Tabla551810723519260305311[[#This Row],[BASE]]/Tabla551810723519260305311[[#This Row],[COSTO]]</f>
        <v>2.6375696192326528</v>
      </c>
      <c r="J365" s="126" t="e">
        <f>+VLOOKUP(Tabla551810723519260305311[[#This Row],[TEQUILA Y MEZCAL]],Tabla77[#All],3,0)</f>
        <v>#N/A</v>
      </c>
      <c r="K365" s="136">
        <f t="shared" si="111"/>
        <v>716147.4999998</v>
      </c>
      <c r="L365" s="180">
        <f>+K365/1.08*0.08</f>
        <v>53047.96296294815</v>
      </c>
      <c r="M365" s="123">
        <f>+Tabla551810723519260305311[[#This Row],[PRECIO SUGERIDO]]+Tabla551810723519260305311[[#This Row],[ICO2]]</f>
        <v>769195.46296274813</v>
      </c>
      <c r="N365" s="129">
        <v>720000</v>
      </c>
      <c r="O365" s="122">
        <f t="shared" si="112"/>
        <v>53333.333333333328</v>
      </c>
      <c r="P365" s="180">
        <f>+Tabla551810723519260305311[[#This Row],[PRECIO N]]-Tabla551810723519260305311[[#This Row],[Columna1]]</f>
        <v>666666.66666666663</v>
      </c>
      <c r="Q365" s="124">
        <f>+Tabla551810723519260305311[[#This Row],[COSTO]]/Tabla551810723519260305311[[#This Row],[CARTA]]</f>
        <v>0.42968849999988007</v>
      </c>
      <c r="R365" s="182">
        <f>+Tabla551810723519260305311[[#This Row],[PRECIO N]]/Tabla551810723519260305311[[#This Row],[COSTO]]</f>
        <v>2.5134486959746458</v>
      </c>
    </row>
    <row r="366" spans="2:18" x14ac:dyDescent="0.3">
      <c r="B366" s="27" t="str">
        <f>+'TEQUILA Y MEZCAL'!B54</f>
        <v>TEQUILA 1800 REPOSADO</v>
      </c>
      <c r="C366" s="27"/>
      <c r="D366" s="180">
        <f>+'TEQUILA Y MEZCAL'!I57</f>
        <v>188008.33333326</v>
      </c>
      <c r="E366" s="122">
        <f>+'TEQUILA Y MEZCAL'!I58</f>
        <v>520000</v>
      </c>
      <c r="F366" s="122">
        <f>+E366/1.08*0.08</f>
        <v>38518.518518518518</v>
      </c>
      <c r="G366" s="123">
        <f>+Tabla551810723519260305311[[#This Row],[VENTA]]-Tabla551810723519260305311[[#This Row],[ICO 8%]]</f>
        <v>481481.48148148146</v>
      </c>
      <c r="H366" s="124">
        <f>+Tabla551810723519260305311[[#This Row],[COSTO]]/Tabla551810723519260305311[[#This Row],[BASE]]</f>
        <v>0.39047884615369388</v>
      </c>
      <c r="I366" s="125">
        <f>+Tabla551810723519260305311[[#This Row],[BASE]]/Tabla551810723519260305311[[#This Row],[COSTO]]</f>
        <v>2.5609581923585085</v>
      </c>
      <c r="J366" s="126" t="e">
        <f>+VLOOKUP(Tabla551810723519260305311[[#This Row],[TEQUILA Y MEZCAL]],Tabla77[#All],3,0)</f>
        <v>#N/A</v>
      </c>
      <c r="K366" s="136">
        <f t="shared" si="111"/>
        <v>470020.83333315002</v>
      </c>
      <c r="L366" s="180">
        <f>+K366/1.08*0.08</f>
        <v>34816.358024677778</v>
      </c>
      <c r="M366" s="123">
        <f>+Tabla551810723519260305311[[#This Row],[PRECIO SUGERIDO]]+Tabla551810723519260305311[[#This Row],[ICO2]]</f>
        <v>504837.1913578278</v>
      </c>
      <c r="N366" s="129">
        <v>500000</v>
      </c>
      <c r="O366" s="122">
        <f t="shared" si="112"/>
        <v>37037.037037037036</v>
      </c>
      <c r="P366" s="180">
        <f>+Tabla551810723519260305311[[#This Row],[PRECIO N]]-Tabla551810723519260305311[[#This Row],[Columna1]]</f>
        <v>462962.96296296298</v>
      </c>
      <c r="Q366" s="124">
        <f>+Tabla551810723519260305311[[#This Row],[COSTO]]/Tabla551810723519260305311[[#This Row],[CARTA]]</f>
        <v>0.40609799999984159</v>
      </c>
      <c r="R366" s="182">
        <f>+Tabla551810723519260305311[[#This Row],[PRECIO N]]/Tabla551810723519260305311[[#This Row],[COSTO]]</f>
        <v>2.6594565843722973</v>
      </c>
    </row>
    <row r="367" spans="2:18" x14ac:dyDescent="0.3">
      <c r="B367" s="27" t="str">
        <f>+'TEQUILA Y MEZCAL'!B68</f>
        <v>TRAGO 400 CONEJOS</v>
      </c>
      <c r="C367" s="27"/>
      <c r="D367" s="180">
        <f>+'TEQUILA Y MEZCAL'!I71</f>
        <v>16779.5</v>
      </c>
      <c r="E367" s="122">
        <f>+'TEQUILA Y MEZCAL'!I72</f>
        <v>40000</v>
      </c>
      <c r="F367" s="122">
        <f t="shared" ref="F367" si="113">+E367/1.08*0.08</f>
        <v>2962.962962962963</v>
      </c>
      <c r="G367" s="123">
        <f>+Tabla551810723519260305311[[#This Row],[VENTA]]-Tabla551810723519260305311[[#This Row],[ICO 8%]]</f>
        <v>37037.037037037036</v>
      </c>
      <c r="H367" s="124">
        <f>+Tabla551810723519260305311[[#This Row],[COSTO]]/Tabla551810723519260305311[[#This Row],[BASE]]</f>
        <v>0.45304650000000002</v>
      </c>
      <c r="I367" s="125">
        <f>+Tabla551810723519260305311[[#This Row],[BASE]]/Tabla551810723519260305311[[#This Row],[COSTO]]</f>
        <v>2.2072789437728799</v>
      </c>
      <c r="J367" s="126" t="e">
        <f>+VLOOKUP(Tabla551810723519260305311[[#This Row],[TEQUILA Y MEZCAL]],Tabla77[#All],3,0)</f>
        <v>#N/A</v>
      </c>
      <c r="K367" s="136">
        <f t="shared" si="111"/>
        <v>41948.75</v>
      </c>
      <c r="L367" s="180">
        <f t="shared" ref="L367" si="114">+K367/1.08*0.08</f>
        <v>3107.3148148148148</v>
      </c>
      <c r="M367" s="123">
        <f>+Tabla551810723519260305311[[#This Row],[PRECIO SUGERIDO]]+Tabla551810723519260305311[[#This Row],[ICO2]]</f>
        <v>45056.064814814818</v>
      </c>
      <c r="N367" s="129">
        <v>46000</v>
      </c>
      <c r="O367" s="122">
        <f t="shared" si="112"/>
        <v>3407.4074074074074</v>
      </c>
      <c r="P367" s="180">
        <f>+Tabla551810723519260305311[[#This Row],[PRECIO N]]-Tabla551810723519260305311[[#This Row],[Columna1]]</f>
        <v>42592.592592592591</v>
      </c>
      <c r="Q367" s="124">
        <f>+Tabla551810723519260305311[[#This Row],[COSTO]]/Tabla551810723519260305311[[#This Row],[CARTA]]</f>
        <v>0.39395347826086957</v>
      </c>
      <c r="R367" s="182">
        <f>+Tabla551810723519260305311[[#This Row],[PRECIO N]]/Tabla551810723519260305311[[#This Row],[COSTO]]</f>
        <v>2.7414404481659167</v>
      </c>
    </row>
    <row r="368" spans="2:18" x14ac:dyDescent="0.3">
      <c r="B368" s="27" t="str">
        <f>+'TEQUILA Y MEZCAL'!B144</f>
        <v>BOTELLA 400 CONEJOS</v>
      </c>
      <c r="C368" s="27"/>
      <c r="D368" s="180">
        <f>+'TEQUILA Y MEZCAL'!I147</f>
        <v>201354</v>
      </c>
      <c r="E368" s="122">
        <f>+'TEQUILA Y MEZCAL'!I148</f>
        <v>490000</v>
      </c>
      <c r="F368" s="122">
        <f t="shared" ref="F368:F373" si="115">+E368/1.08*0.08</f>
        <v>36296.296296296292</v>
      </c>
      <c r="G368" s="123">
        <f>+Tabla551810723519260305311[[#This Row],[VENTA]]-Tabla551810723519260305311[[#This Row],[ICO 8%]]</f>
        <v>453703.70370370371</v>
      </c>
      <c r="H368" s="124">
        <f>+Tabla551810723519260305311[[#This Row],[COSTO]]/Tabla551810723519260305311[[#This Row],[BASE]]</f>
        <v>0.44380065306122446</v>
      </c>
      <c r="I368" s="125">
        <f>+Tabla551810723519260305311[[#This Row],[BASE]]/Tabla551810723519260305311[[#This Row],[COSTO]]</f>
        <v>2.253263921768148</v>
      </c>
      <c r="J368" s="126" t="e">
        <f>+VLOOKUP(Tabla551810723519260305311[[#This Row],[TEQUILA Y MEZCAL]],Tabla77[#All],3,0)</f>
        <v>#N/A</v>
      </c>
      <c r="K368" s="136">
        <f>+D368/(100-60)*100</f>
        <v>503385.00000000006</v>
      </c>
      <c r="L368" s="180">
        <f t="shared" ref="L368:L373" si="116">+K368/1.08*0.08</f>
        <v>37287.777777777781</v>
      </c>
      <c r="M368" s="123">
        <f>+Tabla551810723519260305311[[#This Row],[PRECIO SUGERIDO]]+Tabla551810723519260305311[[#This Row],[ICO2]]</f>
        <v>540672.77777777787</v>
      </c>
      <c r="N368" s="129">
        <v>500000</v>
      </c>
      <c r="O368" s="122">
        <f>+N368/1.08*0.08</f>
        <v>37037.037037037036</v>
      </c>
      <c r="P368" s="180">
        <f>+Tabla551810723519260305311[[#This Row],[PRECIO N]]-Tabla551810723519260305311[[#This Row],[Columna1]]</f>
        <v>462962.96296296298</v>
      </c>
      <c r="Q368" s="124">
        <f>+Tabla551810723519260305311[[#This Row],[COSTO]]/Tabla551810723519260305311[[#This Row],[CARTA]]</f>
        <v>0.43492463999999997</v>
      </c>
      <c r="R368" s="182">
        <f>+Tabla551810723519260305311[[#This Row],[PRECIO N]]/Tabla551810723519260305311[[#This Row],[COSTO]]</f>
        <v>2.48318881174449</v>
      </c>
    </row>
    <row r="369" spans="2:18" x14ac:dyDescent="0.3">
      <c r="B369" s="27" t="str">
        <f>+'TEQUILA Y MEZCAL'!B81</f>
        <v>TRAGO DON JULIO REPOSADO</v>
      </c>
      <c r="C369" s="27"/>
      <c r="D369" s="180">
        <f>+'TEQUILA Y MEZCAL'!I84</f>
        <v>23065.72727272</v>
      </c>
      <c r="E369" s="122">
        <f>+'TEQUILA Y MEZCAL'!I85</f>
        <v>60000</v>
      </c>
      <c r="F369" s="122">
        <f t="shared" si="115"/>
        <v>4444.4444444444443</v>
      </c>
      <c r="G369" s="123">
        <f>+Tabla551810723519260305311[[#This Row],[VENTA]]-Tabla551810723519260305311[[#This Row],[ICO 8%]]</f>
        <v>55555.555555555555</v>
      </c>
      <c r="H369" s="124">
        <f>+Tabla551810723519260305311[[#This Row],[COSTO]]/Tabla551810723519260305311[[#This Row],[BASE]]</f>
        <v>0.41518309090896</v>
      </c>
      <c r="I369" s="125">
        <f>+Tabla551810723519260305311[[#This Row],[BASE]]/Tabla551810723519260305311[[#This Row],[COSTO]]</f>
        <v>2.4085759316707742</v>
      </c>
      <c r="J369" s="126">
        <f>+VLOOKUP(Tabla551810723519260305311[[#This Row],[TEQUILA Y MEZCAL]],Tabla77[#All],3,0)</f>
        <v>49</v>
      </c>
      <c r="K369" s="136">
        <f t="shared" si="111"/>
        <v>57664.318181800001</v>
      </c>
      <c r="L369" s="180">
        <f t="shared" si="116"/>
        <v>4271.4309764296295</v>
      </c>
      <c r="M369" s="123">
        <f>+Tabla551810723519260305311[[#This Row],[PRECIO SUGERIDO]]+Tabla551810723519260305311[[#This Row],[ICO2]]</f>
        <v>61935.749158229628</v>
      </c>
      <c r="N369" s="129">
        <v>63000</v>
      </c>
      <c r="O369" s="122">
        <f t="shared" si="112"/>
        <v>4666.6666666666661</v>
      </c>
      <c r="P369" s="180">
        <f>+Tabla551810723519260305311[[#This Row],[PRECIO N]]-Tabla551810723519260305311[[#This Row],[Columna1]]</f>
        <v>58333.333333333336</v>
      </c>
      <c r="Q369" s="124">
        <f>+Tabla551810723519260305311[[#This Row],[COSTO]]/Tabla551810723519260305311[[#This Row],[CARTA]]</f>
        <v>0.39541246753234283</v>
      </c>
      <c r="R369" s="182">
        <f>+Tabla551810723519260305311[[#This Row],[PRECIO N]]/Tabla551810723519260305311[[#This Row],[COSTO]]</f>
        <v>2.731325106514658</v>
      </c>
    </row>
    <row r="370" spans="2:18" x14ac:dyDescent="0.3">
      <c r="B370" s="27" t="str">
        <f>+'TEQUILA Y MEZCAL'!B94</f>
        <v>TRAGO RESERVA DE DON JULIO BLANCO</v>
      </c>
      <c r="C370" s="27"/>
      <c r="D370" s="180">
        <f>+'TEQUILA Y MEZCAL'!I97</f>
        <v>18536</v>
      </c>
      <c r="E370" s="122">
        <f>+'TEQUILA Y MEZCAL'!I98</f>
        <v>50000</v>
      </c>
      <c r="F370" s="122">
        <f t="shared" si="115"/>
        <v>3703.7037037037035</v>
      </c>
      <c r="G370" s="123">
        <f>+Tabla551810723519260305311[[#This Row],[VENTA]]-Tabla551810723519260305311[[#This Row],[ICO 8%]]</f>
        <v>46296.296296296299</v>
      </c>
      <c r="H370" s="124">
        <f>+Tabla551810723519260305311[[#This Row],[COSTO]]/Tabla551810723519260305311[[#This Row],[BASE]]</f>
        <v>0.4003776</v>
      </c>
      <c r="I370" s="125">
        <f>+Tabla551810723519260305311[[#This Row],[BASE]]/Tabla551810723519260305311[[#This Row],[COSTO]]</f>
        <v>2.4976422257389026</v>
      </c>
      <c r="J370" s="126">
        <f>+VLOOKUP(Tabla551810723519260305311[[#This Row],[TEQUILA Y MEZCAL]],Tabla77[#All],3,0)</f>
        <v>34</v>
      </c>
      <c r="K370" s="136">
        <f t="shared" si="111"/>
        <v>46340</v>
      </c>
      <c r="L370" s="180">
        <f t="shared" si="116"/>
        <v>3432.5925925925922</v>
      </c>
      <c r="M370" s="123">
        <f>+Tabla551810723519260305311[[#This Row],[PRECIO SUGERIDO]]+Tabla551810723519260305311[[#This Row],[ICO2]]</f>
        <v>49772.592592592591</v>
      </c>
      <c r="N370" s="129">
        <v>50000</v>
      </c>
      <c r="O370" s="122">
        <f t="shared" si="112"/>
        <v>3703.7037037037035</v>
      </c>
      <c r="P370" s="180">
        <f>+Tabla551810723519260305311[[#This Row],[PRECIO N]]-Tabla551810723519260305311[[#This Row],[Columna1]]</f>
        <v>46296.296296296299</v>
      </c>
      <c r="Q370" s="124">
        <f>+Tabla551810723519260305311[[#This Row],[COSTO]]/Tabla551810723519260305311[[#This Row],[CARTA]]</f>
        <v>0.4003776</v>
      </c>
      <c r="R370" s="182">
        <f>+Tabla551810723519260305311[[#This Row],[PRECIO N]]/Tabla551810723519260305311[[#This Row],[COSTO]]</f>
        <v>2.6974536037980146</v>
      </c>
    </row>
    <row r="371" spans="2:18" x14ac:dyDescent="0.3">
      <c r="B371" s="27" t="str">
        <f>+'TEQUILA Y MEZCAL'!B107</f>
        <v>TRAGO DON JULIO 70</v>
      </c>
      <c r="C371" s="27"/>
      <c r="D371" s="180">
        <f>+'TEQUILA Y MEZCAL'!I110</f>
        <v>31539</v>
      </c>
      <c r="E371" s="122">
        <f>+'TEQUILA Y MEZCAL'!I111</f>
        <v>85000</v>
      </c>
      <c r="F371" s="122">
        <f t="shared" si="115"/>
        <v>6296.2962962962956</v>
      </c>
      <c r="G371" s="123">
        <f>+Tabla551810723519260305311[[#This Row],[VENTA]]-Tabla551810723519260305311[[#This Row],[ICO 8%]]</f>
        <v>78703.703703703708</v>
      </c>
      <c r="H371" s="124">
        <f>+Tabla551810723519260305311[[#This Row],[COSTO]]/Tabla551810723519260305311[[#This Row],[BASE]]</f>
        <v>0.40073082352941175</v>
      </c>
      <c r="I371" s="125">
        <f>+Tabla551810723519260305311[[#This Row],[BASE]]/Tabla551810723519260305311[[#This Row],[COSTO]]</f>
        <v>2.495440683081382</v>
      </c>
      <c r="J371" s="126">
        <f>+VLOOKUP(Tabla551810723519260305311[[#This Row],[TEQUILA Y MEZCAL]],Tabla77[#All],3,0)</f>
        <v>10</v>
      </c>
      <c r="K371" s="136">
        <f t="shared" si="111"/>
        <v>78847.5</v>
      </c>
      <c r="L371" s="180">
        <f t="shared" si="116"/>
        <v>5840.5555555555547</v>
      </c>
      <c r="M371" s="123">
        <f>+Tabla551810723519260305311[[#This Row],[PRECIO SUGERIDO]]+Tabla551810723519260305311[[#This Row],[ICO2]]</f>
        <v>84688.055555555562</v>
      </c>
      <c r="N371" s="129">
        <v>85000</v>
      </c>
      <c r="O371" s="122">
        <f t="shared" si="112"/>
        <v>6296.2962962962956</v>
      </c>
      <c r="P371" s="180">
        <f>+Tabla551810723519260305311[[#This Row],[PRECIO N]]-Tabla551810723519260305311[[#This Row],[Columna1]]</f>
        <v>78703.703703703708</v>
      </c>
      <c r="Q371" s="124">
        <f>+Tabla551810723519260305311[[#This Row],[COSTO]]/Tabla551810723519260305311[[#This Row],[CARTA]]</f>
        <v>0.40073082352941175</v>
      </c>
      <c r="R371" s="182">
        <f>+Tabla551810723519260305311[[#This Row],[PRECIO N]]/Tabla551810723519260305311[[#This Row],[COSTO]]</f>
        <v>2.6950759377278923</v>
      </c>
    </row>
    <row r="372" spans="2:18" x14ac:dyDescent="0.3">
      <c r="B372" s="27" t="str">
        <f>+'TEQUILA Y MEZCAL'!B120</f>
        <v>TRAGO DON JULIO AÃ‘EJO</v>
      </c>
      <c r="C372" s="27"/>
      <c r="D372" s="180">
        <f>+'TEQUILA Y MEZCAL'!I123</f>
        <v>26041.72727272</v>
      </c>
      <c r="E372" s="122">
        <f>+'TEQUILA Y MEZCAL'!I124</f>
        <v>75000</v>
      </c>
      <c r="F372" s="122">
        <f t="shared" si="115"/>
        <v>5555.5555555555547</v>
      </c>
      <c r="G372" s="123">
        <f>+Tabla551810723519260305311[[#This Row],[VENTA]]-Tabla551810723519260305311[[#This Row],[ICO 8%]]</f>
        <v>69444.444444444438</v>
      </c>
      <c r="H372" s="124">
        <f>+Tabla551810723519260305311[[#This Row],[COSTO]]/Tabla551810723519260305311[[#This Row],[BASE]]</f>
        <v>0.37500087272716803</v>
      </c>
      <c r="I372" s="125">
        <f>+Tabla551810723519260305311[[#This Row],[BASE]]/Tabla551810723519260305311[[#This Row],[COSTO]]</f>
        <v>2.6666604606212481</v>
      </c>
      <c r="J372" s="126">
        <f>+VLOOKUP(Tabla551810723519260305311[[#This Row],[TEQUILA Y MEZCAL]],Tabla77[#All],3,0)</f>
        <v>5</v>
      </c>
      <c r="K372" s="136">
        <f t="shared" si="111"/>
        <v>65104.318181800001</v>
      </c>
      <c r="L372" s="180">
        <f t="shared" si="116"/>
        <v>4822.5420875407408</v>
      </c>
      <c r="M372" s="123">
        <f>+Tabla551810723519260305311[[#This Row],[PRECIO SUGERIDO]]+Tabla551810723519260305311[[#This Row],[ICO2]]</f>
        <v>69926.860269340745</v>
      </c>
      <c r="N372" s="129">
        <v>75000</v>
      </c>
      <c r="O372" s="122">
        <f t="shared" si="112"/>
        <v>5555.5555555555547</v>
      </c>
      <c r="P372" s="180">
        <f>+Tabla551810723519260305311[[#This Row],[PRECIO N]]-Tabla551810723519260305311[[#This Row],[Columna1]]</f>
        <v>69444.444444444438</v>
      </c>
      <c r="Q372" s="124">
        <f>+Tabla551810723519260305311[[#This Row],[COSTO]]/Tabla551810723519260305311[[#This Row],[CARTA]]</f>
        <v>0.37500087272716803</v>
      </c>
      <c r="R372" s="182">
        <f>+Tabla551810723519260305311[[#This Row],[PRECIO N]]/Tabla551810723519260305311[[#This Row],[COSTO]]</f>
        <v>2.8799932974709486</v>
      </c>
    </row>
    <row r="373" spans="2:18" x14ac:dyDescent="0.3">
      <c r="B373" s="27" t="str">
        <f>+'TEQUILA Y MEZCAL'!B133</f>
        <v>TRAGO TEQUILA 1800 REPOSADO</v>
      </c>
      <c r="C373" s="27"/>
      <c r="D373" s="180">
        <f>+'TEQUILA Y MEZCAL'!I136</f>
        <v>17091.666666659999</v>
      </c>
      <c r="E373" s="122">
        <f>+'TEQUILA Y MEZCAL'!I137</f>
        <v>46000</v>
      </c>
      <c r="F373" s="122">
        <f t="shared" si="115"/>
        <v>3407.4074074074074</v>
      </c>
      <c r="G373" s="123">
        <f>+Tabla551810723519260305311[[#This Row],[VENTA]]-Tabla551810723519260305311[[#This Row],[ICO 8%]]</f>
        <v>42592.592592592591</v>
      </c>
      <c r="H373" s="124">
        <f>+Tabla551810723519260305311[[#This Row],[COSTO]]/Tabla551810723519260305311[[#This Row],[BASE]]</f>
        <v>0.40128260869549565</v>
      </c>
      <c r="I373" s="125">
        <f>+Tabla551810723519260305311[[#This Row],[BASE]]/Tabla551810723519260305311[[#This Row],[COSTO]]</f>
        <v>2.4920093179488565</v>
      </c>
      <c r="J373" s="126">
        <f>+VLOOKUP(Tabla551810723519260305311[[#This Row],[TEQUILA Y MEZCAL]],Tabla77[#All],3,0)</f>
        <v>1</v>
      </c>
      <c r="K373" s="137">
        <f>+D373/(100-60)*100</f>
        <v>42729.166666649995</v>
      </c>
      <c r="L373" s="180">
        <f t="shared" si="116"/>
        <v>3165.1234567888887</v>
      </c>
      <c r="M373" s="123">
        <f>+Tabla551810723519260305311[[#This Row],[PRECIO SUGERIDO]]+Tabla551810723519260305311[[#This Row],[ICO2]]</f>
        <v>45894.290123438885</v>
      </c>
      <c r="N373" s="129">
        <v>46000</v>
      </c>
      <c r="O373" s="122">
        <f>+N373/1.08*0.08</f>
        <v>3407.4074074074074</v>
      </c>
      <c r="P373" s="180">
        <f>+Tabla551810723519260305311[[#This Row],[PRECIO N]]-Tabla551810723519260305311[[#This Row],[Columna1]]</f>
        <v>42592.592592592591</v>
      </c>
      <c r="Q373" s="124">
        <f>+Tabla551810723519260305311[[#This Row],[COSTO]]/Tabla551810723519260305311[[#This Row],[CARTA]]</f>
        <v>0.40128260869549565</v>
      </c>
      <c r="R373" s="182">
        <f>+Tabla551810723519260305311[[#This Row],[PRECIO N]]/Tabla551810723519260305311[[#This Row],[COSTO]]</f>
        <v>2.691370063384765</v>
      </c>
    </row>
    <row r="374" spans="2:18" x14ac:dyDescent="0.3">
      <c r="B374" s="27" t="s">
        <v>30</v>
      </c>
      <c r="C374" s="27"/>
      <c r="D374" s="162"/>
      <c r="E374" s="126"/>
      <c r="F374" s="126"/>
      <c r="G374" s="126"/>
      <c r="H374" s="131">
        <f>SUBTOTAL(101,Tabla551810723519260305311[%])</f>
        <v>0.40665670746812371</v>
      </c>
      <c r="I374" s="126"/>
      <c r="J374" s="126"/>
      <c r="K374" s="93"/>
      <c r="L374" s="162"/>
      <c r="M374" s="126"/>
      <c r="N374" s="132"/>
      <c r="O374" s="126"/>
      <c r="P374" s="162"/>
      <c r="Q374" s="126"/>
      <c r="R374" s="182">
        <f>SUBTOTAL(109,Tabla551810723519260305311[RATION])</f>
        <v>31.7489810765058</v>
      </c>
    </row>
    <row r="378" spans="2:18" x14ac:dyDescent="0.3">
      <c r="B378" s="116"/>
      <c r="C378" s="59"/>
      <c r="D378" s="137"/>
      <c r="E378" s="117" t="s">
        <v>21</v>
      </c>
      <c r="F378" s="116"/>
      <c r="G378" s="118"/>
      <c r="H378" s="116"/>
      <c r="I378" s="116"/>
      <c r="J378" s="93"/>
      <c r="K378" s="278" t="s">
        <v>25</v>
      </c>
      <c r="L378" s="278"/>
      <c r="M378" s="278"/>
      <c r="N378" s="59"/>
      <c r="O378" s="59"/>
      <c r="P378" s="118"/>
    </row>
    <row r="379" spans="2:18" ht="14.4" x14ac:dyDescent="0.3">
      <c r="B379" s="257" t="s">
        <v>308</v>
      </c>
      <c r="C379" s="60" t="s">
        <v>111</v>
      </c>
      <c r="D379" s="178" t="s">
        <v>7</v>
      </c>
      <c r="E379" s="119" t="s">
        <v>16</v>
      </c>
      <c r="F379" s="120" t="s">
        <v>29</v>
      </c>
      <c r="G379" s="60" t="s">
        <v>22</v>
      </c>
      <c r="H379" s="121" t="s">
        <v>17</v>
      </c>
      <c r="I379" s="60" t="s">
        <v>18</v>
      </c>
      <c r="J379" s="60" t="s">
        <v>19</v>
      </c>
      <c r="K379" s="60" t="s">
        <v>23</v>
      </c>
      <c r="L379" s="178" t="s">
        <v>28</v>
      </c>
      <c r="M379" s="60" t="s">
        <v>24</v>
      </c>
      <c r="N379" s="133" t="s">
        <v>26</v>
      </c>
      <c r="O379" s="178" t="s">
        <v>343</v>
      </c>
      <c r="P379" s="178" t="s">
        <v>21</v>
      </c>
      <c r="Q379" s="121" t="s">
        <v>27</v>
      </c>
      <c r="R379" s="179" t="s">
        <v>20</v>
      </c>
    </row>
    <row r="380" spans="2:18" x14ac:dyDescent="0.3">
      <c r="B380" s="27" t="str">
        <f>+'WHISKY Y WHISKEY'!B6</f>
        <v>MEDIA OLD PARR 12 AÑOS</v>
      </c>
      <c r="C380" s="27"/>
      <c r="D380" s="180">
        <f>+'WHISKY Y WHISKEY'!I9</f>
        <v>93956</v>
      </c>
      <c r="E380" s="122">
        <f>+'WHISKY Y WHISKEY'!I10</f>
        <v>257000</v>
      </c>
      <c r="F380" s="122">
        <f>+E380/1.08*0.08</f>
        <v>19037.037037037036</v>
      </c>
      <c r="G380" s="123">
        <f>+Tabla551810723519260305312[[#This Row],[VENTA]]-Tabla551810723519260305312[[#This Row],[ICO 8%]]</f>
        <v>237962.96296296298</v>
      </c>
      <c r="H380" s="124">
        <f>+Tabla551810723519260305312[[#This Row],[COSTO]]/Tabla551810723519260305312[[#This Row],[BASE]]</f>
        <v>0.39483455252918287</v>
      </c>
      <c r="I380" s="125">
        <f>+Tabla551810723519260305312[[#This Row],[BASE]]/Tabla551810723519260305312[[#This Row],[COSTO]]</f>
        <v>2.5327064047316084</v>
      </c>
      <c r="J380" s="126" t="e">
        <f>+VLOOKUP(Tabla551810723519260305312[[#This Row],[WHISKY Y WHISKEY]],Tabla77[#All],3,0)</f>
        <v>#N/A</v>
      </c>
      <c r="K380" s="136">
        <f t="shared" ref="K380:K391" si="117">+D380/(100-60)*100</f>
        <v>234890</v>
      </c>
      <c r="L380" s="180">
        <f>+K380/1.08*0.08</f>
        <v>17399.259259259259</v>
      </c>
      <c r="M380" s="123">
        <f>+Tabla551810723519260305312[[#This Row],[PRECIO SUGERIDO]]+Tabla551810723519260305312[[#This Row],[ICO2]]</f>
        <v>252289.25925925927</v>
      </c>
      <c r="N380" s="129">
        <v>257000</v>
      </c>
      <c r="O380" s="122">
        <f t="shared" ref="O380:O391" si="118">+N380/1.08*0.08</f>
        <v>19037.037037037036</v>
      </c>
      <c r="P380" s="180">
        <f>+Tabla551810723519260305312[[#This Row],[PRECIO N]]-Tabla551810723519260305312[[#This Row],[Columna1]]</f>
        <v>237962.96296296298</v>
      </c>
      <c r="Q380" s="124">
        <f>+Tabla551810723519260305312[[#This Row],[COSTO]]/Tabla551810723519260305312[[#This Row],[CARTA]]</f>
        <v>0.39483455252918287</v>
      </c>
      <c r="R380" s="182">
        <f>+Tabla551810723519260305312[[#This Row],[PRECIO N]]/Tabla551810723519260305312[[#This Row],[COSTO]]</f>
        <v>2.7353229171101368</v>
      </c>
    </row>
    <row r="381" spans="2:18" x14ac:dyDescent="0.3">
      <c r="B381" s="27" t="str">
        <f>+'WHISKY Y WHISKEY'!B18</f>
        <v xml:space="preserve">WHISKY OLD PARR 12 AÑOS </v>
      </c>
      <c r="C381" s="27"/>
      <c r="D381" s="180">
        <f>+'WHISKY Y WHISKEY'!I21</f>
        <v>129039</v>
      </c>
      <c r="E381" s="122">
        <f>+'WHISKY Y WHISKEY'!I22</f>
        <v>345000</v>
      </c>
      <c r="F381" s="122">
        <f>+E381/1.08*0.08</f>
        <v>25555.555555555555</v>
      </c>
      <c r="G381" s="123">
        <f>+Tabla551810723519260305312[[#This Row],[VENTA]]-Tabla551810723519260305312[[#This Row],[ICO 8%]]</f>
        <v>319444.44444444444</v>
      </c>
      <c r="H381" s="124">
        <f>+Tabla551810723519260305312[[#This Row],[COSTO]]/Tabla551810723519260305312[[#This Row],[BASE]]</f>
        <v>0.4039481739130435</v>
      </c>
      <c r="I381" s="125">
        <f>+Tabla551810723519260305312[[#This Row],[BASE]]/Tabla551810723519260305312[[#This Row],[COSTO]]</f>
        <v>2.4755650961681694</v>
      </c>
      <c r="J381" s="126" t="e">
        <f>+VLOOKUP(Tabla551810723519260305312[[#This Row],[WHISKY Y WHISKEY]],Tabla77[#All],3,0)</f>
        <v>#N/A</v>
      </c>
      <c r="K381" s="136">
        <f t="shared" si="117"/>
        <v>322597.5</v>
      </c>
      <c r="L381" s="180">
        <f>+K381/1.08*0.08</f>
        <v>23896.111111111109</v>
      </c>
      <c r="M381" s="123">
        <f>+Tabla551810723519260305312[[#This Row],[PRECIO SUGERIDO]]+Tabla551810723519260305312[[#This Row],[ICO2]]</f>
        <v>346493.61111111112</v>
      </c>
      <c r="N381" s="129">
        <v>345000</v>
      </c>
      <c r="O381" s="122">
        <f t="shared" si="118"/>
        <v>25555.555555555555</v>
      </c>
      <c r="P381" s="180">
        <f>+Tabla551810723519260305312[[#This Row],[PRECIO N]]-Tabla551810723519260305312[[#This Row],[Columna1]]</f>
        <v>319444.44444444444</v>
      </c>
      <c r="Q381" s="124">
        <f>+Tabla551810723519260305312[[#This Row],[COSTO]]/Tabla551810723519260305312[[#This Row],[CARTA]]</f>
        <v>0.4039481739130435</v>
      </c>
      <c r="R381" s="182">
        <f>+Tabla551810723519260305312[[#This Row],[PRECIO N]]/Tabla551810723519260305312[[#This Row],[COSTO]]</f>
        <v>2.673610303861623</v>
      </c>
    </row>
    <row r="382" spans="2:18" x14ac:dyDescent="0.3">
      <c r="B382" s="27" t="str">
        <f>+'WHISKY Y WHISKEY'!B30</f>
        <v xml:space="preserve">MEDIA BUCHANANS 12 </v>
      </c>
      <c r="C382" s="27"/>
      <c r="D382" s="180">
        <f>+'WHISKY Y WHISKEY'!I33</f>
        <v>86744</v>
      </c>
      <c r="E382" s="122">
        <f>+'WHISKY Y WHISKEY'!I34</f>
        <v>220000</v>
      </c>
      <c r="F382" s="122">
        <f>+E382/1.08*0.08</f>
        <v>16296.296296296294</v>
      </c>
      <c r="G382" s="123">
        <f>+Tabla551810723519260305312[[#This Row],[VENTA]]-Tabla551810723519260305312[[#This Row],[ICO 8%]]</f>
        <v>203703.70370370371</v>
      </c>
      <c r="H382" s="124">
        <f>+Tabla551810723519260305312[[#This Row],[COSTO]]/Tabla551810723519260305312[[#This Row],[BASE]]</f>
        <v>0.42583418181818183</v>
      </c>
      <c r="I382" s="125">
        <f>+Tabla551810723519260305312[[#This Row],[BASE]]/Tabla551810723519260305312[[#This Row],[COSTO]]</f>
        <v>2.3483319157947951</v>
      </c>
      <c r="J382" s="126" t="e">
        <f>+VLOOKUP(Tabla551810723519260305312[[#This Row],[WHISKY Y WHISKEY]],Tabla77[#All],3,0)</f>
        <v>#N/A</v>
      </c>
      <c r="K382" s="136">
        <f t="shared" si="117"/>
        <v>216860</v>
      </c>
      <c r="L382" s="180">
        <f>+K382/1.08*0.08</f>
        <v>16063.703703703704</v>
      </c>
      <c r="M382" s="123">
        <f>+Tabla551810723519260305312[[#This Row],[PRECIO SUGERIDO]]+Tabla551810723519260305312[[#This Row],[ICO2]]</f>
        <v>232923.70370370371</v>
      </c>
      <c r="N382" s="129">
        <v>220000</v>
      </c>
      <c r="O382" s="122">
        <f t="shared" si="118"/>
        <v>16296.296296296294</v>
      </c>
      <c r="P382" s="180">
        <f>+Tabla551810723519260305312[[#This Row],[PRECIO N]]-Tabla551810723519260305312[[#This Row],[Columna1]]</f>
        <v>203703.70370370371</v>
      </c>
      <c r="Q382" s="124">
        <f>+Tabla551810723519260305312[[#This Row],[COSTO]]/Tabla551810723519260305312[[#This Row],[CARTA]]</f>
        <v>0.42583418181818183</v>
      </c>
      <c r="R382" s="182">
        <f>+Tabla551810723519260305312[[#This Row],[PRECIO N]]/Tabla551810723519260305312[[#This Row],[COSTO]]</f>
        <v>2.5361984690583785</v>
      </c>
    </row>
    <row r="383" spans="2:18" x14ac:dyDescent="0.3">
      <c r="B383" s="27" t="str">
        <f>+'WHISKY Y WHISKEY'!B42</f>
        <v xml:space="preserve">BUCHANANS 12 </v>
      </c>
      <c r="C383" s="27"/>
      <c r="D383" s="180">
        <f>+'WHISKY Y WHISKEY'!I45</f>
        <v>147712.00000008001</v>
      </c>
      <c r="E383" s="122">
        <f>+'WHISKY Y WHISKEY'!I46</f>
        <v>384000</v>
      </c>
      <c r="F383" s="122">
        <f>+E383/1.08*0.08</f>
        <v>28444.444444444442</v>
      </c>
      <c r="G383" s="123">
        <f>+Tabla551810723519260305312[[#This Row],[VENTA]]-Tabla551810723519260305312[[#This Row],[ICO 8%]]</f>
        <v>355555.55555555556</v>
      </c>
      <c r="H383" s="124">
        <f>+Tabla551810723519260305312[[#This Row],[COSTO]]/Tabla551810723519260305312[[#This Row],[BASE]]</f>
        <v>0.41544000000022502</v>
      </c>
      <c r="I383" s="125">
        <f>+Tabla551810723519260305312[[#This Row],[BASE]]/Tabla551810723519260305312[[#This Row],[COSTO]]</f>
        <v>2.4070864625444308</v>
      </c>
      <c r="J383" s="126" t="e">
        <f>+VLOOKUP(Tabla551810723519260305312[[#This Row],[WHISKY Y WHISKEY]],Tabla77[#All],3,0)</f>
        <v>#N/A</v>
      </c>
      <c r="K383" s="136">
        <f t="shared" si="117"/>
        <v>369280.0000002</v>
      </c>
      <c r="L383" s="180">
        <f>+K383/1.08*0.08</f>
        <v>27354.07407408889</v>
      </c>
      <c r="M383" s="123">
        <f>+Tabla551810723519260305312[[#This Row],[PRECIO SUGERIDO]]+Tabla551810723519260305312[[#This Row],[ICO2]]</f>
        <v>396634.07407428889</v>
      </c>
      <c r="N383" s="129">
        <v>384000</v>
      </c>
      <c r="O383" s="122">
        <f t="shared" si="118"/>
        <v>28444.444444444442</v>
      </c>
      <c r="P383" s="180">
        <f>+Tabla551810723519260305312[[#This Row],[PRECIO N]]-Tabla551810723519260305312[[#This Row],[Columna1]]</f>
        <v>355555.55555555556</v>
      </c>
      <c r="Q383" s="124">
        <f>+Tabla551810723519260305312[[#This Row],[COSTO]]/Tabla551810723519260305312[[#This Row],[CARTA]]</f>
        <v>0.41544000000022502</v>
      </c>
      <c r="R383" s="182">
        <f>+Tabla551810723519260305312[[#This Row],[PRECIO N]]/Tabla551810723519260305312[[#This Row],[COSTO]]</f>
        <v>2.5996533795479855</v>
      </c>
    </row>
    <row r="384" spans="2:18" x14ac:dyDescent="0.3">
      <c r="B384" s="27" t="str">
        <f>+'WHISKY Y WHISKEY'!B54</f>
        <v>BUCHANANS 18 AÑOS</v>
      </c>
      <c r="C384" s="27"/>
      <c r="D384" s="180">
        <f>+'WHISKY Y WHISKEY'!I57</f>
        <v>357526.99999992002</v>
      </c>
      <c r="E384" s="122">
        <f>+'WHISKY Y WHISKEY'!I58</f>
        <v>926000</v>
      </c>
      <c r="F384" s="122">
        <f>+E384/1.08*0.08</f>
        <v>68592.592592592584</v>
      </c>
      <c r="G384" s="123">
        <f>+Tabla551810723519260305312[[#This Row],[VENTA]]-Tabla551810723519260305312[[#This Row],[ICO 8%]]</f>
        <v>857407.40740740742</v>
      </c>
      <c r="H384" s="124">
        <f>+Tabla551810723519260305312[[#This Row],[COSTO]]/Tabla551810723519260305312[[#This Row],[BASE]]</f>
        <v>0.41698613390919398</v>
      </c>
      <c r="I384" s="125">
        <f>+Tabla551810723519260305312[[#This Row],[BASE]]/Tabla551810723519260305312[[#This Row],[COSTO]]</f>
        <v>2.3981612784701554</v>
      </c>
      <c r="J384" s="126" t="e">
        <f>+VLOOKUP(Tabla551810723519260305312[[#This Row],[WHISKY Y WHISKEY]],Tabla77[#All],3,0)</f>
        <v>#N/A</v>
      </c>
      <c r="K384" s="136">
        <f t="shared" si="117"/>
        <v>893817.4999998</v>
      </c>
      <c r="L384" s="180">
        <f>+K384/1.08*0.08</f>
        <v>66208.703703688894</v>
      </c>
      <c r="M384" s="123">
        <f>+Tabla551810723519260305312[[#This Row],[PRECIO SUGERIDO]]+Tabla551810723519260305312[[#This Row],[ICO2]]</f>
        <v>960026.20370348892</v>
      </c>
      <c r="N384" s="129">
        <v>890000</v>
      </c>
      <c r="O384" s="122">
        <f t="shared" si="118"/>
        <v>65925.925925925927</v>
      </c>
      <c r="P384" s="180">
        <f>+Tabla551810723519260305312[[#This Row],[PRECIO N]]-Tabla551810723519260305312[[#This Row],[Columna1]]</f>
        <v>824074.07407407404</v>
      </c>
      <c r="Q384" s="124">
        <f>+Tabla551810723519260305312[[#This Row],[COSTO]]/Tabla551810723519260305312[[#This Row],[CARTA]]</f>
        <v>0.4338529887639479</v>
      </c>
      <c r="R384" s="182">
        <f>+Tabla551810723519260305312[[#This Row],[PRECIO N]]/Tabla551810723519260305312[[#This Row],[COSTO]]</f>
        <v>2.4893224847359754</v>
      </c>
    </row>
    <row r="385" spans="2:18" x14ac:dyDescent="0.3">
      <c r="B385" s="27" t="str">
        <f>+'WHISKY Y WHISKEY'!B67</f>
        <v>WHISKY MACALLAN 12 AÑOS</v>
      </c>
      <c r="C385" s="27"/>
      <c r="D385" s="180">
        <f>+'WHISKY Y WHISKEY'!I70</f>
        <v>336999.99999995995</v>
      </c>
      <c r="E385" s="122">
        <f>+'WHISKY Y WHISKEY'!I71</f>
        <v>923000</v>
      </c>
      <c r="F385" s="122">
        <f t="shared" ref="F385" si="119">+E385/1.08*0.08</f>
        <v>68370.370370370365</v>
      </c>
      <c r="G385" s="123">
        <f>+Tabla551810723519260305312[[#This Row],[VENTA]]-Tabla551810723519260305312[[#This Row],[ICO 8%]]</f>
        <v>854629.62962962966</v>
      </c>
      <c r="H385" s="124">
        <f>+Tabla551810723519260305312[[#This Row],[COSTO]]/Tabla551810723519260305312[[#This Row],[BASE]]</f>
        <v>0.39432286023830632</v>
      </c>
      <c r="I385" s="125">
        <f>+Tabla551810723519260305312[[#This Row],[BASE]]/Tabla551810723519260305312[[#This Row],[COSTO]]</f>
        <v>2.5359929662603302</v>
      </c>
      <c r="J385" s="126" t="e">
        <f>+VLOOKUP(Tabla551810723519260305312[[#This Row],[WHISKY Y WHISKEY]],Tabla77[#All],3,0)</f>
        <v>#N/A</v>
      </c>
      <c r="K385" s="136">
        <f t="shared" si="117"/>
        <v>842499.9999999</v>
      </c>
      <c r="L385" s="180">
        <f t="shared" ref="L385" si="120">+K385/1.08*0.08</f>
        <v>62407.407407399995</v>
      </c>
      <c r="M385" s="123">
        <f>+Tabla551810723519260305312[[#This Row],[PRECIO SUGERIDO]]+Tabla551810723519260305312[[#This Row],[ICO2]]</f>
        <v>904907.40740729996</v>
      </c>
      <c r="N385" s="129">
        <v>850000</v>
      </c>
      <c r="O385" s="122">
        <f t="shared" si="118"/>
        <v>62962.962962962956</v>
      </c>
      <c r="P385" s="180">
        <f>+Tabla551810723519260305312[[#This Row],[PRECIO N]]-Tabla551810723519260305312[[#This Row],[Columna1]]</f>
        <v>787037.03703703708</v>
      </c>
      <c r="Q385" s="124">
        <f>+Tabla551810723519260305312[[#This Row],[COSTO]]/Tabla551810723519260305312[[#This Row],[CARTA]]</f>
        <v>0.42818823529406674</v>
      </c>
      <c r="R385" s="182">
        <f>+Tabla551810723519260305312[[#This Row],[PRECIO N]]/Tabla551810723519260305312[[#This Row],[COSTO]]</f>
        <v>2.5222551928786379</v>
      </c>
    </row>
    <row r="386" spans="2:18" x14ac:dyDescent="0.3">
      <c r="B386" s="27" t="str">
        <f>+'WHISKY Y WHISKEY'!B78</f>
        <v xml:space="preserve">BULLEIT BOURBON </v>
      </c>
      <c r="C386" s="27"/>
      <c r="D386" s="180">
        <f>+'WHISKY Y WHISKEY'!I81</f>
        <v>149893.99999991999</v>
      </c>
      <c r="E386" s="122">
        <f>+'WHISKY Y WHISKEY'!I82</f>
        <v>416000</v>
      </c>
      <c r="F386" s="122">
        <f t="shared" ref="F386:F391" si="121">+E386/1.08*0.08</f>
        <v>30814.814814814814</v>
      </c>
      <c r="G386" s="123">
        <f>+Tabla551810723519260305312[[#This Row],[VENTA]]-Tabla551810723519260305312[[#This Row],[ICO 8%]]</f>
        <v>385185.18518518517</v>
      </c>
      <c r="H386" s="124">
        <f>+Tabla551810723519260305312[[#This Row],[COSTO]]/Tabla551810723519260305312[[#This Row],[BASE]]</f>
        <v>0.38914788461517691</v>
      </c>
      <c r="I386" s="125">
        <f>+Tabla551810723519260305312[[#This Row],[BASE]]/Tabla551810723519260305312[[#This Row],[COSTO]]</f>
        <v>2.5697171680346829</v>
      </c>
      <c r="J386" s="126" t="e">
        <f>+VLOOKUP(Tabla551810723519260305312[[#This Row],[WHISKY Y WHISKEY]],Tabla77[#All],3,0)</f>
        <v>#N/A</v>
      </c>
      <c r="K386" s="136">
        <f t="shared" si="117"/>
        <v>374734.9999998</v>
      </c>
      <c r="L386" s="180">
        <f t="shared" ref="L386:L391" si="122">+K386/1.08*0.08</f>
        <v>27758.148148133332</v>
      </c>
      <c r="M386" s="123">
        <f>+Tabla551810723519260305312[[#This Row],[PRECIO SUGERIDO]]+Tabla551810723519260305312[[#This Row],[ICO2]]</f>
        <v>402493.1481479333</v>
      </c>
      <c r="N386" s="129">
        <v>400000</v>
      </c>
      <c r="O386" s="122">
        <f t="shared" si="118"/>
        <v>29629.629629629628</v>
      </c>
      <c r="P386" s="180">
        <f>+Tabla551810723519260305312[[#This Row],[PRECIO N]]-Tabla551810723519260305312[[#This Row],[Columna1]]</f>
        <v>370370.37037037039</v>
      </c>
      <c r="Q386" s="124">
        <f>+Tabla551810723519260305312[[#This Row],[COSTO]]/Tabla551810723519260305312[[#This Row],[CARTA]]</f>
        <v>0.40471379999978396</v>
      </c>
      <c r="R386" s="182">
        <f>+Tabla551810723519260305312[[#This Row],[PRECIO N]]/Tabla551810723519260305312[[#This Row],[COSTO]]</f>
        <v>2.6685524437283248</v>
      </c>
    </row>
    <row r="387" spans="2:18" x14ac:dyDescent="0.3">
      <c r="B387" s="27" t="str">
        <f>+'WHISKY Y WHISKEY'!B90</f>
        <v>TRAGO OLD PARR 12 AÑOS</v>
      </c>
      <c r="C387" s="27"/>
      <c r="D387" s="180">
        <f>+'WHISKY Y WHISKEY'!I93</f>
        <v>10753.25</v>
      </c>
      <c r="E387" s="122">
        <f>+'WHISKY Y WHISKEY'!I94</f>
        <v>29000</v>
      </c>
      <c r="F387" s="122">
        <f t="shared" si="121"/>
        <v>2148.1481481481483</v>
      </c>
      <c r="G387" s="123">
        <f>+Tabla551810723519260305312[[#This Row],[VENTA]]-Tabla551810723519260305312[[#This Row],[ICO 8%]]</f>
        <v>26851.85185185185</v>
      </c>
      <c r="H387" s="124">
        <f>+Tabla551810723519260305312[[#This Row],[COSTO]]/Tabla551810723519260305312[[#This Row],[BASE]]</f>
        <v>0.40046586206896556</v>
      </c>
      <c r="I387" s="125">
        <f>+Tabla551810723519260305312[[#This Row],[BASE]]/Tabla551810723519260305312[[#This Row],[COSTO]]</f>
        <v>2.4970917491783275</v>
      </c>
      <c r="J387" s="126" t="e">
        <f>+VLOOKUP(Tabla551810723519260305312[[#This Row],[WHISKY Y WHISKEY]],Tabla77[#All],3,0)</f>
        <v>#N/A</v>
      </c>
      <c r="K387" s="136">
        <f t="shared" si="117"/>
        <v>26883.125</v>
      </c>
      <c r="L387" s="180">
        <f t="shared" si="122"/>
        <v>1991.3425925925924</v>
      </c>
      <c r="M387" s="123">
        <f>+Tabla551810723519260305312[[#This Row],[PRECIO SUGERIDO]]+Tabla551810723519260305312[[#This Row],[ICO2]]</f>
        <v>28874.467592592591</v>
      </c>
      <c r="N387" s="129">
        <v>31000</v>
      </c>
      <c r="O387" s="122">
        <f t="shared" si="118"/>
        <v>2296.2962962962961</v>
      </c>
      <c r="P387" s="180">
        <f>+Tabla551810723519260305312[[#This Row],[PRECIO N]]-Tabla551810723519260305312[[#This Row],[Columna1]]</f>
        <v>28703.703703703704</v>
      </c>
      <c r="Q387" s="124">
        <f>+Tabla551810723519260305312[[#This Row],[COSTO]]/Tabla551810723519260305312[[#This Row],[CARTA]]</f>
        <v>0.37462935483870968</v>
      </c>
      <c r="R387" s="182">
        <f>+Tabla551810723519260305312[[#This Row],[PRECIO N]]/Tabla551810723519260305312[[#This Row],[COSTO]]</f>
        <v>2.8828493711203591</v>
      </c>
    </row>
    <row r="388" spans="2:18" x14ac:dyDescent="0.3">
      <c r="B388" s="27" t="str">
        <f>+'WHISKY Y WHISKEY'!B103</f>
        <v xml:space="preserve">TRAGO BUCHANANS 12 </v>
      </c>
      <c r="C388" s="27"/>
      <c r="D388" s="180">
        <f>+'WHISKY Y WHISKEY'!I106</f>
        <v>12309.333333340001</v>
      </c>
      <c r="E388" s="122">
        <f>+'WHISKY Y WHISKEY'!I107</f>
        <v>32000</v>
      </c>
      <c r="F388" s="122">
        <f t="shared" si="121"/>
        <v>2370.3703703703704</v>
      </c>
      <c r="G388" s="123">
        <f>+Tabla551810723519260305312[[#This Row],[VENTA]]-Tabla551810723519260305312[[#This Row],[ICO 8%]]</f>
        <v>29629.629629629628</v>
      </c>
      <c r="H388" s="124">
        <f>+Tabla551810723519260305312[[#This Row],[COSTO]]/Tabla551810723519260305312[[#This Row],[BASE]]</f>
        <v>0.41544000000022502</v>
      </c>
      <c r="I388" s="125">
        <f>+Tabla551810723519260305312[[#This Row],[BASE]]/Tabla551810723519260305312[[#This Row],[COSTO]]</f>
        <v>2.4070864625444308</v>
      </c>
      <c r="J388" s="126" t="e">
        <f>+VLOOKUP(Tabla551810723519260305312[[#This Row],[WHISKY Y WHISKEY]],Tabla77[#All],3,0)</f>
        <v>#N/A</v>
      </c>
      <c r="K388" s="136">
        <f t="shared" si="117"/>
        <v>30773.333333350001</v>
      </c>
      <c r="L388" s="180">
        <f t="shared" si="122"/>
        <v>2279.5061728407409</v>
      </c>
      <c r="M388" s="123">
        <f>+Tabla551810723519260305312[[#This Row],[PRECIO SUGERIDO]]+Tabla551810723519260305312[[#This Row],[ICO2]]</f>
        <v>33052.839506190743</v>
      </c>
      <c r="N388" s="129">
        <v>35000</v>
      </c>
      <c r="O388" s="122">
        <f t="shared" si="118"/>
        <v>2592.5925925925926</v>
      </c>
      <c r="P388" s="180">
        <f>+Tabla551810723519260305312[[#This Row],[PRECIO N]]-Tabla551810723519260305312[[#This Row],[Columna1]]</f>
        <v>32407.407407407409</v>
      </c>
      <c r="Q388" s="124">
        <f>+Tabla551810723519260305312[[#This Row],[COSTO]]/Tabla551810723519260305312[[#This Row],[CARTA]]</f>
        <v>0.37983085714306286</v>
      </c>
      <c r="R388" s="182">
        <f>+Tabla551810723519260305312[[#This Row],[PRECIO N]]/Tabla551810723519260305312[[#This Row],[COSTO]]</f>
        <v>2.8433708838806089</v>
      </c>
    </row>
    <row r="389" spans="2:18" x14ac:dyDescent="0.3">
      <c r="B389" s="27" t="str">
        <f>+'WHISKY Y WHISKEY'!B115</f>
        <v>TRAGO BUCHANANS 18 AÑOS</v>
      </c>
      <c r="C389" s="27"/>
      <c r="D389" s="180">
        <f>+'WHISKY Y WHISKEY'!I118</f>
        <v>29793.916666660003</v>
      </c>
      <c r="E389" s="122">
        <f>+'WHISKY Y WHISKEY'!I119</f>
        <v>78000</v>
      </c>
      <c r="F389" s="122">
        <f t="shared" si="121"/>
        <v>5777.7777777777774</v>
      </c>
      <c r="G389" s="123">
        <f>+Tabla551810723519260305312[[#This Row],[VENTA]]-Tabla551810723519260305312[[#This Row],[ICO 8%]]</f>
        <v>72222.222222222219</v>
      </c>
      <c r="H389" s="124">
        <f>+Tabla551810723519260305312[[#This Row],[COSTO]]/Tabla551810723519260305312[[#This Row],[BASE]]</f>
        <v>0.41253115384606159</v>
      </c>
      <c r="I389" s="125">
        <f>+Tabla551810723519260305312[[#This Row],[BASE]]/Tabla551810723519260305312[[#This Row],[COSTO]]</f>
        <v>2.4240593484320359</v>
      </c>
      <c r="J389" s="126" t="e">
        <f>+VLOOKUP(Tabla551810723519260305312[[#This Row],[WHISKY Y WHISKEY]],Tabla77[#All],3,0)</f>
        <v>#N/A</v>
      </c>
      <c r="K389" s="136">
        <f t="shared" si="117"/>
        <v>74484.79166665001</v>
      </c>
      <c r="L389" s="180">
        <f t="shared" si="122"/>
        <v>5517.3919753074078</v>
      </c>
      <c r="M389" s="123">
        <f>+Tabla551810723519260305312[[#This Row],[PRECIO SUGERIDO]]+Tabla551810723519260305312[[#This Row],[ICO2]]</f>
        <v>80002.18364195741</v>
      </c>
      <c r="N389" s="129">
        <v>78000</v>
      </c>
      <c r="O389" s="122">
        <f t="shared" si="118"/>
        <v>5777.7777777777774</v>
      </c>
      <c r="P389" s="180">
        <f>+Tabla551810723519260305312[[#This Row],[PRECIO N]]-Tabla551810723519260305312[[#This Row],[Columna1]]</f>
        <v>72222.222222222219</v>
      </c>
      <c r="Q389" s="124">
        <f>+Tabla551810723519260305312[[#This Row],[COSTO]]/Tabla551810723519260305312[[#This Row],[CARTA]]</f>
        <v>0.41253115384606159</v>
      </c>
      <c r="R389" s="182">
        <f>+Tabla551810723519260305312[[#This Row],[PRECIO N]]/Tabla551810723519260305312[[#This Row],[COSTO]]</f>
        <v>2.6179840963065986</v>
      </c>
    </row>
    <row r="390" spans="2:18" x14ac:dyDescent="0.3">
      <c r="B390" s="27" t="str">
        <f>+'WHISKY Y WHISKEY'!B128</f>
        <v>TRAGO WHISKY MACALLAN 12 AÑOS</v>
      </c>
      <c r="C390" s="27"/>
      <c r="D390" s="180">
        <f>+'WHISKY Y WHISKEY'!I131</f>
        <v>30636.363636359998</v>
      </c>
      <c r="E390" s="122">
        <f>+'WHISKY Y WHISKEY'!I132</f>
        <v>78000</v>
      </c>
      <c r="F390" s="122">
        <f t="shared" si="121"/>
        <v>5777.7777777777774</v>
      </c>
      <c r="G390" s="123">
        <f>+Tabla551810723519260305312[[#This Row],[VENTA]]-Tabla551810723519260305312[[#This Row],[ICO 8%]]</f>
        <v>72222.222222222219</v>
      </c>
      <c r="H390" s="124">
        <f>+Tabla551810723519260305312[[#This Row],[COSTO]]/Tabla551810723519260305312[[#This Row],[BASE]]</f>
        <v>0.42419580419575381</v>
      </c>
      <c r="I390" s="125">
        <f>+Tabla551810723519260305312[[#This Row],[BASE]]/Tabla551810723519260305312[[#This Row],[COSTO]]</f>
        <v>2.3574019122983345</v>
      </c>
      <c r="J390" s="126" t="e">
        <f>+VLOOKUP(Tabla551810723519260305312[[#This Row],[WHISKY Y WHISKEY]],Tabla77[#All],3,0)</f>
        <v>#N/A</v>
      </c>
      <c r="K390" s="137">
        <f t="shared" si="117"/>
        <v>76590.909090899993</v>
      </c>
      <c r="L390" s="180">
        <f t="shared" si="122"/>
        <v>5673.4006733999995</v>
      </c>
      <c r="M390" s="123">
        <f>+Tabla551810723519260305312[[#This Row],[PRECIO SUGERIDO]]+Tabla551810723519260305312[[#This Row],[ICO2]]</f>
        <v>82264.309764299993</v>
      </c>
      <c r="N390" s="129">
        <v>80000</v>
      </c>
      <c r="O390" s="122">
        <f t="shared" si="118"/>
        <v>5925.9259259259261</v>
      </c>
      <c r="P390" s="180">
        <f>+Tabla551810723519260305312[[#This Row],[PRECIO N]]-Tabla551810723519260305312[[#This Row],[Columna1]]</f>
        <v>74074.074074074073</v>
      </c>
      <c r="Q390" s="124">
        <f>+Tabla551810723519260305312[[#This Row],[COSTO]]/Tabla551810723519260305312[[#This Row],[CARTA]]</f>
        <v>0.41359090909085999</v>
      </c>
      <c r="R390" s="182">
        <f>+Tabla551810723519260305312[[#This Row],[PRECIO N]]/Tabla551810723519260305312[[#This Row],[COSTO]]</f>
        <v>2.6112759643920014</v>
      </c>
    </row>
    <row r="391" spans="2:18" x14ac:dyDescent="0.3">
      <c r="B391" s="27" t="str">
        <f>+'WHISKY Y WHISKEY'!B140</f>
        <v xml:space="preserve">WHISKEY BULLIET BOURBON </v>
      </c>
      <c r="C391" s="27"/>
      <c r="D391" s="180">
        <f>+'WHISKY Y WHISKEY'!I143</f>
        <v>12491.166666659999</v>
      </c>
      <c r="E391" s="122">
        <f>+'WHISKY Y WHISKEY'!I144</f>
        <v>35000</v>
      </c>
      <c r="F391" s="122">
        <f t="shared" si="121"/>
        <v>2592.5925925925926</v>
      </c>
      <c r="G391" s="123">
        <f>+Tabla551810723519260305312[[#This Row],[VENTA]]-Tabla551810723519260305312[[#This Row],[ICO 8%]]</f>
        <v>32407.407407407409</v>
      </c>
      <c r="H391" s="124">
        <f>+Tabla551810723519260305312[[#This Row],[COSTO]]/Tabla551810723519260305312[[#This Row],[BASE]]</f>
        <v>0.38544171428550855</v>
      </c>
      <c r="I391" s="125">
        <f>+Tabla551810723519260305312[[#This Row],[BASE]]/Tabla551810723519260305312[[#This Row],[COSTO]]</f>
        <v>2.5944259869580937</v>
      </c>
      <c r="J391" s="126" t="e">
        <f>+VLOOKUP(Tabla551810723519260305312[[#This Row],[WHISKY Y WHISKEY]],Tabla77[#All],3,0)</f>
        <v>#N/A</v>
      </c>
      <c r="K391" s="137">
        <f t="shared" si="117"/>
        <v>31227.916666649999</v>
      </c>
      <c r="L391" s="180">
        <f t="shared" si="122"/>
        <v>2313.1790123444439</v>
      </c>
      <c r="M391" s="123">
        <f>+Tabla551810723519260305312[[#This Row],[PRECIO SUGERIDO]]+Tabla551810723519260305312[[#This Row],[ICO2]]</f>
        <v>33541.095678994439</v>
      </c>
      <c r="N391" s="129">
        <v>36000</v>
      </c>
      <c r="O391" s="122">
        <f t="shared" si="118"/>
        <v>2666.6666666666665</v>
      </c>
      <c r="P391" s="180">
        <f>+Tabla551810723519260305312[[#This Row],[PRECIO N]]-Tabla551810723519260305312[[#This Row],[Columna1]]</f>
        <v>33333.333333333336</v>
      </c>
      <c r="Q391" s="124">
        <f>+Tabla551810723519260305312[[#This Row],[COSTO]]/Tabla551810723519260305312[[#This Row],[CARTA]]</f>
        <v>0.37473499999979998</v>
      </c>
      <c r="R391" s="182">
        <f>+Tabla551810723519260305312[[#This Row],[PRECIO N]]/Tabla551810723519260305312[[#This Row],[COSTO]]</f>
        <v>2.8820366392265906</v>
      </c>
    </row>
    <row r="392" spans="2:18" x14ac:dyDescent="0.3">
      <c r="B392" s="27" t="s">
        <v>30</v>
      </c>
      <c r="C392" s="27"/>
      <c r="D392" s="162"/>
      <c r="E392" s="126"/>
      <c r="F392" s="126"/>
      <c r="G392" s="126"/>
      <c r="H392" s="131">
        <f>SUBTOTAL(101,Tabla551810723519260305312[%])</f>
        <v>0.40654902678498533</v>
      </c>
      <c r="I392" s="126"/>
      <c r="J392" s="126"/>
      <c r="K392" s="93"/>
      <c r="L392" s="162"/>
      <c r="M392" s="126"/>
      <c r="N392" s="132"/>
      <c r="O392" s="126"/>
      <c r="P392" s="162"/>
      <c r="Q392" s="126"/>
      <c r="R392" s="182">
        <f>SUBTOTAL(109,Tabla551810723519260305312[RATION])</f>
        <v>32.062432145847218</v>
      </c>
    </row>
    <row r="396" spans="2:18" x14ac:dyDescent="0.3">
      <c r="B396" s="116"/>
      <c r="C396" s="59"/>
      <c r="D396" s="137"/>
      <c r="E396" s="117" t="s">
        <v>21</v>
      </c>
      <c r="F396" s="116"/>
      <c r="G396" s="118"/>
      <c r="H396" s="116"/>
      <c r="I396" s="116"/>
      <c r="J396" s="93"/>
      <c r="K396" s="278" t="s">
        <v>25</v>
      </c>
      <c r="L396" s="278"/>
      <c r="M396" s="278"/>
      <c r="N396" s="59"/>
      <c r="O396" s="59"/>
      <c r="P396" s="118"/>
    </row>
    <row r="397" spans="2:18" ht="14.4" x14ac:dyDescent="0.3">
      <c r="B397" s="257" t="s">
        <v>309</v>
      </c>
      <c r="C397" s="60" t="s">
        <v>111</v>
      </c>
      <c r="D397" s="178" t="s">
        <v>7</v>
      </c>
      <c r="E397" s="119" t="s">
        <v>16</v>
      </c>
      <c r="F397" s="120" t="s">
        <v>29</v>
      </c>
      <c r="G397" s="60" t="s">
        <v>22</v>
      </c>
      <c r="H397" s="121" t="s">
        <v>17</v>
      </c>
      <c r="I397" s="60" t="s">
        <v>18</v>
      </c>
      <c r="J397" s="60" t="s">
        <v>19</v>
      </c>
      <c r="K397" s="60" t="s">
        <v>23</v>
      </c>
      <c r="L397" s="178" t="s">
        <v>28</v>
      </c>
      <c r="M397" s="60" t="s">
        <v>24</v>
      </c>
      <c r="N397" s="133" t="s">
        <v>26</v>
      </c>
      <c r="O397" s="178" t="s">
        <v>343</v>
      </c>
      <c r="P397" s="178" t="s">
        <v>21</v>
      </c>
      <c r="Q397" s="121" t="s">
        <v>27</v>
      </c>
      <c r="R397" s="179" t="s">
        <v>20</v>
      </c>
    </row>
    <row r="398" spans="2:18" x14ac:dyDescent="0.3">
      <c r="B398" s="27" t="str">
        <f>+VODKA!A6</f>
        <v>ABSOLUT MEDIA</v>
      </c>
      <c r="C398" s="27"/>
      <c r="D398" s="180">
        <f>+VODKA!H9</f>
        <v>0</v>
      </c>
      <c r="E398" s="122">
        <f>+VODKA!H10</f>
        <v>120000</v>
      </c>
      <c r="F398" s="122">
        <f t="shared" ref="F398:F404" si="123">+E398/1.08*0.08</f>
        <v>8888.8888888888887</v>
      </c>
      <c r="G398" s="123">
        <f>+Tabla551810723519260305323[[#This Row],[VENTA]]-Tabla551810723519260305323[[#This Row],[ICO 8%]]</f>
        <v>111111.11111111111</v>
      </c>
      <c r="H398" s="124">
        <f>+Tabla551810723519260305323[[#This Row],[COSTO]]/Tabla551810723519260305323[[#This Row],[BASE]]</f>
        <v>0</v>
      </c>
      <c r="I398" s="125" t="e">
        <f>+Tabla551810723519260305323[[#This Row],[BASE]]/Tabla551810723519260305323[[#This Row],[COSTO]]</f>
        <v>#DIV/0!</v>
      </c>
      <c r="J398" s="126" t="e">
        <f>+VLOOKUP(Tabla551810723519260305323[[#This Row],[VODKA]],Tabla77[#All],3,0)</f>
        <v>#N/A</v>
      </c>
      <c r="K398" s="136">
        <f t="shared" ref="K398:K401" si="124">+D398/(100-60)*100</f>
        <v>0</v>
      </c>
      <c r="L398" s="180">
        <f t="shared" ref="L398:L404" si="125">+K398/1.08*0.08</f>
        <v>0</v>
      </c>
      <c r="M398" s="123">
        <f>+Tabla551810723519260305323[[#This Row],[PRECIO SUGERIDO]]+Tabla551810723519260305323[[#This Row],[ICO2]]</f>
        <v>0</v>
      </c>
      <c r="N398" s="212" t="s">
        <v>1270</v>
      </c>
      <c r="O398" s="122" t="e">
        <f t="shared" ref="O398:O401" si="126">+N398/1.08*0.08</f>
        <v>#VALUE!</v>
      </c>
      <c r="P398" s="180" t="e">
        <f>+Tabla551810723519260305323[[#This Row],[PRECIO N]]-Tabla551810723519260305323[[#This Row],[Columna1]]</f>
        <v>#VALUE!</v>
      </c>
      <c r="Q398" s="124" t="e">
        <f>+Tabla551810723519260305323[[#This Row],[COSTO]]/Tabla551810723519260305323[[#This Row],[CARTA]]</f>
        <v>#VALUE!</v>
      </c>
      <c r="R398" s="182" t="e">
        <f>+Tabla551810723519260305323[[#This Row],[PRECIO N]]/Tabla551810723519260305323[[#This Row],[COSTO]]</f>
        <v>#VALUE!</v>
      </c>
    </row>
    <row r="399" spans="2:18" x14ac:dyDescent="0.3">
      <c r="B399" s="27" t="str">
        <f>+VODKA!A18</f>
        <v>VODKA ABSOLUT</v>
      </c>
      <c r="C399" s="27"/>
      <c r="D399" s="180">
        <f>+VODKA!H21</f>
        <v>77000</v>
      </c>
      <c r="E399" s="122">
        <f>+VODKA!H22</f>
        <v>260000</v>
      </c>
      <c r="F399" s="122">
        <f t="shared" si="123"/>
        <v>19259.259259259259</v>
      </c>
      <c r="G399" s="123">
        <f>+Tabla551810723519260305323[[#This Row],[VENTA]]-Tabla551810723519260305323[[#This Row],[ICO 8%]]</f>
        <v>240740.74074074073</v>
      </c>
      <c r="H399" s="124">
        <f>+Tabla551810723519260305323[[#This Row],[COSTO]]/Tabla551810723519260305323[[#This Row],[BASE]]</f>
        <v>0.31984615384615384</v>
      </c>
      <c r="I399" s="125">
        <f>+Tabla551810723519260305323[[#This Row],[BASE]]/Tabla551810723519260305323[[#This Row],[COSTO]]</f>
        <v>3.1265031265031262</v>
      </c>
      <c r="J399" s="126" t="e">
        <f>+VLOOKUP(Tabla551810723519260305323[[#This Row],[VODKA]],Tabla77[#All],3,0)</f>
        <v>#N/A</v>
      </c>
      <c r="K399" s="136">
        <f t="shared" si="124"/>
        <v>192500</v>
      </c>
      <c r="L399" s="180">
        <f t="shared" si="125"/>
        <v>14259.259259259259</v>
      </c>
      <c r="M399" s="123">
        <f>+Tabla551810723519260305323[[#This Row],[PRECIO SUGERIDO]]+Tabla551810723519260305323[[#This Row],[ICO2]]</f>
        <v>206759.25925925927</v>
      </c>
      <c r="N399" s="212"/>
      <c r="O399" s="122">
        <f t="shared" si="126"/>
        <v>0</v>
      </c>
      <c r="P399" s="180">
        <f>+Tabla551810723519260305323[[#This Row],[PRECIO N]]-Tabla551810723519260305323[[#This Row],[Columna1]]</f>
        <v>0</v>
      </c>
      <c r="Q399" s="124" t="e">
        <f>+Tabla551810723519260305323[[#This Row],[COSTO]]/Tabla551810723519260305323[[#This Row],[CARTA]]</f>
        <v>#DIV/0!</v>
      </c>
      <c r="R399" s="182">
        <f>+Tabla551810723519260305323[[#This Row],[PRECIO N]]/Tabla551810723519260305323[[#This Row],[COSTO]]</f>
        <v>0</v>
      </c>
    </row>
    <row r="400" spans="2:18" x14ac:dyDescent="0.3">
      <c r="B400" s="27" t="str">
        <f>+VODKA!A29</f>
        <v>TRAGO VODKA GREY GOOSE</v>
      </c>
      <c r="C400" s="27"/>
      <c r="D400" s="180">
        <f>+VODKA!H32</f>
        <v>17454.545454539999</v>
      </c>
      <c r="E400" s="122">
        <f>+VODKA!H33</f>
        <v>45000</v>
      </c>
      <c r="F400" s="122">
        <f t="shared" si="123"/>
        <v>3333.333333333333</v>
      </c>
      <c r="G400" s="123">
        <f>+Tabla551810723519260305323[[#This Row],[VENTA]]-Tabla551810723519260305323[[#This Row],[ICO 8%]]</f>
        <v>41666.666666666664</v>
      </c>
      <c r="H400" s="124">
        <f>+Tabla551810723519260305323[[#This Row],[COSTO]]/Tabla551810723519260305323[[#This Row],[BASE]]</f>
        <v>0.41890909090896</v>
      </c>
      <c r="I400" s="125">
        <f>+Tabla551810723519260305323[[#This Row],[BASE]]/Tabla551810723519260305323[[#This Row],[COSTO]]</f>
        <v>2.3871527777785237</v>
      </c>
      <c r="J400" s="126" t="e">
        <f>+VLOOKUP(Tabla551810723519260305323[[#This Row],[VODKA]],Tabla77[#All],3,0)</f>
        <v>#N/A</v>
      </c>
      <c r="K400" s="136">
        <f t="shared" si="124"/>
        <v>43636.363636349997</v>
      </c>
      <c r="L400" s="180">
        <f t="shared" si="125"/>
        <v>3232.3232323222219</v>
      </c>
      <c r="M400" s="123">
        <f>+Tabla551810723519260305323[[#This Row],[PRECIO SUGERIDO]]+Tabla551810723519260305323[[#This Row],[ICO2]]</f>
        <v>46868.686868672215</v>
      </c>
      <c r="N400" s="129">
        <v>50000</v>
      </c>
      <c r="O400" s="122">
        <f t="shared" si="126"/>
        <v>3703.7037037037035</v>
      </c>
      <c r="P400" s="180">
        <f>+Tabla551810723519260305323[[#This Row],[PRECIO N]]-Tabla551810723519260305323[[#This Row],[Columna1]]</f>
        <v>46296.296296296299</v>
      </c>
      <c r="Q400" s="124">
        <f>+Tabla551810723519260305323[[#This Row],[COSTO]]/Tabla551810723519260305323[[#This Row],[CARTA]]</f>
        <v>0.37701818181806396</v>
      </c>
      <c r="R400" s="182">
        <f>+Tabla551810723519260305323[[#This Row],[PRECIO N]]/Tabla551810723519260305323[[#This Row],[COSTO]]</f>
        <v>2.8645833333342288</v>
      </c>
    </row>
    <row r="401" spans="2:18" x14ac:dyDescent="0.3">
      <c r="B401" s="27" t="str">
        <f>+VODKA!A42</f>
        <v>TRAGO VODKA ABSOLUT</v>
      </c>
      <c r="C401" s="27"/>
      <c r="D401" s="180">
        <f>+VODKA!H45</f>
        <v>7000</v>
      </c>
      <c r="E401" s="122">
        <f>+VODKA!H46</f>
        <v>28000</v>
      </c>
      <c r="F401" s="122">
        <f t="shared" si="123"/>
        <v>2074.0740740740739</v>
      </c>
      <c r="G401" s="123">
        <f>+Tabla551810723519260305323[[#This Row],[VENTA]]-Tabla551810723519260305323[[#This Row],[ICO 8%]]</f>
        <v>25925.925925925927</v>
      </c>
      <c r="H401" s="124">
        <f>+Tabla551810723519260305323[[#This Row],[COSTO]]/Tabla551810723519260305323[[#This Row],[BASE]]</f>
        <v>0.26999999999999996</v>
      </c>
      <c r="I401" s="125">
        <f>+Tabla551810723519260305323[[#This Row],[BASE]]/Tabla551810723519260305323[[#This Row],[COSTO]]</f>
        <v>3.7037037037037037</v>
      </c>
      <c r="J401" s="126">
        <f>+VLOOKUP(Tabla551810723519260305323[[#This Row],[VODKA]],Tabla77[#All],3,0)</f>
        <v>5</v>
      </c>
      <c r="K401" s="136">
        <f t="shared" si="124"/>
        <v>17500</v>
      </c>
      <c r="L401" s="180">
        <f t="shared" si="125"/>
        <v>1296.2962962962963</v>
      </c>
      <c r="M401" s="123">
        <f>+Tabla551810723519260305323[[#This Row],[PRECIO SUGERIDO]]+Tabla551810723519260305323[[#This Row],[ICO2]]</f>
        <v>18796.296296296296</v>
      </c>
      <c r="N401" s="212" t="s">
        <v>1270</v>
      </c>
      <c r="O401" s="122" t="e">
        <f t="shared" si="126"/>
        <v>#VALUE!</v>
      </c>
      <c r="P401" s="180" t="e">
        <f>+Tabla551810723519260305323[[#This Row],[PRECIO N]]-Tabla551810723519260305323[[#This Row],[Columna1]]</f>
        <v>#VALUE!</v>
      </c>
      <c r="Q401" s="124" t="e">
        <f>+Tabla551810723519260305323[[#This Row],[COSTO]]/Tabla551810723519260305323[[#This Row],[CARTA]]</f>
        <v>#VALUE!</v>
      </c>
      <c r="R401" s="182" t="e">
        <f>+Tabla551810723519260305323[[#This Row],[PRECIO N]]/Tabla551810723519260305323[[#This Row],[COSTO]]</f>
        <v>#VALUE!</v>
      </c>
    </row>
    <row r="402" spans="2:18" x14ac:dyDescent="0.3">
      <c r="B402" s="27" t="str">
        <f>+VODKA!A53</f>
        <v>GREY GOOSE ORIGINAL</v>
      </c>
      <c r="C402" s="27"/>
      <c r="D402" s="180">
        <f>+VODKA!H56</f>
        <v>191999.99999993999</v>
      </c>
      <c r="E402" s="122">
        <f>+VODKA!H57</f>
        <v>364000</v>
      </c>
      <c r="F402" s="122">
        <f t="shared" si="123"/>
        <v>26962.962962962964</v>
      </c>
      <c r="G402" s="123">
        <f>+Tabla551810723519260305323[[#This Row],[VENTA]]-Tabla551810723519260305323[[#This Row],[ICO 8%]]</f>
        <v>337037.03703703702</v>
      </c>
      <c r="H402" s="124">
        <f>+Tabla551810723519260305323[[#This Row],[COSTO]]/Tabla551810723519260305323[[#This Row],[BASE]]</f>
        <v>0.56967032967015163</v>
      </c>
      <c r="I402" s="125">
        <f>+Tabla551810723519260305323[[#This Row],[BASE]]/Tabla551810723519260305323[[#This Row],[COSTO]]</f>
        <v>1.7554012345684498</v>
      </c>
      <c r="J402" s="126" t="e">
        <f>+VLOOKUP(Tabla551810723519260305323[[#This Row],[VODKA]],Tabla77[#All],3,0)</f>
        <v>#N/A</v>
      </c>
      <c r="K402" s="137">
        <f>+D402/(100-60)*100</f>
        <v>479999.99999984994</v>
      </c>
      <c r="L402" s="180">
        <f t="shared" si="125"/>
        <v>35555.555555544437</v>
      </c>
      <c r="M402" s="123">
        <f>+Tabla551810723519260305323[[#This Row],[PRECIO SUGERIDO]]+Tabla551810723519260305323[[#This Row],[ICO2]]</f>
        <v>515555.55555539439</v>
      </c>
      <c r="N402" s="129">
        <v>480000</v>
      </c>
      <c r="O402" s="122">
        <f>+N402/1.08*0.08</f>
        <v>35555.555555555555</v>
      </c>
      <c r="P402" s="180">
        <f>+Tabla551810723519260305323[[#This Row],[PRECIO N]]-Tabla551810723519260305323[[#This Row],[Columna1]]</f>
        <v>444444.44444444444</v>
      </c>
      <c r="Q402" s="124">
        <f>+Tabla551810723519260305323[[#This Row],[COSTO]]/Tabla551810723519260305323[[#This Row],[CARTA]]</f>
        <v>0.43199999999986499</v>
      </c>
      <c r="R402" s="182">
        <f>+Tabla551810723519260305323[[#This Row],[PRECIO N]]/Tabla551810723519260305323[[#This Row],[COSTO]]</f>
        <v>2.5000000000007816</v>
      </c>
    </row>
    <row r="403" spans="2:18" x14ac:dyDescent="0.3">
      <c r="B403" s="259" t="str">
        <f>+VODKA!A68</f>
        <v>VODKA BELVEDERE</v>
      </c>
      <c r="C403" s="27"/>
      <c r="D403" s="180">
        <f>+VODKA!H71</f>
        <v>208000</v>
      </c>
      <c r="E403" s="122"/>
      <c r="F403" s="122">
        <f t="shared" si="123"/>
        <v>0</v>
      </c>
      <c r="G403" s="123">
        <f>+Tabla551810723519260305323[[#This Row],[VENTA]]-Tabla551810723519260305323[[#This Row],[ICO 8%]]</f>
        <v>0</v>
      </c>
      <c r="H403" s="124" t="e">
        <f>+Tabla551810723519260305323[[#This Row],[COSTO]]/Tabla551810723519260305323[[#This Row],[BASE]]</f>
        <v>#DIV/0!</v>
      </c>
      <c r="I403" s="125">
        <f>+Tabla551810723519260305323[[#This Row],[BASE]]/Tabla551810723519260305323[[#This Row],[COSTO]]</f>
        <v>0</v>
      </c>
      <c r="J403" s="126" t="e">
        <f>+VLOOKUP(Tabla551810723519260305323[[#This Row],[VODKA]],Tabla77[#All],3,0)</f>
        <v>#N/A</v>
      </c>
      <c r="K403" s="137">
        <f>+D403/(100-60)*100</f>
        <v>520000</v>
      </c>
      <c r="L403" s="180">
        <f t="shared" si="125"/>
        <v>38518.518518518518</v>
      </c>
      <c r="M403" s="123">
        <f>+Tabla551810723519260305323[[#This Row],[PRECIO SUGERIDO]]+Tabla551810723519260305323[[#This Row],[ICO2]]</f>
        <v>558518.51851851854</v>
      </c>
      <c r="N403" s="129">
        <v>520000</v>
      </c>
      <c r="O403" s="122">
        <f>+N403/1.08*0.08</f>
        <v>38518.518518518518</v>
      </c>
      <c r="P403" s="180">
        <f>+Tabla551810723519260305323[[#This Row],[PRECIO N]]-Tabla551810723519260305323[[#This Row],[Columna1]]</f>
        <v>481481.48148148146</v>
      </c>
      <c r="Q403" s="124">
        <f>+Tabla551810723519260305323[[#This Row],[COSTO]]/Tabla551810723519260305323[[#This Row],[CARTA]]</f>
        <v>0.432</v>
      </c>
      <c r="R403" s="182">
        <f>+Tabla551810723519260305323[[#This Row],[PRECIO N]]/Tabla551810723519260305323[[#This Row],[COSTO]]</f>
        <v>2.5</v>
      </c>
    </row>
    <row r="404" spans="2:18" x14ac:dyDescent="0.3">
      <c r="B404" s="259" t="str">
        <f>+VODKA!A81</f>
        <v>TRAGO VODKA BELVEDERE</v>
      </c>
      <c r="C404" s="27"/>
      <c r="D404" s="180">
        <f>+VODKA!H84</f>
        <v>17333.333333333332</v>
      </c>
      <c r="E404" s="122"/>
      <c r="F404" s="122">
        <f t="shared" si="123"/>
        <v>0</v>
      </c>
      <c r="G404" s="123">
        <f>+Tabla551810723519260305323[[#This Row],[VENTA]]-Tabla551810723519260305323[[#This Row],[ICO 8%]]</f>
        <v>0</v>
      </c>
      <c r="H404" s="124" t="e">
        <f>+Tabla551810723519260305323[[#This Row],[COSTO]]/Tabla551810723519260305323[[#This Row],[BASE]]</f>
        <v>#DIV/0!</v>
      </c>
      <c r="I404" s="125">
        <f>+Tabla551810723519260305323[[#This Row],[BASE]]/Tabla551810723519260305323[[#This Row],[COSTO]]</f>
        <v>0</v>
      </c>
      <c r="J404" s="126" t="e">
        <f>+VLOOKUP(Tabla551810723519260305323[[#This Row],[VODKA]],Tabla77[#All],3,0)</f>
        <v>#N/A</v>
      </c>
      <c r="K404" s="137">
        <f>+D404/(100-60)*100</f>
        <v>43333.333333333328</v>
      </c>
      <c r="L404" s="180">
        <f t="shared" si="125"/>
        <v>3209.8765432098758</v>
      </c>
      <c r="M404" s="123">
        <f>+Tabla551810723519260305323[[#This Row],[PRECIO SUGERIDO]]+Tabla551810723519260305323[[#This Row],[ICO2]]</f>
        <v>46543.209876543202</v>
      </c>
      <c r="N404" s="129">
        <v>46000</v>
      </c>
      <c r="O404" s="122">
        <f>+N404/1.08*0.08</f>
        <v>3407.4074074074074</v>
      </c>
      <c r="P404" s="180">
        <f>+Tabla551810723519260305323[[#This Row],[PRECIO N]]-Tabla551810723519260305323[[#This Row],[Columna1]]</f>
        <v>42592.592592592591</v>
      </c>
      <c r="Q404" s="124">
        <f>+Tabla551810723519260305323[[#This Row],[COSTO]]/Tabla551810723519260305323[[#This Row],[CARTA]]</f>
        <v>0.40695652173913044</v>
      </c>
      <c r="R404" s="182">
        <f>+Tabla551810723519260305323[[#This Row],[PRECIO N]]/Tabla551810723519260305323[[#This Row],[COSTO]]</f>
        <v>2.6538461538461542</v>
      </c>
    </row>
    <row r="405" spans="2:18" x14ac:dyDescent="0.3">
      <c r="B405" s="27" t="s">
        <v>30</v>
      </c>
      <c r="C405" s="27"/>
      <c r="D405" s="162"/>
      <c r="E405" s="126"/>
      <c r="F405" s="126"/>
      <c r="G405" s="126"/>
      <c r="H405" s="131" t="e">
        <f>SUBTOTAL(101,Tabla551810723519260305323[%])</f>
        <v>#DIV/0!</v>
      </c>
      <c r="I405" s="126"/>
      <c r="J405" s="126"/>
      <c r="K405" s="93"/>
      <c r="L405" s="162"/>
      <c r="M405" s="126"/>
      <c r="N405" s="132"/>
      <c r="O405" s="126"/>
      <c r="P405" s="162"/>
      <c r="Q405" s="126"/>
      <c r="R405" s="182" t="e">
        <f>SUBTOTAL(109,Tabla551810723519260305323[RATION])</f>
        <v>#VALUE!</v>
      </c>
    </row>
    <row r="407" spans="2:18" x14ac:dyDescent="0.3">
      <c r="B407" s="116"/>
      <c r="C407" s="59"/>
      <c r="D407" s="137"/>
      <c r="E407" s="117" t="s">
        <v>21</v>
      </c>
      <c r="F407" s="116"/>
      <c r="G407" s="118"/>
      <c r="H407" s="116"/>
      <c r="I407" s="116"/>
      <c r="J407" s="93"/>
      <c r="K407" s="278" t="s">
        <v>25</v>
      </c>
      <c r="L407" s="278"/>
      <c r="M407" s="278"/>
      <c r="N407" s="59"/>
      <c r="O407" s="59"/>
      <c r="P407" s="118"/>
    </row>
    <row r="408" spans="2:18" ht="14.4" x14ac:dyDescent="0.3">
      <c r="B408" s="257" t="s">
        <v>314</v>
      </c>
      <c r="C408" s="60" t="s">
        <v>111</v>
      </c>
      <c r="D408" s="178" t="s">
        <v>7</v>
      </c>
      <c r="E408" s="119" t="s">
        <v>16</v>
      </c>
      <c r="F408" s="120" t="s">
        <v>29</v>
      </c>
      <c r="G408" s="60" t="s">
        <v>22</v>
      </c>
      <c r="H408" s="121" t="s">
        <v>17</v>
      </c>
      <c r="I408" s="60" t="s">
        <v>18</v>
      </c>
      <c r="J408" s="60" t="s">
        <v>19</v>
      </c>
      <c r="K408" s="60" t="s">
        <v>23</v>
      </c>
      <c r="L408" s="178" t="s">
        <v>28</v>
      </c>
      <c r="M408" s="60" t="s">
        <v>24</v>
      </c>
      <c r="N408" s="133" t="s">
        <v>26</v>
      </c>
      <c r="O408" s="178" t="s">
        <v>343</v>
      </c>
      <c r="P408" s="178" t="s">
        <v>21</v>
      </c>
      <c r="Q408" s="121" t="s">
        <v>27</v>
      </c>
      <c r="R408" s="179" t="s">
        <v>20</v>
      </c>
    </row>
    <row r="409" spans="2:18" x14ac:dyDescent="0.3">
      <c r="B409" s="27" t="str">
        <f>+GINEBRA!A6</f>
        <v xml:space="preserve">TANQUERAY LONDON </v>
      </c>
      <c r="C409" s="27"/>
      <c r="D409" s="180">
        <f>+GINEBRA!H9</f>
        <v>136125</v>
      </c>
      <c r="E409" s="122">
        <f>+GINEBRA!H10</f>
        <v>354000</v>
      </c>
      <c r="F409" s="122">
        <f>+E409/1.08*0.08</f>
        <v>26222.222222222219</v>
      </c>
      <c r="G409" s="123">
        <f>+Tabla551810723519260305324[[#This Row],[VENTA]]-Tabla551810723519260305324[[#This Row],[ICO 8%]]</f>
        <v>327777.77777777775</v>
      </c>
      <c r="H409" s="124">
        <f>+Tabla551810723519260305324[[#This Row],[COSTO]]/Tabla551810723519260305324[[#This Row],[BASE]]</f>
        <v>0.41529661016949154</v>
      </c>
      <c r="I409" s="125">
        <f>+Tabla551810723519260305324[[#This Row],[BASE]]/Tabla551810723519260305324[[#This Row],[COSTO]]</f>
        <v>2.4079175594327107</v>
      </c>
      <c r="J409" s="126" t="e">
        <f>+VLOOKUP(Tabla551810723519260305324[[#This Row],[GINEBRA]],Tabla77[#All],3,0)</f>
        <v>#N/A</v>
      </c>
      <c r="K409" s="136">
        <f t="shared" ref="K409:K414" si="127">+D409/(100-60)*100</f>
        <v>340312.5</v>
      </c>
      <c r="L409" s="180">
        <f>+K409/1.08*0.08</f>
        <v>25208.333333333332</v>
      </c>
      <c r="M409" s="123">
        <f>+Tabla551810723519260305324[[#This Row],[PRECIO SUGERIDO]]+Tabla551810723519260305324[[#This Row],[ICO2]]</f>
        <v>365520.83333333331</v>
      </c>
      <c r="N409" s="129">
        <v>380000</v>
      </c>
      <c r="O409" s="122">
        <f t="shared" ref="O409:O414" si="128">+N409/1.08*0.08</f>
        <v>28148.14814814815</v>
      </c>
      <c r="P409" s="180">
        <f>+Tabla551810723519260305324[[#This Row],[PRECIO N]]-Tabla551810723519260305324[[#This Row],[Columna1]]</f>
        <v>351851.85185185185</v>
      </c>
      <c r="Q409" s="124">
        <f>+Tabla551810723519260305324[[#This Row],[COSTO]]/Tabla551810723519260305324[[#This Row],[CARTA]]</f>
        <v>0.38688157894736841</v>
      </c>
      <c r="R409" s="182">
        <f>+Tabla551810723519260305324[[#This Row],[PRECIO N]]/Tabla551810723519260305324[[#This Row],[COSTO]]</f>
        <v>2.7915518824609733</v>
      </c>
    </row>
    <row r="410" spans="2:18" x14ac:dyDescent="0.3">
      <c r="B410" s="27" t="str">
        <f>+GINEBRA!A18</f>
        <v>GINEBRA SELVA</v>
      </c>
      <c r="C410" s="27"/>
      <c r="D410" s="180">
        <f>+GINEBRA!H21</f>
        <v>137001.00000003999</v>
      </c>
      <c r="E410" s="122">
        <f>+GINEBRA!H22</f>
        <v>364000</v>
      </c>
      <c r="F410" s="122">
        <f>+E410/1.08*0.08</f>
        <v>26962.962962962964</v>
      </c>
      <c r="G410" s="123">
        <f>+Tabla551810723519260305324[[#This Row],[VENTA]]-Tabla551810723519260305324[[#This Row],[ICO 8%]]</f>
        <v>337037.03703703702</v>
      </c>
      <c r="H410" s="124">
        <f>+Tabla551810723519260305324[[#This Row],[COSTO]]/Tabla551810723519260305324[[#This Row],[BASE]]</f>
        <v>0.40648648351660216</v>
      </c>
      <c r="I410" s="125">
        <f>+Tabla551810723519260305324[[#This Row],[BASE]]/Tabla551810723519260305324[[#This Row],[COSTO]]</f>
        <v>2.4601064009528297</v>
      </c>
      <c r="J410" s="126" t="e">
        <f>+VLOOKUP(Tabla551810723519260305324[[#This Row],[GINEBRA]],Tabla77[#All],3,0)</f>
        <v>#N/A</v>
      </c>
      <c r="K410" s="136">
        <f t="shared" si="127"/>
        <v>342502.50000009994</v>
      </c>
      <c r="L410" s="180">
        <f>+K410/1.08*0.08</f>
        <v>25370.555555562958</v>
      </c>
      <c r="M410" s="123">
        <f>+Tabla551810723519260305324[[#This Row],[PRECIO SUGERIDO]]+Tabla551810723519260305324[[#This Row],[ICO2]]</f>
        <v>367873.0555556629</v>
      </c>
      <c r="N410" s="129">
        <v>380000</v>
      </c>
      <c r="O410" s="122">
        <f t="shared" si="128"/>
        <v>28148.14814814815</v>
      </c>
      <c r="P410" s="180">
        <f>+Tabla551810723519260305324[[#This Row],[PRECIO N]]-Tabla551810723519260305324[[#This Row],[Columna1]]</f>
        <v>351851.85185185185</v>
      </c>
      <c r="Q410" s="124">
        <f>+Tabla551810723519260305324[[#This Row],[COSTO]]/Tabla551810723519260305324[[#This Row],[CARTA]]</f>
        <v>0.38937126315800841</v>
      </c>
      <c r="R410" s="182">
        <f>+Tabla551810723519260305324[[#This Row],[PRECIO N]]/Tabla551810723519260305324[[#This Row],[COSTO]]</f>
        <v>2.7737023817336302</v>
      </c>
    </row>
    <row r="411" spans="2:18" x14ac:dyDescent="0.3">
      <c r="B411" s="27" t="str">
        <f>+GINEBRA!A29</f>
        <v>GINEBRA HENDRICKS</v>
      </c>
      <c r="C411" s="27"/>
      <c r="D411" s="180">
        <f>+GINEBRA!H32</f>
        <v>215526</v>
      </c>
      <c r="E411" s="122">
        <f>+GINEBRA!H33</f>
        <v>557000</v>
      </c>
      <c r="F411" s="122">
        <f>+E411/1.08*0.08</f>
        <v>41259.259259259263</v>
      </c>
      <c r="G411" s="123">
        <f>+Tabla551810723519260305324[[#This Row],[VENTA]]-Tabla551810723519260305324[[#This Row],[ICO 8%]]</f>
        <v>515740.74074074073</v>
      </c>
      <c r="H411" s="124">
        <f>+Tabla551810723519260305324[[#This Row],[COSTO]]/Tabla551810723519260305324[[#This Row],[BASE]]</f>
        <v>0.41789601436265711</v>
      </c>
      <c r="I411" s="125">
        <f>+Tabla551810723519260305324[[#This Row],[BASE]]/Tabla551810723519260305324[[#This Row],[COSTO]]</f>
        <v>2.3929397879640542</v>
      </c>
      <c r="J411" s="126" t="e">
        <f>+VLOOKUP(Tabla551810723519260305324[[#This Row],[GINEBRA]],Tabla77[#All],3,0)</f>
        <v>#N/A</v>
      </c>
      <c r="K411" s="136">
        <f t="shared" si="127"/>
        <v>538815</v>
      </c>
      <c r="L411" s="180">
        <f>+K411/1.08*0.08</f>
        <v>39912.222222222219</v>
      </c>
      <c r="M411" s="123">
        <f>+Tabla551810723519260305324[[#This Row],[PRECIO SUGERIDO]]+Tabla551810723519260305324[[#This Row],[ICO2]]</f>
        <v>578727.22222222225</v>
      </c>
      <c r="N411" s="129">
        <v>540000</v>
      </c>
      <c r="O411" s="122">
        <f t="shared" si="128"/>
        <v>39999.999999999993</v>
      </c>
      <c r="P411" s="180">
        <f>+Tabla551810723519260305324[[#This Row],[PRECIO N]]-Tabla551810723519260305324[[#This Row],[Columna1]]</f>
        <v>500000</v>
      </c>
      <c r="Q411" s="124">
        <f>+Tabla551810723519260305324[[#This Row],[COSTO]]/Tabla551810723519260305324[[#This Row],[CARTA]]</f>
        <v>0.43105199999999999</v>
      </c>
      <c r="R411" s="182">
        <f>+Tabla551810723519260305324[[#This Row],[PRECIO N]]/Tabla551810723519260305324[[#This Row],[COSTO]]</f>
        <v>2.5054981765541049</v>
      </c>
    </row>
    <row r="412" spans="2:18" x14ac:dyDescent="0.3">
      <c r="B412" s="27" t="str">
        <f>+GINEBRA!A40</f>
        <v xml:space="preserve">TRAGO TANQUERAY LONDON </v>
      </c>
      <c r="C412" s="27"/>
      <c r="D412" s="180">
        <f>+GINEBRA!H43</f>
        <v>12375</v>
      </c>
      <c r="E412" s="122">
        <f>+GINEBRA!H44</f>
        <v>33000</v>
      </c>
      <c r="F412" s="122">
        <f>+E412/1.08*0.08</f>
        <v>2444.4444444444443</v>
      </c>
      <c r="G412" s="123">
        <f>+Tabla551810723519260305324[[#This Row],[VENTA]]-Tabla551810723519260305324[[#This Row],[ICO 8%]]</f>
        <v>30555.555555555555</v>
      </c>
      <c r="H412" s="124">
        <f>+Tabla551810723519260305324[[#This Row],[COSTO]]/Tabla551810723519260305324[[#This Row],[BASE]]</f>
        <v>0.40500000000000003</v>
      </c>
      <c r="I412" s="125">
        <f>+Tabla551810723519260305324[[#This Row],[BASE]]/Tabla551810723519260305324[[#This Row],[COSTO]]</f>
        <v>2.4691358024691357</v>
      </c>
      <c r="J412" s="126" t="e">
        <f>+VLOOKUP(Tabla551810723519260305324[[#This Row],[GINEBRA]],Tabla77[#All],3,0)</f>
        <v>#N/A</v>
      </c>
      <c r="K412" s="136">
        <f t="shared" si="127"/>
        <v>30937.5</v>
      </c>
      <c r="L412" s="180">
        <f>+K412/1.08*0.08</f>
        <v>2291.6666666666665</v>
      </c>
      <c r="M412" s="123">
        <f>+Tabla551810723519260305324[[#This Row],[PRECIO SUGERIDO]]+Tabla551810723519260305324[[#This Row],[ICO2]]</f>
        <v>33229.166666666664</v>
      </c>
      <c r="N412" s="129">
        <v>38000</v>
      </c>
      <c r="O412" s="122">
        <f t="shared" si="128"/>
        <v>2814.8148148148148</v>
      </c>
      <c r="P412" s="180">
        <f>+Tabla551810723519260305324[[#This Row],[PRECIO N]]-Tabla551810723519260305324[[#This Row],[Columna1]]</f>
        <v>35185.185185185182</v>
      </c>
      <c r="Q412" s="124">
        <f>+Tabla551810723519260305324[[#This Row],[COSTO]]/Tabla551810723519260305324[[#This Row],[CARTA]]</f>
        <v>0.35171052631578947</v>
      </c>
      <c r="R412" s="182">
        <f>+Tabla551810723519260305324[[#This Row],[PRECIO N]]/Tabla551810723519260305324[[#This Row],[COSTO]]</f>
        <v>3.0707070707070705</v>
      </c>
    </row>
    <row r="413" spans="2:18" x14ac:dyDescent="0.3">
      <c r="B413" s="27" t="str">
        <f>+GINEBRA!A51</f>
        <v>TRAGO SELVA GIN</v>
      </c>
      <c r="C413" s="27"/>
      <c r="D413" s="180">
        <f>+GINEBRA!H54</f>
        <v>12454.63636364</v>
      </c>
      <c r="E413" s="122">
        <f>+GINEBRA!H55</f>
        <v>33000</v>
      </c>
      <c r="F413" s="122">
        <f>+E413/1.08*0.08</f>
        <v>2444.4444444444443</v>
      </c>
      <c r="G413" s="123">
        <f>+Tabla551810723519260305324[[#This Row],[VENTA]]-Tabla551810723519260305324[[#This Row],[ICO 8%]]</f>
        <v>30555.555555555555</v>
      </c>
      <c r="H413" s="124">
        <f>+Tabla551810723519260305324[[#This Row],[COSTO]]/Tabla551810723519260305324[[#This Row],[BASE]]</f>
        <v>0.40760628099185459</v>
      </c>
      <c r="I413" s="125">
        <f>+Tabla551810723519260305324[[#This Row],[BASE]]/Tabla551810723519260305324[[#This Row],[COSTO]]</f>
        <v>2.4533478668842781</v>
      </c>
      <c r="J413" s="126" t="e">
        <f>+VLOOKUP(Tabla551810723519260305324[[#This Row],[GINEBRA]],Tabla77[#All],3,0)</f>
        <v>#N/A</v>
      </c>
      <c r="K413" s="136">
        <f t="shared" si="127"/>
        <v>31136.590909099999</v>
      </c>
      <c r="L413" s="180">
        <f>+K413/1.08*0.08</f>
        <v>2306.4141414148144</v>
      </c>
      <c r="M413" s="123">
        <f>+Tabla551810723519260305324[[#This Row],[PRECIO SUGERIDO]]+Tabla551810723519260305324[[#This Row],[ICO2]]</f>
        <v>33443.00505051481</v>
      </c>
      <c r="N413" s="129">
        <v>38000</v>
      </c>
      <c r="O413" s="122">
        <f t="shared" si="128"/>
        <v>2814.8148148148148</v>
      </c>
      <c r="P413" s="180">
        <f>+Tabla551810723519260305324[[#This Row],[PRECIO N]]-Tabla551810723519260305324[[#This Row],[Columna1]]</f>
        <v>35185.185185185182</v>
      </c>
      <c r="Q413" s="124">
        <f>+Tabla551810723519260305324[[#This Row],[COSTO]]/Tabla551810723519260305324[[#This Row],[CARTA]]</f>
        <v>0.35397387559818949</v>
      </c>
      <c r="R413" s="182">
        <f>+Tabla551810723519260305324[[#This Row],[PRECIO N]]/Tabla551810723519260305324[[#This Row],[COSTO]]</f>
        <v>3.0510726199069929</v>
      </c>
    </row>
    <row r="414" spans="2:18" x14ac:dyDescent="0.3">
      <c r="B414" s="27" t="str">
        <f>+GINEBRA!A62</f>
        <v>TRAGO HENDRICKS</v>
      </c>
      <c r="C414" s="27"/>
      <c r="D414" s="180">
        <f>+GINEBRA!H65</f>
        <v>17960.5</v>
      </c>
      <c r="E414" s="122">
        <f>+GINEBRA!H66</f>
        <v>47000</v>
      </c>
      <c r="F414" s="122">
        <f t="shared" ref="F414" si="129">+E414/1.08*0.08</f>
        <v>3481.4814814814818</v>
      </c>
      <c r="G414" s="123">
        <f>+Tabla551810723519260305324[[#This Row],[VENTA]]-Tabla551810723519260305324[[#This Row],[ICO 8%]]</f>
        <v>43518.518518518518</v>
      </c>
      <c r="H414" s="124">
        <f>+Tabla551810723519260305324[[#This Row],[COSTO]]/Tabla551810723519260305324[[#This Row],[BASE]]</f>
        <v>0.41270936170212769</v>
      </c>
      <c r="I414" s="125">
        <f>+Tabla551810723519260305324[[#This Row],[BASE]]/Tabla551810723519260305324[[#This Row],[COSTO]]</f>
        <v>2.4230126398774265</v>
      </c>
      <c r="J414" s="126">
        <f>+VLOOKUP(Tabla551810723519260305324[[#This Row],[GINEBRA]],Tabla77[#All],3,0)</f>
        <v>4</v>
      </c>
      <c r="K414" s="136">
        <f t="shared" si="127"/>
        <v>44901.25</v>
      </c>
      <c r="L414" s="180">
        <f t="shared" ref="L414" si="130">+K414/1.08*0.08</f>
        <v>3326.0185185185187</v>
      </c>
      <c r="M414" s="123">
        <f>+Tabla551810723519260305324[[#This Row],[PRECIO SUGERIDO]]+Tabla551810723519260305324[[#This Row],[ICO2]]</f>
        <v>48227.268518518518</v>
      </c>
      <c r="N414" s="129">
        <v>48000</v>
      </c>
      <c r="O414" s="122">
        <f t="shared" si="128"/>
        <v>3555.5555555555552</v>
      </c>
      <c r="P414" s="180">
        <f>+Tabla551810723519260305324[[#This Row],[PRECIO N]]-Tabla551810723519260305324[[#This Row],[Columna1]]</f>
        <v>44444.444444444445</v>
      </c>
      <c r="Q414" s="124">
        <f>+Tabla551810723519260305324[[#This Row],[COSTO]]/Tabla551810723519260305324[[#This Row],[CARTA]]</f>
        <v>0.40411124999999998</v>
      </c>
      <c r="R414" s="182">
        <f>+Tabla551810723519260305324[[#This Row],[PRECIO N]]/Tabla551810723519260305324[[#This Row],[COSTO]]</f>
        <v>2.6725313883243786</v>
      </c>
    </row>
    <row r="415" spans="2:18" x14ac:dyDescent="0.3">
      <c r="B415" s="27" t="s">
        <v>30</v>
      </c>
      <c r="C415" s="27"/>
      <c r="D415" s="162"/>
      <c r="E415" s="126"/>
      <c r="F415" s="126"/>
      <c r="G415" s="126"/>
      <c r="H415" s="131">
        <f>SUBTOTAL(101,Tabla551810723519260305324[%])</f>
        <v>0.41083245845712218</v>
      </c>
      <c r="I415" s="126"/>
      <c r="J415" s="126"/>
      <c r="K415" s="93"/>
      <c r="L415" s="162"/>
      <c r="M415" s="126"/>
      <c r="N415" s="132"/>
      <c r="O415" s="126"/>
      <c r="P415" s="162"/>
      <c r="Q415" s="126"/>
      <c r="R415" s="182">
        <f>SUBTOTAL(109,Tabla551810723519260305324[RATION])</f>
        <v>16.865063519687151</v>
      </c>
    </row>
    <row r="417" spans="2:18" x14ac:dyDescent="0.3">
      <c r="B417" s="116"/>
      <c r="C417" s="59"/>
      <c r="D417" s="137"/>
      <c r="E417" s="117" t="s">
        <v>21</v>
      </c>
      <c r="F417" s="116"/>
      <c r="G417" s="118"/>
      <c r="H417" s="116"/>
      <c r="I417" s="116"/>
      <c r="J417" s="93"/>
      <c r="K417" s="278" t="s">
        <v>25</v>
      </c>
      <c r="L417" s="278"/>
      <c r="M417" s="278"/>
      <c r="N417" s="59"/>
      <c r="O417" s="59"/>
      <c r="P417" s="118"/>
    </row>
    <row r="418" spans="2:18" ht="14.4" x14ac:dyDescent="0.3">
      <c r="B418" s="257" t="s">
        <v>320</v>
      </c>
      <c r="C418" s="60" t="s">
        <v>111</v>
      </c>
      <c r="D418" s="178" t="s">
        <v>7</v>
      </c>
      <c r="E418" s="119" t="s">
        <v>16</v>
      </c>
      <c r="F418" s="120" t="s">
        <v>29</v>
      </c>
      <c r="G418" s="60" t="s">
        <v>22</v>
      </c>
      <c r="H418" s="121" t="s">
        <v>17</v>
      </c>
      <c r="I418" s="60" t="s">
        <v>18</v>
      </c>
      <c r="J418" s="60" t="s">
        <v>19</v>
      </c>
      <c r="K418" s="60" t="s">
        <v>23</v>
      </c>
      <c r="L418" s="178" t="s">
        <v>28</v>
      </c>
      <c r="M418" s="60" t="s">
        <v>24</v>
      </c>
      <c r="N418" s="133" t="s">
        <v>26</v>
      </c>
      <c r="O418" s="178" t="s">
        <v>343</v>
      </c>
      <c r="P418" s="178" t="s">
        <v>21</v>
      </c>
      <c r="Q418" s="121" t="s">
        <v>27</v>
      </c>
      <c r="R418" s="179" t="s">
        <v>20</v>
      </c>
    </row>
    <row r="419" spans="2:18" x14ac:dyDescent="0.3">
      <c r="B419" s="27" t="str">
        <f>+'APERITIVOS Y DIGESTIVOS'!A6</f>
        <v>DISARONNO</v>
      </c>
      <c r="C419" s="27"/>
      <c r="D419" s="180">
        <f>+'APERITIVOS Y DIGESTIVOS'!H9</f>
        <v>132580.99999991999</v>
      </c>
      <c r="E419" s="122">
        <f>+'APERITIVOS Y DIGESTIVOS'!H10</f>
        <v>337000</v>
      </c>
      <c r="F419" s="122">
        <f>+E419/1.08*0.08</f>
        <v>24962.962962962964</v>
      </c>
      <c r="G419" s="123">
        <f>+Tabla551810723519260305325[[#This Row],[VENTA]]-Tabla551810723519260305325[[#This Row],[ICO 8%]]</f>
        <v>312037.03703703702</v>
      </c>
      <c r="H419" s="124">
        <f>+Tabla551810723519260305325[[#This Row],[COSTO]]/Tabla551810723519260305325[[#This Row],[BASE]]</f>
        <v>0.42488866468817094</v>
      </c>
      <c r="I419" s="125">
        <f>+Tabla551810723519260305325[[#This Row],[BASE]]/Tabla551810723519260305325[[#This Row],[COSTO]]</f>
        <v>2.3535577272552275</v>
      </c>
      <c r="J419" s="126" t="e">
        <f>+VLOOKUP(Tabla551810723519260305325[[#This Row],[APERITIVOS Y DIGESTIVOS]],Tabla77[#All],3,0)</f>
        <v>#N/A</v>
      </c>
      <c r="K419" s="136">
        <f t="shared" ref="K419:K426" si="131">+D419/(100-60)*100</f>
        <v>331452.49999979994</v>
      </c>
      <c r="L419" s="180">
        <f>+K419/1.08*0.08</f>
        <v>24552.037037022215</v>
      </c>
      <c r="M419" s="123">
        <f>+Tabla551810723519260305325[[#This Row],[PRECIO SUGERIDO]]+Tabla551810723519260305325[[#This Row],[ICO2]]</f>
        <v>356004.53703682218</v>
      </c>
      <c r="N419" s="129">
        <v>337000</v>
      </c>
      <c r="O419" s="122">
        <f t="shared" ref="O419:O426" si="132">+N419/1.08*0.08</f>
        <v>24962.962962962964</v>
      </c>
      <c r="P419" s="180">
        <f>+Tabla551810723519260305325[[#This Row],[PRECIO N]]-Tabla551810723519260305325[[#This Row],[Columna1]]</f>
        <v>312037.03703703702</v>
      </c>
      <c r="Q419" s="124">
        <f>+Tabla551810723519260305325[[#This Row],[COSTO]]/Tabla551810723519260305325[[#This Row],[CARTA]]</f>
        <v>0.42488866468817094</v>
      </c>
      <c r="R419" s="182">
        <f>+Tabla551810723519260305325[[#This Row],[PRECIO N]]/Tabla551810723519260305325[[#This Row],[COSTO]]</f>
        <v>2.5418423454356458</v>
      </c>
    </row>
    <row r="420" spans="2:18" x14ac:dyDescent="0.3">
      <c r="B420" s="27" t="str">
        <f>+'APERITIVOS Y DIGESTIVOS'!A18</f>
        <v>CREMA DE BAILEYS</v>
      </c>
      <c r="C420" s="27"/>
      <c r="D420" s="180">
        <f>+'APERITIVOS Y DIGESTIVOS'!H21</f>
        <v>73584</v>
      </c>
      <c r="E420" s="122">
        <f>+'APERITIVOS Y DIGESTIVOS'!H22</f>
        <v>209000</v>
      </c>
      <c r="F420" s="122">
        <f>+E420/1.08*0.08</f>
        <v>15481.481481481482</v>
      </c>
      <c r="G420" s="123">
        <f>+Tabla551810723519260305325[[#This Row],[VENTA]]-Tabla551810723519260305325[[#This Row],[ICO 8%]]</f>
        <v>193518.51851851851</v>
      </c>
      <c r="H420" s="124">
        <f>+Tabla551810723519260305325[[#This Row],[COSTO]]/Tabla551810723519260305325[[#This Row],[BASE]]</f>
        <v>0.38024267942583734</v>
      </c>
      <c r="I420" s="125">
        <f>+Tabla551810723519260305325[[#This Row],[BASE]]/Tabla551810723519260305325[[#This Row],[COSTO]]</f>
        <v>2.6298994145265073</v>
      </c>
      <c r="J420" s="126" t="e">
        <f>+VLOOKUP(Tabla551810723519260305325[[#This Row],[APERITIVOS Y DIGESTIVOS]],Tabla77[#All],3,0)</f>
        <v>#N/A</v>
      </c>
      <c r="K420" s="136">
        <f t="shared" si="131"/>
        <v>183960</v>
      </c>
      <c r="L420" s="180">
        <f>+K420/1.08*0.08</f>
        <v>13626.666666666666</v>
      </c>
      <c r="M420" s="123">
        <f>+Tabla551810723519260305325[[#This Row],[PRECIO SUGERIDO]]+Tabla551810723519260305325[[#This Row],[ICO2]]</f>
        <v>197586.66666666666</v>
      </c>
      <c r="N420" s="129">
        <v>190000</v>
      </c>
      <c r="O420" s="122">
        <f t="shared" si="132"/>
        <v>14074.074074074075</v>
      </c>
      <c r="P420" s="180">
        <f>+Tabla551810723519260305325[[#This Row],[PRECIO N]]-Tabla551810723519260305325[[#This Row],[Columna1]]</f>
        <v>175925.92592592593</v>
      </c>
      <c r="Q420" s="124">
        <f>+Tabla551810723519260305325[[#This Row],[COSTO]]/Tabla551810723519260305325[[#This Row],[CARTA]]</f>
        <v>0.41826694736842107</v>
      </c>
      <c r="R420" s="182">
        <f>+Tabla551810723519260305325[[#This Row],[PRECIO N]]/Tabla551810723519260305325[[#This Row],[COSTO]]</f>
        <v>2.5820830615351165</v>
      </c>
    </row>
    <row r="421" spans="2:18" x14ac:dyDescent="0.3">
      <c r="B421" s="27" t="str">
        <f>+'APERITIVOS Y DIGESTIVOS'!A30</f>
        <v>BOT LICOR 43</v>
      </c>
      <c r="C421" s="27"/>
      <c r="D421" s="180">
        <f>+'APERITIVOS Y DIGESTIVOS'!H33</f>
        <v>131161.99999991999</v>
      </c>
      <c r="E421" s="122">
        <f>+'APERITIVOS Y DIGESTIVOS'!H34</f>
        <v>398000</v>
      </c>
      <c r="F421" s="122">
        <f>+E421/1.08*0.08</f>
        <v>29481.481481481478</v>
      </c>
      <c r="G421" s="123">
        <f>+Tabla551810723519260305325[[#This Row],[VENTA]]-Tabla551810723519260305325[[#This Row],[ICO 8%]]</f>
        <v>368518.51851851854</v>
      </c>
      <c r="H421" s="124">
        <f>+Tabla551810723519260305325[[#This Row],[COSTO]]/Tabla551810723519260305325[[#This Row],[BASE]]</f>
        <v>0.35591698492440599</v>
      </c>
      <c r="I421" s="125">
        <f>+Tabla551810723519260305325[[#This Row],[BASE]]/Tabla551810723519260305325[[#This Row],[COSTO]]</f>
        <v>2.8096439404609819</v>
      </c>
      <c r="J421" s="126" t="e">
        <f>+VLOOKUP(Tabla551810723519260305325[[#This Row],[APERITIVOS Y DIGESTIVOS]],Tabla77[#All],3,0)</f>
        <v>#N/A</v>
      </c>
      <c r="K421" s="136">
        <f t="shared" si="131"/>
        <v>327904.9999998</v>
      </c>
      <c r="L421" s="180">
        <f>+K421/1.08*0.08</f>
        <v>24289.259259244442</v>
      </c>
      <c r="M421" s="123">
        <f>+Tabla551810723519260305325[[#This Row],[PRECIO SUGERIDO]]+Tabla551810723519260305325[[#This Row],[ICO2]]</f>
        <v>352194.25925904443</v>
      </c>
      <c r="N421" s="129">
        <v>340000</v>
      </c>
      <c r="O421" s="122">
        <f t="shared" si="132"/>
        <v>25185.185185185182</v>
      </c>
      <c r="P421" s="180">
        <f>+Tabla551810723519260305325[[#This Row],[PRECIO N]]-Tabla551810723519260305325[[#This Row],[Columna1]]</f>
        <v>314814.81481481483</v>
      </c>
      <c r="Q421" s="124">
        <f>+Tabla551810723519260305325[[#This Row],[COSTO]]/Tabla551810723519260305325[[#This Row],[CARTA]]</f>
        <v>0.41663223529386351</v>
      </c>
      <c r="R421" s="182">
        <f>+Tabla551810723519260305325[[#This Row],[PRECIO N]]/Tabla551810723519260305325[[#This Row],[COSTO]]</f>
        <v>2.5922142083851067</v>
      </c>
    </row>
    <row r="422" spans="2:18" x14ac:dyDescent="0.3">
      <c r="B422" s="27" t="str">
        <f>+'APERITIVOS Y DIGESTIVOS'!A42</f>
        <v xml:space="preserve">CAMPARI </v>
      </c>
      <c r="C422" s="27"/>
      <c r="D422" s="180">
        <f>+'APERITIVOS Y DIGESTIVOS'!H45</f>
        <v>98149.999999920008</v>
      </c>
      <c r="E422" s="122">
        <f>+'APERITIVOS Y DIGESTIVOS'!H46</f>
        <v>268000</v>
      </c>
      <c r="F422" s="122">
        <f>+E422/1.08*0.08</f>
        <v>19851.85185185185</v>
      </c>
      <c r="G422" s="123">
        <f>+Tabla551810723519260305325[[#This Row],[VENTA]]-Tabla551810723519260305325[[#This Row],[ICO 8%]]</f>
        <v>248148.14814814815</v>
      </c>
      <c r="H422" s="124">
        <f>+Tabla551810723519260305325[[#This Row],[COSTO]]/Tabla551810723519260305325[[#This Row],[BASE]]</f>
        <v>0.39552985074594632</v>
      </c>
      <c r="I422" s="125">
        <f>+Tabla551810723519260305325[[#This Row],[BASE]]/Tabla551810723519260305325[[#This Row],[COSTO]]</f>
        <v>2.5282541838853834</v>
      </c>
      <c r="J422" s="126" t="e">
        <f>+VLOOKUP(Tabla551810723519260305325[[#This Row],[APERITIVOS Y DIGESTIVOS]],Tabla77[#All],3,0)</f>
        <v>#N/A</v>
      </c>
      <c r="K422" s="136">
        <f t="shared" si="131"/>
        <v>245374.9999998</v>
      </c>
      <c r="L422" s="180">
        <f>+K422/1.08*0.08</f>
        <v>18175.92592591111</v>
      </c>
      <c r="M422" s="123">
        <f>+Tabla551810723519260305325[[#This Row],[PRECIO SUGERIDO]]+Tabla551810723519260305325[[#This Row],[ICO2]]</f>
        <v>263550.92592571111</v>
      </c>
      <c r="N422" s="129">
        <v>260000</v>
      </c>
      <c r="O422" s="122">
        <f t="shared" si="132"/>
        <v>19259.259259259259</v>
      </c>
      <c r="P422" s="180">
        <f>+Tabla551810723519260305325[[#This Row],[PRECIO N]]-Tabla551810723519260305325[[#This Row],[Columna1]]</f>
        <v>240740.74074074073</v>
      </c>
      <c r="Q422" s="124">
        <f>+Tabla551810723519260305325[[#This Row],[COSTO]]/Tabla551810723519260305325[[#This Row],[CARTA]]</f>
        <v>0.40769999999966772</v>
      </c>
      <c r="R422" s="182">
        <f>+Tabla551810723519260305325[[#This Row],[PRECIO N]]/Tabla551810723519260305325[[#This Row],[COSTO]]</f>
        <v>2.6490066225187152</v>
      </c>
    </row>
    <row r="423" spans="2:18" x14ac:dyDescent="0.3">
      <c r="B423" s="27" t="str">
        <f>+'APERITIVOS Y DIGESTIVOS'!A56</f>
        <v>TRAGO DISARONNO</v>
      </c>
      <c r="C423" s="27"/>
      <c r="D423" s="180">
        <f>+'APERITIVOS Y DIGESTIVOS'!H59</f>
        <v>11048.416666659999</v>
      </c>
      <c r="E423" s="122">
        <f>+'APERITIVOS Y DIGESTIVOS'!H60</f>
        <v>29000</v>
      </c>
      <c r="F423" s="122">
        <f>+E423/1.08*0.08</f>
        <v>2148.1481481481483</v>
      </c>
      <c r="G423" s="123">
        <f>+Tabla551810723519260305325[[#This Row],[VENTA]]-Tabla551810723519260305325[[#This Row],[ICO 8%]]</f>
        <v>26851.85185185185</v>
      </c>
      <c r="H423" s="124">
        <f>+Tabla551810723519260305325[[#This Row],[COSTO]]/Tabla551810723519260305325[[#This Row],[BASE]]</f>
        <v>0.41145827586182071</v>
      </c>
      <c r="I423" s="125">
        <f>+Tabla551810723519260305325[[#This Row],[BASE]]/Tabla551810723519260305325[[#This Row],[COSTO]]</f>
        <v>2.4303800863051013</v>
      </c>
      <c r="J423" s="126" t="e">
        <f>+VLOOKUP(Tabla551810723519260305325[[#This Row],[APERITIVOS Y DIGESTIVOS]],Tabla77[#All],3,0)</f>
        <v>#N/A</v>
      </c>
      <c r="K423" s="136">
        <f t="shared" si="131"/>
        <v>27621.041666650002</v>
      </c>
      <c r="L423" s="180">
        <f>+K423/1.08*0.08</f>
        <v>2046.0030864185185</v>
      </c>
      <c r="M423" s="123">
        <f>+Tabla551810723519260305325[[#This Row],[PRECIO SUGERIDO]]+Tabla551810723519260305325[[#This Row],[ICO2]]</f>
        <v>29667.04475306852</v>
      </c>
      <c r="N423" s="129">
        <v>30000</v>
      </c>
      <c r="O423" s="122">
        <f t="shared" si="132"/>
        <v>2222.2222222222222</v>
      </c>
      <c r="P423" s="180">
        <f>+Tabla551810723519260305325[[#This Row],[PRECIO N]]-Tabla551810723519260305325[[#This Row],[Columna1]]</f>
        <v>27777.777777777777</v>
      </c>
      <c r="Q423" s="124">
        <f>+Tabla551810723519260305325[[#This Row],[COSTO]]/Tabla551810723519260305325[[#This Row],[CARTA]]</f>
        <v>0.39774299999975998</v>
      </c>
      <c r="R423" s="182">
        <f>+Tabla551810723519260305325[[#This Row],[PRECIO N]]/Tabla551810723519260305325[[#This Row],[COSTO]]</f>
        <v>2.7153211998719065</v>
      </c>
    </row>
    <row r="424" spans="2:18" x14ac:dyDescent="0.3">
      <c r="B424" s="27" t="str">
        <f>+'APERITIVOS Y DIGESTIVOS'!A69</f>
        <v>TRAGO CREMA DE BAILEYS</v>
      </c>
      <c r="C424" s="27"/>
      <c r="D424" s="180">
        <f>+'APERITIVOS Y DIGESTIVOS'!H72</f>
        <v>6132</v>
      </c>
      <c r="E424" s="122">
        <f>+'APERITIVOS Y DIGESTIVOS'!H73</f>
        <v>22000</v>
      </c>
      <c r="F424" s="122">
        <f t="shared" ref="F424" si="133">+E424/1.08*0.08</f>
        <v>1629.6296296296296</v>
      </c>
      <c r="G424" s="123">
        <f>+Tabla551810723519260305325[[#This Row],[VENTA]]-Tabla551810723519260305325[[#This Row],[ICO 8%]]</f>
        <v>20370.370370370372</v>
      </c>
      <c r="H424" s="124">
        <f>+Tabla551810723519260305325[[#This Row],[COSTO]]/Tabla551810723519260305325[[#This Row],[BASE]]</f>
        <v>0.30102545454545454</v>
      </c>
      <c r="I424" s="125">
        <f>+Tabla551810723519260305325[[#This Row],[BASE]]/Tabla551810723519260305325[[#This Row],[COSTO]]</f>
        <v>3.3219782078229572</v>
      </c>
      <c r="J424" s="126">
        <f>+VLOOKUP(Tabla551810723519260305325[[#This Row],[APERITIVOS Y DIGESTIVOS]],Tabla77[#All],3,0)</f>
        <v>16</v>
      </c>
      <c r="K424" s="136">
        <f t="shared" si="131"/>
        <v>15330.000000000002</v>
      </c>
      <c r="L424" s="180">
        <f t="shared" ref="L424" si="134">+K424/1.08*0.08</f>
        <v>1135.5555555555557</v>
      </c>
      <c r="M424" s="123">
        <f>+Tabla551810723519260305325[[#This Row],[PRECIO SUGERIDO]]+Tabla551810723519260305325[[#This Row],[ICO2]]</f>
        <v>16465.555555555558</v>
      </c>
      <c r="N424" s="129">
        <v>18000</v>
      </c>
      <c r="O424" s="122">
        <f t="shared" si="132"/>
        <v>1333.3333333333333</v>
      </c>
      <c r="P424" s="180">
        <f>+Tabla551810723519260305325[[#This Row],[PRECIO N]]-Tabla551810723519260305325[[#This Row],[Columna1]]</f>
        <v>16666.666666666668</v>
      </c>
      <c r="Q424" s="124">
        <f>+Tabla551810723519260305325[[#This Row],[COSTO]]/Tabla551810723519260305325[[#This Row],[CARTA]]</f>
        <v>0.36791999999999997</v>
      </c>
      <c r="R424" s="182">
        <f>+Tabla551810723519260305325[[#This Row],[PRECIO N]]/Tabla551810723519260305325[[#This Row],[COSTO]]</f>
        <v>2.9354207436399218</v>
      </c>
    </row>
    <row r="425" spans="2:18" x14ac:dyDescent="0.3">
      <c r="B425" s="27" t="str">
        <f>+'APERITIVOS Y DIGESTIVOS'!A80</f>
        <v>TRAGO LICOR 43</v>
      </c>
      <c r="C425" s="27"/>
      <c r="D425" s="180">
        <f>+'APERITIVOS Y DIGESTIVOS'!H83</f>
        <v>10930.166666659999</v>
      </c>
      <c r="E425" s="122">
        <f>+'APERITIVOS Y DIGESTIVOS'!H84</f>
        <v>33000</v>
      </c>
      <c r="F425" s="122">
        <f>+E425/1.08*0.08</f>
        <v>2444.4444444444443</v>
      </c>
      <c r="G425" s="123">
        <f>+Tabla551810723519260305325[[#This Row],[VENTA]]-Tabla551810723519260305325[[#This Row],[ICO 8%]]</f>
        <v>30555.555555555555</v>
      </c>
      <c r="H425" s="124">
        <f>+Tabla551810723519260305325[[#This Row],[COSTO]]/Tabla551810723519260305325[[#This Row],[BASE]]</f>
        <v>0.35771454545432724</v>
      </c>
      <c r="I425" s="125">
        <f>+Tabla551810723519260305325[[#This Row],[BASE]]/Tabla551810723519260305325[[#This Row],[COSTO]]</f>
        <v>2.7955251266898209</v>
      </c>
      <c r="J425" s="126">
        <f>+VLOOKUP(Tabla551810723519260305325[[#This Row],[APERITIVOS Y DIGESTIVOS]],Tabla77[#All],3,0)</f>
        <v>15</v>
      </c>
      <c r="K425" s="136">
        <f t="shared" si="131"/>
        <v>27325.416666649999</v>
      </c>
      <c r="L425" s="180">
        <f>+K425/1.08*0.08</f>
        <v>2024.1049382703702</v>
      </c>
      <c r="M425" s="123">
        <f>+Tabla551810723519260305325[[#This Row],[PRECIO SUGERIDO]]+Tabla551810723519260305325[[#This Row],[ICO2]]</f>
        <v>29349.52160492037</v>
      </c>
      <c r="N425" s="129">
        <v>32000</v>
      </c>
      <c r="O425" s="122">
        <f t="shared" si="132"/>
        <v>2370.3703703703704</v>
      </c>
      <c r="P425" s="180">
        <f>+Tabla551810723519260305325[[#This Row],[PRECIO N]]-Tabla551810723519260305325[[#This Row],[Columna1]]</f>
        <v>29629.629629629628</v>
      </c>
      <c r="Q425" s="124">
        <f>+Tabla551810723519260305325[[#This Row],[COSTO]]/Tabla551810723519260305325[[#This Row],[CARTA]]</f>
        <v>0.368893124999775</v>
      </c>
      <c r="R425" s="182">
        <f>+Tabla551810723519260305325[[#This Row],[PRECIO N]]/Tabla551810723519260305325[[#This Row],[COSTO]]</f>
        <v>2.9276772235878856</v>
      </c>
    </row>
    <row r="426" spans="2:18" x14ac:dyDescent="0.3">
      <c r="B426" s="27" t="str">
        <f>+'APERITIVOS Y DIGESTIVOS'!A92</f>
        <v xml:space="preserve">TRAGO CAMPARI </v>
      </c>
      <c r="C426" s="27"/>
      <c r="D426" s="180">
        <f>+'APERITIVOS Y DIGESTIVOS'!H95</f>
        <v>8179.1666666600004</v>
      </c>
      <c r="E426" s="122">
        <f>+'APERITIVOS Y DIGESTIVOS'!H96</f>
        <v>28000</v>
      </c>
      <c r="F426" s="122">
        <f>+E426/1.08*0.08</f>
        <v>2074.0740740740739</v>
      </c>
      <c r="G426" s="123">
        <f>+Tabla551810723519260305325[[#This Row],[VENTA]]-Tabla551810723519260305325[[#This Row],[ICO 8%]]</f>
        <v>25925.925925925927</v>
      </c>
      <c r="H426" s="124">
        <f>+Tabla551810723519260305325[[#This Row],[COSTO]]/Tabla551810723519260305325[[#This Row],[BASE]]</f>
        <v>0.31548214285688569</v>
      </c>
      <c r="I426" s="125">
        <f>+Tabla551810723519260305325[[#This Row],[BASE]]/Tabla551810723519260305325[[#This Row],[COSTO]]</f>
        <v>3.1697515141249588</v>
      </c>
      <c r="J426" s="126" t="e">
        <f>+VLOOKUP(Tabla551810723519260305325[[#This Row],[APERITIVOS Y DIGESTIVOS]],Tabla77[#All],3,0)</f>
        <v>#N/A</v>
      </c>
      <c r="K426" s="136">
        <f t="shared" si="131"/>
        <v>20447.916666650002</v>
      </c>
      <c r="L426" s="180">
        <f>+K426/1.08*0.08</f>
        <v>1514.6604938259261</v>
      </c>
      <c r="M426" s="123">
        <f>+Tabla551810723519260305325[[#This Row],[PRECIO SUGERIDO]]+Tabla551810723519260305325[[#This Row],[ICO2]]</f>
        <v>21962.577160475928</v>
      </c>
      <c r="N426" s="129">
        <v>25000</v>
      </c>
      <c r="O426" s="122">
        <f t="shared" si="132"/>
        <v>1851.8518518518517</v>
      </c>
      <c r="P426" s="180">
        <f>+Tabla551810723519260305325[[#This Row],[PRECIO N]]-Tabla551810723519260305325[[#This Row],[Columna1]]</f>
        <v>23148.14814814815</v>
      </c>
      <c r="Q426" s="124">
        <f>+Tabla551810723519260305325[[#This Row],[COSTO]]/Tabla551810723519260305325[[#This Row],[CARTA]]</f>
        <v>0.353339999999712</v>
      </c>
      <c r="R426" s="182">
        <f>+Tabla551810723519260305325[[#This Row],[PRECIO N]]/Tabla551810723519260305325[[#This Row],[COSTO]]</f>
        <v>3.0565461029062102</v>
      </c>
    </row>
    <row r="427" spans="2:18" x14ac:dyDescent="0.3">
      <c r="B427" s="27" t="s">
        <v>30</v>
      </c>
      <c r="C427" s="27"/>
      <c r="D427" s="162"/>
      <c r="E427" s="126"/>
      <c r="F427" s="126"/>
      <c r="G427" s="126"/>
      <c r="H427" s="131">
        <f>SUBTOTAL(101,Tabla551810723519260305325[%])</f>
        <v>0.36778232481285611</v>
      </c>
      <c r="I427" s="126"/>
      <c r="J427" s="126"/>
      <c r="K427" s="93"/>
      <c r="L427" s="162"/>
      <c r="M427" s="126"/>
      <c r="N427" s="132"/>
      <c r="O427" s="126"/>
      <c r="P427" s="162"/>
      <c r="Q427" s="126"/>
      <c r="R427" s="182">
        <f>SUBTOTAL(109,Tabla551810723519260305325[RATION])</f>
        <v>22.000111507880511</v>
      </c>
    </row>
    <row r="431" spans="2:18" x14ac:dyDescent="0.3">
      <c r="B431" s="116"/>
      <c r="C431" s="59"/>
      <c r="D431" s="137"/>
      <c r="E431" s="117" t="s">
        <v>21</v>
      </c>
      <c r="F431" s="116"/>
      <c r="G431" s="118"/>
      <c r="H431" s="116"/>
      <c r="I431" s="116"/>
      <c r="J431" s="93"/>
      <c r="K431" s="278" t="s">
        <v>25</v>
      </c>
      <c r="L431" s="278"/>
      <c r="M431" s="278"/>
      <c r="N431" s="59"/>
      <c r="O431" s="59"/>
      <c r="P431" s="118"/>
    </row>
    <row r="432" spans="2:18" x14ac:dyDescent="0.25">
      <c r="B432" s="199" t="s">
        <v>821</v>
      </c>
      <c r="C432" s="60" t="s">
        <v>111</v>
      </c>
      <c r="D432" s="178" t="s">
        <v>7</v>
      </c>
      <c r="E432" s="119" t="s">
        <v>16</v>
      </c>
      <c r="F432" s="120" t="s">
        <v>29</v>
      </c>
      <c r="G432" s="60" t="s">
        <v>22</v>
      </c>
      <c r="H432" s="121" t="s">
        <v>17</v>
      </c>
      <c r="I432" s="60" t="s">
        <v>18</v>
      </c>
      <c r="J432" s="60" t="s">
        <v>19</v>
      </c>
      <c r="K432" s="60" t="s">
        <v>23</v>
      </c>
      <c r="L432" s="178" t="s">
        <v>28</v>
      </c>
      <c r="M432" s="60" t="s">
        <v>24</v>
      </c>
      <c r="N432" s="133" t="s">
        <v>26</v>
      </c>
      <c r="O432" s="178" t="s">
        <v>343</v>
      </c>
      <c r="P432" s="178" t="s">
        <v>21</v>
      </c>
      <c r="Q432" s="121" t="s">
        <v>27</v>
      </c>
      <c r="R432" s="179" t="s">
        <v>20</v>
      </c>
    </row>
    <row r="433" spans="1:18" x14ac:dyDescent="0.3">
      <c r="B433" s="27" t="str">
        <f>+'RECOMENDADOS DEL CHEF'!B9</f>
        <v>FETUCCINI A LO MACHO</v>
      </c>
      <c r="C433" s="27"/>
      <c r="D433" s="180">
        <f>+'RECOMENDADOS DEL CHEF'!K12</f>
        <v>16363.450989217497</v>
      </c>
      <c r="E433" s="122">
        <f>+'RECOMENDADOS DEL CHEF'!K13</f>
        <v>58900</v>
      </c>
      <c r="F433" s="122">
        <f t="shared" ref="F433" si="135">+E433/1.08*0.08</f>
        <v>4362.9629629629626</v>
      </c>
      <c r="G433" s="123">
        <f>+Tabla5518106218[[#This Row],[VENTA]]-Tabla5518106218[[#This Row],[ICO 8%]]</f>
        <v>54537.037037037036</v>
      </c>
      <c r="H433" s="124">
        <f>+Tabla5518106218[[#This Row],[COSTO]]/Tabla5518106218[[#This Row],[BASE]]</f>
        <v>0.30004290438633102</v>
      </c>
      <c r="I433" s="125">
        <f>+Tabla5518106218[[#This Row],[BASE]]/Tabla5518106218[[#This Row],[COSTO]]</f>
        <v>3.3328566860971791</v>
      </c>
      <c r="J433" s="126">
        <f>+VLOOKUP(Tabla5518106218[[#This Row],[SUGERIDOS DEL CHEF]],Tabla77[#All],3,0)</f>
        <v>7</v>
      </c>
      <c r="K433" s="137">
        <f t="shared" ref="K433" si="136">+D433/(100-70)*100</f>
        <v>54544.836630724989</v>
      </c>
      <c r="L433" s="180">
        <f t="shared" ref="L433" si="137">+K433/1.08*0.08</f>
        <v>4040.3582689425916</v>
      </c>
      <c r="M433" s="123">
        <f>+Tabla5518106218[[#This Row],[PRECIO SUGERIDO]]+Tabla5518106218[[#This Row],[ICO2]]</f>
        <v>58585.194899667578</v>
      </c>
      <c r="N433" s="129"/>
      <c r="O433" s="122">
        <f t="shared" ref="O433" si="138">+N433/1.08*0.08</f>
        <v>0</v>
      </c>
      <c r="P433" s="180">
        <f>+Tabla5518106218[[#This Row],[PRECIO N]]-Tabla5518106218[[#This Row],[Columna1]]</f>
        <v>0</v>
      </c>
      <c r="Q433" s="224" t="e">
        <f>+Tabla5518106218[[#This Row],[COSTO]]/Tabla5518106218[[#This Row],[CARTA]]</f>
        <v>#DIV/0!</v>
      </c>
      <c r="R433" s="182">
        <f>+Tabla5518106218[[#This Row],[PRECIO N]]/Tabla5518106218[[#This Row],[COSTO]]</f>
        <v>0</v>
      </c>
    </row>
    <row r="434" spans="1:18" x14ac:dyDescent="0.3">
      <c r="A434" s="162">
        <v>1</v>
      </c>
      <c r="B434" s="27" t="str">
        <f>+'RECOMENDADOS DEL CHEF'!B29</f>
        <v>CAUSA ACEVICHADA</v>
      </c>
      <c r="C434" s="27"/>
      <c r="D434" s="180">
        <f>+'RECOMENDADOS DEL CHEF'!K30</f>
        <v>16173.831710324823</v>
      </c>
      <c r="E434" s="122">
        <f>+'RECOMENDADOS DEL CHEF'!K31</f>
        <v>59000</v>
      </c>
      <c r="F434" s="122">
        <f t="shared" ref="F434:F438" si="139">+E434/1.08*0.08</f>
        <v>4370.3703703703704</v>
      </c>
      <c r="G434" s="123">
        <f>+Tabla5518106218[[#This Row],[VENTA]]-Tabla5518106218[[#This Row],[ICO 8%]]</f>
        <v>54629.629629629628</v>
      </c>
      <c r="H434" s="124">
        <f>+Tabla5518106218[[#This Row],[COSTO]]/Tabla5518106218[[#This Row],[BASE]]</f>
        <v>0.29606336012120016</v>
      </c>
      <c r="I434" s="125">
        <f>+Tabla5518106218[[#This Row],[BASE]]/Tabla5518106218[[#This Row],[COSTO]]</f>
        <v>3.3776553761688972</v>
      </c>
      <c r="J434" s="126" t="e">
        <f>+VLOOKUP(Tabla5518106218[[#This Row],[SUGERIDOS DEL CHEF]],Tabla77[#All],3,0)</f>
        <v>#N/A</v>
      </c>
      <c r="K434" s="137">
        <f t="shared" ref="K434:K438" si="140">+D434/(100-70)*100</f>
        <v>53912.772367749414</v>
      </c>
      <c r="L434" s="180">
        <f t="shared" ref="L434:L438" si="141">+K434/1.08*0.08</f>
        <v>3993.5386939073642</v>
      </c>
      <c r="M434" s="123">
        <f>+Tabla5518106218[[#This Row],[PRECIO SUGERIDO]]+Tabla5518106218[[#This Row],[ICO2]]</f>
        <v>57906.311061656779</v>
      </c>
      <c r="N434" s="129"/>
      <c r="O434" s="122">
        <f t="shared" ref="O434:O438" si="142">+N434/1.08*0.08</f>
        <v>0</v>
      </c>
      <c r="P434" s="180">
        <f>+Tabla5518106218[[#This Row],[PRECIO N]]-Tabla5518106218[[#This Row],[Columna1]]</f>
        <v>0</v>
      </c>
      <c r="Q434" s="124" t="e">
        <f>+Tabla5518106218[[#This Row],[COSTO]]/Tabla5518106218[[#This Row],[CARTA]]</f>
        <v>#DIV/0!</v>
      </c>
      <c r="R434" s="182">
        <f>+Tabla5518106218[[#This Row],[PRECIO N]]/Tabla5518106218[[#This Row],[COSTO]]</f>
        <v>0</v>
      </c>
    </row>
    <row r="435" spans="1:18" x14ac:dyDescent="0.3">
      <c r="A435" s="162">
        <v>2</v>
      </c>
      <c r="B435" s="27" t="str">
        <f>+'RECOMENDADOS DEL CHEF'!B47</f>
        <v>EL PESTO DE LA ABUELA</v>
      </c>
      <c r="C435" s="27"/>
      <c r="D435" s="180">
        <f>+'RECOMENDADOS DEL CHEF'!K48</f>
        <v>19633.898448076503</v>
      </c>
      <c r="E435" s="122">
        <f>+'RECOMENDADOS DEL CHEF'!K49</f>
        <v>63000</v>
      </c>
      <c r="F435" s="122">
        <f t="shared" si="139"/>
        <v>4666.6666666666661</v>
      </c>
      <c r="G435" s="123">
        <f>+Tabla5518106218[[#This Row],[VENTA]]-Tabla5518106218[[#This Row],[ICO 8%]]</f>
        <v>58333.333333333336</v>
      </c>
      <c r="H435" s="124">
        <f>+Tabla5518106218[[#This Row],[COSTO]]/Tabla5518106218[[#This Row],[BASE]]</f>
        <v>0.33658111625274006</v>
      </c>
      <c r="I435" s="125">
        <f>+Tabla5518106218[[#This Row],[BASE]]/Tabla5518106218[[#This Row],[COSTO]]</f>
        <v>2.9710520041448083</v>
      </c>
      <c r="J435" s="126" t="e">
        <f>+VLOOKUP(Tabla5518106218[[#This Row],[SUGERIDOS DEL CHEF]],Tabla77[#All],3,0)</f>
        <v>#N/A</v>
      </c>
      <c r="K435" s="137">
        <f t="shared" si="140"/>
        <v>65446.328160255005</v>
      </c>
      <c r="L435" s="180">
        <f t="shared" si="141"/>
        <v>4847.8761600188891</v>
      </c>
      <c r="M435" s="123">
        <f>+Tabla5518106218[[#This Row],[PRECIO SUGERIDO]]+Tabla5518106218[[#This Row],[ICO2]]</f>
        <v>70294.204320273901</v>
      </c>
      <c r="N435" s="129"/>
      <c r="O435" s="122">
        <f t="shared" si="142"/>
        <v>0</v>
      </c>
      <c r="P435" s="180">
        <f>+Tabla5518106218[[#This Row],[PRECIO N]]-Tabla5518106218[[#This Row],[Columna1]]</f>
        <v>0</v>
      </c>
      <c r="Q435" s="124" t="e">
        <f>+Tabla5518106218[[#This Row],[COSTO]]/Tabla5518106218[[#This Row],[CARTA]]</f>
        <v>#DIV/0!</v>
      </c>
      <c r="R435" s="182">
        <f>+Tabla5518106218[[#This Row],[PRECIO N]]/Tabla5518106218[[#This Row],[COSTO]]</f>
        <v>0</v>
      </c>
    </row>
    <row r="436" spans="1:18" x14ac:dyDescent="0.3">
      <c r="A436" s="162">
        <v>3</v>
      </c>
      <c r="B436" s="27" t="str">
        <f>+'RECOMENDADOS DEL CHEF'!B68</f>
        <v>TRILOGIA DE CEVICHES</v>
      </c>
      <c r="C436" s="27"/>
      <c r="D436" s="180">
        <f>+'RECOMENDADOS DEL CHEF'!K69</f>
        <v>19747.438315673251</v>
      </c>
      <c r="E436" s="122">
        <f>+'RECOMENDADOS DEL CHEF'!K70</f>
        <v>83000</v>
      </c>
      <c r="F436" s="122">
        <f t="shared" si="139"/>
        <v>6148.1481481481487</v>
      </c>
      <c r="G436" s="123">
        <f>+Tabla5518106218[[#This Row],[VENTA]]-Tabla5518106218[[#This Row],[ICO 8%]]</f>
        <v>76851.851851851854</v>
      </c>
      <c r="H436" s="124">
        <f>+Tabla5518106218[[#This Row],[COSTO]]/Tabla5518106218[[#This Row],[BASE]]</f>
        <v>0.25695461904731459</v>
      </c>
      <c r="I436" s="125">
        <f>+Tabla5518106218[[#This Row],[BASE]]/Tabla5518106218[[#This Row],[COSTO]]</f>
        <v>3.8917377850906196</v>
      </c>
      <c r="J436" s="126" t="e">
        <f>+VLOOKUP(Tabla5518106218[[#This Row],[SUGERIDOS DEL CHEF]],Tabla77[#All],3,0)</f>
        <v>#N/A</v>
      </c>
      <c r="K436" s="137">
        <f t="shared" si="140"/>
        <v>65824.794385577508</v>
      </c>
      <c r="L436" s="180">
        <f t="shared" si="141"/>
        <v>4875.9106952279635</v>
      </c>
      <c r="M436" s="123">
        <f>+Tabla5518106218[[#This Row],[PRECIO SUGERIDO]]+Tabla5518106218[[#This Row],[ICO2]]</f>
        <v>70700.705080805477</v>
      </c>
      <c r="N436" s="129"/>
      <c r="O436" s="122">
        <f t="shared" si="142"/>
        <v>0</v>
      </c>
      <c r="P436" s="180">
        <f>+Tabla5518106218[[#This Row],[PRECIO N]]-Tabla5518106218[[#This Row],[Columna1]]</f>
        <v>0</v>
      </c>
      <c r="Q436" s="124" t="e">
        <f>+Tabla5518106218[[#This Row],[COSTO]]/Tabla5518106218[[#This Row],[CARTA]]</f>
        <v>#DIV/0!</v>
      </c>
      <c r="R436" s="182">
        <f>+Tabla5518106218[[#This Row],[PRECIO N]]/Tabla5518106218[[#This Row],[COSTO]]</f>
        <v>0</v>
      </c>
    </row>
    <row r="437" spans="1:18" x14ac:dyDescent="0.3">
      <c r="A437" s="162">
        <v>4</v>
      </c>
      <c r="B437" s="27" t="str">
        <f>+'RECOMENDADOS DEL CHEF'!B92</f>
        <v>PIQUEO CRIOLLO</v>
      </c>
      <c r="C437" s="27"/>
      <c r="D437" s="180">
        <f>+'RECOMENDADOS DEL CHEF'!K93</f>
        <v>18955.778231442502</v>
      </c>
      <c r="E437" s="122">
        <f>+'RECOMENDADOS DEL CHEF'!K94</f>
        <v>119000</v>
      </c>
      <c r="F437" s="122">
        <f t="shared" si="139"/>
        <v>8814.8148148148157</v>
      </c>
      <c r="G437" s="123">
        <f>+Tabla5518106218[[#This Row],[VENTA]]-Tabla5518106218[[#This Row],[ICO 8%]]</f>
        <v>110185.18518518518</v>
      </c>
      <c r="H437" s="124">
        <f>+Tabla5518106218[[#This Row],[COSTO]]/Tabla5518106218[[#This Row],[BASE]]</f>
        <v>0.17203563436939415</v>
      </c>
      <c r="I437" s="125">
        <f>+Tabla5518106218[[#This Row],[BASE]]/Tabla5518106218[[#This Row],[COSTO]]</f>
        <v>5.8127492229476392</v>
      </c>
      <c r="J437" s="126" t="e">
        <f>+VLOOKUP(Tabla5518106218[[#This Row],[SUGERIDOS DEL CHEF]],Tabla77[#All],3,0)</f>
        <v>#N/A</v>
      </c>
      <c r="K437" s="137">
        <f t="shared" si="140"/>
        <v>63185.927438141676</v>
      </c>
      <c r="L437" s="180">
        <f t="shared" si="141"/>
        <v>4680.4390694919757</v>
      </c>
      <c r="M437" s="123">
        <f>+Tabla5518106218[[#This Row],[PRECIO SUGERIDO]]+Tabla5518106218[[#This Row],[ICO2]]</f>
        <v>67866.366507633647</v>
      </c>
      <c r="N437" s="129"/>
      <c r="O437" s="122">
        <f t="shared" si="142"/>
        <v>0</v>
      </c>
      <c r="P437" s="180">
        <f>+Tabla5518106218[[#This Row],[PRECIO N]]-Tabla5518106218[[#This Row],[Columna1]]</f>
        <v>0</v>
      </c>
      <c r="Q437" s="124" t="e">
        <f>+Tabla5518106218[[#This Row],[COSTO]]/Tabla5518106218[[#This Row],[CARTA]]</f>
        <v>#DIV/0!</v>
      </c>
      <c r="R437" s="182">
        <f>+Tabla5518106218[[#This Row],[PRECIO N]]/Tabla5518106218[[#This Row],[COSTO]]</f>
        <v>0</v>
      </c>
    </row>
    <row r="438" spans="1:18" x14ac:dyDescent="0.3">
      <c r="A438" s="162">
        <v>5</v>
      </c>
      <c r="B438" s="27" t="str">
        <f>+'RECOMENDADOS DEL CHEF'!B116</f>
        <v>SANDUCHE DE CHICHARRON ROCOTO</v>
      </c>
      <c r="C438" s="27"/>
      <c r="D438" s="180">
        <f>+'RECOMENDADOS DEL CHEF'!K117</f>
        <v>11184.572217031502</v>
      </c>
      <c r="E438" s="122">
        <f>+'RECOMENDADOS DEL CHEF'!K118</f>
        <v>42000</v>
      </c>
      <c r="F438" s="122">
        <f t="shared" si="139"/>
        <v>3111.1111111111109</v>
      </c>
      <c r="G438" s="123">
        <f>+Tabla5518106218[[#This Row],[VENTA]]-Tabla5518106218[[#This Row],[ICO 8%]]</f>
        <v>38888.888888888891</v>
      </c>
      <c r="H438" s="124">
        <f>+Tabla5518106218[[#This Row],[COSTO]]/Tabla5518106218[[#This Row],[BASE]]</f>
        <v>0.28760328558081005</v>
      </c>
      <c r="I438" s="125">
        <f>+Tabla5518106218[[#This Row],[BASE]]/Tabla5518106218[[#This Row],[COSTO]]</f>
        <v>3.4770117385151447</v>
      </c>
      <c r="J438" s="126" t="e">
        <f>+VLOOKUP(Tabla5518106218[[#This Row],[SUGERIDOS DEL CHEF]],Tabla77[#All],3,0)</f>
        <v>#N/A</v>
      </c>
      <c r="K438" s="137">
        <f t="shared" si="140"/>
        <v>37281.907390105007</v>
      </c>
      <c r="L438" s="180">
        <f t="shared" si="141"/>
        <v>2761.6227696374076</v>
      </c>
      <c r="M438" s="123">
        <f>+Tabla5518106218[[#This Row],[PRECIO SUGERIDO]]+Tabla5518106218[[#This Row],[ICO2]]</f>
        <v>40043.530159742411</v>
      </c>
      <c r="N438" s="129"/>
      <c r="O438" s="122">
        <f t="shared" si="142"/>
        <v>0</v>
      </c>
      <c r="P438" s="180">
        <f>+Tabla5518106218[[#This Row],[PRECIO N]]-Tabla5518106218[[#This Row],[Columna1]]</f>
        <v>0</v>
      </c>
      <c r="Q438" s="124" t="e">
        <f>+Tabla5518106218[[#This Row],[COSTO]]/Tabla5518106218[[#This Row],[CARTA]]</f>
        <v>#DIV/0!</v>
      </c>
      <c r="R438" s="182">
        <f>+Tabla5518106218[[#This Row],[PRECIO N]]/Tabla5518106218[[#This Row],[COSTO]]</f>
        <v>0</v>
      </c>
    </row>
    <row r="439" spans="1:18" x14ac:dyDescent="0.3">
      <c r="A439" s="162">
        <v>6</v>
      </c>
      <c r="B439" s="27" t="s">
        <v>30</v>
      </c>
      <c r="C439" s="27"/>
      <c r="D439" s="162"/>
      <c r="E439" s="126"/>
      <c r="F439" s="126"/>
      <c r="G439" s="126"/>
      <c r="H439" s="131">
        <f>SUBTOTAL(101,Tabla5518106218[%])</f>
        <v>0.274880153292965</v>
      </c>
      <c r="I439" s="126"/>
      <c r="J439" s="126"/>
      <c r="K439" s="93"/>
      <c r="L439" s="162"/>
      <c r="M439" s="126"/>
      <c r="N439" s="132"/>
      <c r="O439" s="126"/>
      <c r="P439" s="162"/>
      <c r="Q439" s="126"/>
      <c r="R439" s="182">
        <f>SUBTOTAL(109,Tabla5518106218[RATION])</f>
        <v>0</v>
      </c>
    </row>
    <row r="440" spans="1:18" ht="13.8" customHeight="1" x14ac:dyDescent="0.3"/>
    <row r="443" spans="1:18" ht="14.4" x14ac:dyDescent="0.3">
      <c r="B443" s="257" t="s">
        <v>580</v>
      </c>
      <c r="C443" s="60" t="s">
        <v>111</v>
      </c>
      <c r="D443" s="178" t="s">
        <v>7</v>
      </c>
      <c r="E443" s="119" t="s">
        <v>16</v>
      </c>
      <c r="F443" s="120" t="s">
        <v>29</v>
      </c>
      <c r="G443" s="60" t="s">
        <v>22</v>
      </c>
      <c r="H443" s="121" t="s">
        <v>17</v>
      </c>
      <c r="I443" s="60" t="s">
        <v>18</v>
      </c>
      <c r="J443" s="60" t="s">
        <v>19</v>
      </c>
      <c r="K443" s="60" t="s">
        <v>23</v>
      </c>
      <c r="L443" s="178" t="s">
        <v>28</v>
      </c>
      <c r="M443" s="60" t="s">
        <v>24</v>
      </c>
      <c r="N443" s="133" t="s">
        <v>26</v>
      </c>
      <c r="O443" s="178" t="s">
        <v>351</v>
      </c>
      <c r="P443" s="178" t="s">
        <v>352</v>
      </c>
      <c r="Q443" s="121" t="s">
        <v>27</v>
      </c>
      <c r="R443" s="179" t="s">
        <v>20</v>
      </c>
    </row>
    <row r="444" spans="1:18" x14ac:dyDescent="0.3">
      <c r="B444" s="27" t="str">
        <f>+TRAGOS!B4</f>
        <v>TRAGO GORDON PINK</v>
      </c>
      <c r="C444" s="27"/>
      <c r="D444" s="180">
        <f>+TRAGOS!I7</f>
        <v>9219</v>
      </c>
      <c r="E444" s="122">
        <f>+TRAGOS!I8</f>
        <v>25000</v>
      </c>
      <c r="F444" s="122"/>
      <c r="G444" s="123"/>
      <c r="H444" s="124">
        <f>+Tabla5518106218339331347423[[#This Row],[COSTO]]/Tabla5518106218339331347423[[#This Row],[VENTA]]</f>
        <v>0.36875999999999998</v>
      </c>
      <c r="I444" s="125">
        <f>+Tabla5518106218339331347423[[#This Row],[BASE]]/Tabla5518106218339331347423[[#This Row],[COSTO]]</f>
        <v>0</v>
      </c>
      <c r="J444" s="126"/>
      <c r="K444" s="136">
        <f t="shared" ref="K444:K447" si="143">+D444/(100-60)*100</f>
        <v>23047.5</v>
      </c>
      <c r="L444" s="180">
        <f t="shared" ref="L444:L445" si="144">+K444/1.08*0.08</f>
        <v>1707.2222222222222</v>
      </c>
      <c r="M444" s="123">
        <f>+Tabla5518106218339331347423[[#This Row],[PRECIO SUGERIDO]]+Tabla5518106218339331347423[[#This Row],[ICO2]]</f>
        <v>24754.722222222223</v>
      </c>
      <c r="N444" s="138">
        <v>25000</v>
      </c>
      <c r="O444" s="122">
        <f t="shared" ref="O444:O445" si="145">+N444/1.08*0.08</f>
        <v>1851.8518518518517</v>
      </c>
      <c r="P444" s="180">
        <f>+Tabla5518106218339331347423[[#This Row],[PRECIO N]]-Tabla5518106218339331347423[[#This Row],[ICO 8%2]]</f>
        <v>23148.14814814815</v>
      </c>
      <c r="Q444" s="124">
        <f>+Tabla5518106218339331347423[[#This Row],[COSTO]]/Tabla5518106218339331347423[[#This Row],[BASE.]]</f>
        <v>0.39826079999999997</v>
      </c>
      <c r="R444" s="182">
        <f>+Tabla5518106218339331347423[[#This Row],[PRECIO N]]/Tabla5518106218339331347423[[#This Row],[COSTO]]</f>
        <v>2.7117908666883608</v>
      </c>
    </row>
    <row r="445" spans="1:18" x14ac:dyDescent="0.3">
      <c r="B445" s="27" t="str">
        <f>+TRAGOS!B20</f>
        <v>TRAGO GORDON CLASICO</v>
      </c>
      <c r="C445" s="27"/>
      <c r="D445" s="180">
        <f>+TRAGOS!I23</f>
        <v>6489.9545454449999</v>
      </c>
      <c r="E445" s="122">
        <f>+TRAGOS!I24</f>
        <v>25000</v>
      </c>
      <c r="F445" s="122"/>
      <c r="G445" s="123"/>
      <c r="H445" s="124">
        <f>+Tabla5518106218339331347423[[#This Row],[COSTO]]/Tabla5518106218339331347423[[#This Row],[VENTA]]</f>
        <v>0.25959818181779998</v>
      </c>
      <c r="I445" s="125">
        <f>+Tabla5518106218339331347423[[#This Row],[BASE]]/Tabla5518106218339331347423[[#This Row],[COSTO]]</f>
        <v>0</v>
      </c>
      <c r="J445" s="126"/>
      <c r="K445" s="136">
        <f t="shared" si="143"/>
        <v>16224.886363612501</v>
      </c>
      <c r="L445" s="180">
        <f t="shared" si="144"/>
        <v>1201.8434343416666</v>
      </c>
      <c r="M445" s="123">
        <f>+Tabla5518106218339331347423[[#This Row],[PRECIO SUGERIDO]]+Tabla5518106218339331347423[[#This Row],[ICO2]]</f>
        <v>17426.729797954169</v>
      </c>
      <c r="N445" s="138">
        <v>20000</v>
      </c>
      <c r="O445" s="122">
        <f t="shared" si="145"/>
        <v>1481.4814814814815</v>
      </c>
      <c r="P445" s="180">
        <f>+Tabla5518106218339331347423[[#This Row],[PRECIO N]]-Tabla5518106218339331347423[[#This Row],[ICO 8%2]]</f>
        <v>18518.518518518518</v>
      </c>
      <c r="Q445" s="124">
        <f>+Tabla5518106218339331347423[[#This Row],[COSTO]]/Tabla5518106218339331347423[[#This Row],[BASE.]]</f>
        <v>0.35045754545403002</v>
      </c>
      <c r="R445" s="182">
        <f>+Tabla5518106218339331347423[[#This Row],[PRECIO N]]/Tabla5518106218339331347423[[#This Row],[COSTO]]</f>
        <v>3.0816856820726239</v>
      </c>
    </row>
    <row r="446" spans="1:18" x14ac:dyDescent="0.3">
      <c r="B446" s="27" t="str">
        <f>+TRAGOS!B36</f>
        <v>TRAGO MEZCAL</v>
      </c>
      <c r="C446" s="27"/>
      <c r="D446" s="180">
        <f>+TRAGOS!I39</f>
        <v>13658.734090911001</v>
      </c>
      <c r="E446" s="122">
        <f>+TRAGOS!I40</f>
        <v>37000</v>
      </c>
      <c r="F446" s="122"/>
      <c r="G446" s="123"/>
      <c r="H446" s="124">
        <f>+Tabla5518106218339331347423[[#This Row],[COSTO]]/Tabla5518106218339331347423[[#This Row],[VENTA]]</f>
        <v>0.36915497543002707</v>
      </c>
      <c r="I446" s="125">
        <f>+Tabla5518106218339331347423[[#This Row],[BASE]]/Tabla5518106218339331347423[[#This Row],[COSTO]]</f>
        <v>0</v>
      </c>
      <c r="J446" s="126"/>
      <c r="K446" s="136">
        <f t="shared" si="143"/>
        <v>34146.835227277501</v>
      </c>
      <c r="L446" s="180">
        <f>+K446/1.08*0.08</f>
        <v>2529.3952020205556</v>
      </c>
      <c r="M446" s="123">
        <f>+Tabla5518106218339331347423[[#This Row],[PRECIO SUGERIDO]]+Tabla5518106218339331347423[[#This Row],[ICO2]]</f>
        <v>36676.230429298055</v>
      </c>
      <c r="N446" s="138">
        <v>36000</v>
      </c>
      <c r="O446" s="122">
        <f>+N446/1.08*0.08</f>
        <v>2666.6666666666665</v>
      </c>
      <c r="P446" s="180">
        <f>+Tabla5518106218339331347423[[#This Row],[PRECIO N]]-Tabla5518106218339331347423[[#This Row],[ICO 8%2]]</f>
        <v>33333.333333333336</v>
      </c>
      <c r="Q446" s="124">
        <f>+Tabla5518106218339331347423[[#This Row],[COSTO]]/Tabla5518106218339331347423[[#This Row],[BASE.]]</f>
        <v>0.40976202272732998</v>
      </c>
      <c r="R446" s="182">
        <f>+Tabla5518106218339331347423[[#This Row],[PRECIO N]]/Tabla5518106218339331347423[[#This Row],[COSTO]]</f>
        <v>2.6356761732374347</v>
      </c>
    </row>
    <row r="447" spans="1:18" x14ac:dyDescent="0.3">
      <c r="B447" s="27" t="str">
        <f>+TRAGOS!B50</f>
        <v>TRAGO BACARDI</v>
      </c>
      <c r="C447" s="27"/>
      <c r="D447" s="180">
        <f>+TRAGOS!I53</f>
        <v>5109.9681818219997</v>
      </c>
      <c r="E447" s="122">
        <f>+TRAGOS!I54</f>
        <v>15000</v>
      </c>
      <c r="F447" s="122"/>
      <c r="G447" s="123"/>
      <c r="H447" s="124">
        <f>+Tabla5518106218339331347423[[#This Row],[COSTO]]/Tabla5518106218339331347423[[#This Row],[VENTA]]</f>
        <v>0.34066454545479996</v>
      </c>
      <c r="I447" s="125">
        <f>+Tabla5518106218339331347423[[#This Row],[BASE]]/Tabla5518106218339331347423[[#This Row],[COSTO]]</f>
        <v>0</v>
      </c>
      <c r="J447" s="126"/>
      <c r="K447" s="136">
        <f t="shared" si="143"/>
        <v>12774.920454554998</v>
      </c>
      <c r="L447" s="180">
        <f>+K447/1.08*0.08</f>
        <v>946.29040404111095</v>
      </c>
      <c r="M447" s="123">
        <f>+Tabla5518106218339331347423[[#This Row],[PRECIO SUGERIDO]]+Tabla5518106218339331347423[[#This Row],[ICO2]]</f>
        <v>13721.210858596109</v>
      </c>
      <c r="N447" s="138">
        <v>15000</v>
      </c>
      <c r="O447" s="122">
        <f>+N447/1.08*0.08</f>
        <v>1111.1111111111111</v>
      </c>
      <c r="P447" s="180">
        <f>+Tabla5518106218339331347423[[#This Row],[PRECIO N]]-Tabla5518106218339331347423[[#This Row],[ICO 8%2]]</f>
        <v>13888.888888888889</v>
      </c>
      <c r="Q447" s="124">
        <f>+Tabla5518106218339331347423[[#This Row],[COSTO]]/Tabla5518106218339331347423[[#This Row],[BASE.]]</f>
        <v>0.36791770909118399</v>
      </c>
      <c r="R447" s="182">
        <f>+Tabla5518106218339331347423[[#This Row],[PRECIO N]]/Tabla5518106218339331347423[[#This Row],[COSTO]]</f>
        <v>2.9354390215892949</v>
      </c>
    </row>
    <row r="448" spans="1:18" x14ac:dyDescent="0.3">
      <c r="B448" s="27" t="s">
        <v>30</v>
      </c>
      <c r="C448" s="27"/>
      <c r="D448" s="162"/>
      <c r="E448" s="126"/>
      <c r="F448" s="126"/>
      <c r="G448" s="126"/>
      <c r="H448" s="131">
        <f>SUBTOTAL(101,Tabla5518106218339331347423[%])</f>
        <v>0.33454442567565673</v>
      </c>
      <c r="I448" s="126"/>
      <c r="J448" s="126"/>
      <c r="K448" s="93"/>
      <c r="L448" s="162"/>
      <c r="M448" s="126"/>
      <c r="N448" s="132"/>
      <c r="O448" s="126"/>
      <c r="P448" s="162"/>
      <c r="Q448" s="126"/>
      <c r="R448" s="182">
        <f>SUBTOTAL(109,Tabla5518106218339331347423[RATION])</f>
        <v>11.364591743587715</v>
      </c>
    </row>
    <row r="452" spans="2:17" x14ac:dyDescent="0.3">
      <c r="B452" s="225" t="s">
        <v>1016</v>
      </c>
      <c r="C452" s="226" t="s">
        <v>111</v>
      </c>
      <c r="D452" s="227" t="s">
        <v>7</v>
      </c>
      <c r="E452" s="228" t="s">
        <v>16</v>
      </c>
      <c r="F452" s="229" t="s">
        <v>29</v>
      </c>
      <c r="G452" s="226" t="s">
        <v>22</v>
      </c>
      <c r="H452" s="230" t="s">
        <v>17</v>
      </c>
      <c r="I452" s="226" t="s">
        <v>18</v>
      </c>
      <c r="J452" s="226" t="s">
        <v>19</v>
      </c>
      <c r="K452" s="226" t="s">
        <v>23</v>
      </c>
      <c r="L452" s="227" t="s">
        <v>28</v>
      </c>
      <c r="M452" s="226" t="s">
        <v>24</v>
      </c>
      <c r="N452" s="231" t="s">
        <v>26</v>
      </c>
      <c r="O452" s="227" t="s">
        <v>351</v>
      </c>
      <c r="P452" s="227" t="s">
        <v>352</v>
      </c>
      <c r="Q452" s="232" t="s">
        <v>27</v>
      </c>
    </row>
    <row r="453" spans="2:17" x14ac:dyDescent="0.3">
      <c r="B453" s="233" t="str">
        <f>+ALMUERZOS!B3</f>
        <v>CEVICHE PERUANO</v>
      </c>
      <c r="C453" s="234"/>
      <c r="D453" s="235">
        <f>+ALMUERZOS!K6</f>
        <v>9934.8273638250012</v>
      </c>
      <c r="E453" s="236">
        <v>13000</v>
      </c>
      <c r="F453" s="236">
        <f>+E453/1.08*0.08</f>
        <v>962.96296296296293</v>
      </c>
      <c r="G453" s="237">
        <f>+E453-F453</f>
        <v>12037.037037037036</v>
      </c>
      <c r="H453" s="238">
        <f>+D453/G453</f>
        <v>0.82535488868700013</v>
      </c>
      <c r="I453" s="239" t="s">
        <v>1017</v>
      </c>
      <c r="J453" s="240"/>
      <c r="K453" s="136">
        <f t="shared" ref="K453:K458" si="146">+D453/(100-60)*100</f>
        <v>24837.068409562504</v>
      </c>
      <c r="L453" s="235">
        <f t="shared" ref="L453:L454" si="147">+K453/1.08*0.08</f>
        <v>1839.782845152778</v>
      </c>
      <c r="M453" s="237" t="e">
        <f>+Tabla5518106218339331347423[[#This Row],[PRECIO SUGERIDO]]+Tabla5518106218339331347423[[#This Row],[ICO2]]</f>
        <v>#VALUE!</v>
      </c>
      <c r="N453" s="241"/>
      <c r="O453" s="236">
        <f t="shared" ref="O453:O454" si="148">+N453/1.08*0.08</f>
        <v>0</v>
      </c>
      <c r="P453" s="235" t="e">
        <f>+Tabla5518106218339331347423[[#This Row],[PRECIO N]]-Tabla5518106218339331347423[[#This Row],[ICO 8%2]]</f>
        <v>#VALUE!</v>
      </c>
      <c r="Q453" s="242" t="e">
        <f>+Tabla5518106218339331347423[[#This Row],[COSTO]]/Tabla5518106218339331347423[[#This Row],[BASE.]]</f>
        <v>#VALUE!</v>
      </c>
    </row>
    <row r="454" spans="2:17" x14ac:dyDescent="0.3">
      <c r="B454" s="233" t="str">
        <f>+ALMUERZOS!B18</f>
        <v>PESCADO CHORRILLANA</v>
      </c>
      <c r="C454" s="234"/>
      <c r="D454" s="235">
        <f>+ALMUERZOS!K21</f>
        <v>10236.856778757001</v>
      </c>
      <c r="E454" s="236">
        <v>13000</v>
      </c>
      <c r="F454" s="236">
        <f t="shared" ref="F454:F458" si="149">+E454/1.08*0.08</f>
        <v>962.96296296296293</v>
      </c>
      <c r="G454" s="237">
        <f t="shared" ref="G454:G458" si="150">+E454-F454</f>
        <v>12037.037037037036</v>
      </c>
      <c r="H454" s="238">
        <f t="shared" ref="H454:H458" si="151">+D454/G454</f>
        <v>0.85044656315827394</v>
      </c>
      <c r="I454" s="239"/>
      <c r="J454" s="240"/>
      <c r="K454" s="136">
        <f t="shared" si="146"/>
        <v>25592.141946892501</v>
      </c>
      <c r="L454" s="235">
        <f t="shared" si="147"/>
        <v>1895.7142182883333</v>
      </c>
      <c r="M454" s="237" t="e">
        <f>+Tabla5518106218339331347423[[#This Row],[PRECIO SUGERIDO]]+Tabla5518106218339331347423[[#This Row],[ICO2]]</f>
        <v>#VALUE!</v>
      </c>
      <c r="N454" s="241"/>
      <c r="O454" s="236">
        <f t="shared" si="148"/>
        <v>0</v>
      </c>
      <c r="P454" s="235" t="e">
        <f>+Tabla5518106218339331347423[[#This Row],[PRECIO N]]-Tabla5518106218339331347423[[#This Row],[ICO 8%2]]</f>
        <v>#VALUE!</v>
      </c>
      <c r="Q454" s="242" t="e">
        <f>+Tabla5518106218339331347423[[#This Row],[COSTO]]/Tabla5518106218339331347423[[#This Row],[BASE.]]</f>
        <v>#VALUE!</v>
      </c>
    </row>
    <row r="455" spans="2:17" x14ac:dyDescent="0.3">
      <c r="B455" s="233" t="str">
        <f>+ALMUERZOS!B32</f>
        <v>CHAUFA CHICHARRON (PERSONAL)</v>
      </c>
      <c r="C455" s="234"/>
      <c r="D455" s="235">
        <f>+ALMUERZOS!K35</f>
        <v>11765.42794098</v>
      </c>
      <c r="E455" s="236">
        <v>13000</v>
      </c>
      <c r="F455" s="236">
        <f t="shared" si="149"/>
        <v>962.96296296296293</v>
      </c>
      <c r="G455" s="237">
        <f t="shared" si="150"/>
        <v>12037.037037037036</v>
      </c>
      <c r="H455" s="238">
        <f t="shared" si="151"/>
        <v>0.97743555201987697</v>
      </c>
      <c r="I455" s="239"/>
      <c r="J455" s="240"/>
      <c r="K455" s="136">
        <f t="shared" si="146"/>
        <v>29413.56985245</v>
      </c>
      <c r="L455" s="235">
        <f>+K455/1.08*0.08</f>
        <v>2178.782952033333</v>
      </c>
      <c r="M455" s="237" t="e">
        <f>+Tabla5518106218339331347423[[#This Row],[PRECIO SUGERIDO]]+Tabla5518106218339331347423[[#This Row],[ICO2]]</f>
        <v>#VALUE!</v>
      </c>
      <c r="N455" s="241"/>
      <c r="O455" s="236">
        <f>+N455/1.08*0.08</f>
        <v>0</v>
      </c>
      <c r="P455" s="235" t="e">
        <f>+Tabla5518106218339331347423[[#This Row],[PRECIO N]]-Tabla5518106218339331347423[[#This Row],[ICO 8%2]]</f>
        <v>#VALUE!</v>
      </c>
      <c r="Q455" s="242" t="e">
        <f>+Tabla5518106218339331347423[[#This Row],[COSTO]]/Tabla5518106218339331347423[[#This Row],[BASE.]]</f>
        <v>#VALUE!</v>
      </c>
    </row>
    <row r="456" spans="2:17" x14ac:dyDescent="0.3">
      <c r="B456" s="233" t="str">
        <f>+ALMUERZOS!B45</f>
        <v>POLLO SALTADO (PERSONAL)</v>
      </c>
      <c r="C456" s="234"/>
      <c r="D456" s="235">
        <f>+ALMUERZOS!K48</f>
        <v>10840.27076496</v>
      </c>
      <c r="E456" s="236">
        <v>13000</v>
      </c>
      <c r="F456" s="236">
        <f t="shared" si="149"/>
        <v>962.96296296296293</v>
      </c>
      <c r="G456" s="237">
        <f t="shared" si="150"/>
        <v>12037.037037037036</v>
      </c>
      <c r="H456" s="238">
        <f t="shared" si="151"/>
        <v>0.90057634047360002</v>
      </c>
      <c r="I456" s="239"/>
      <c r="J456" s="240"/>
      <c r="K456" s="136">
        <f t="shared" si="146"/>
        <v>27100.676912400002</v>
      </c>
      <c r="L456" s="235">
        <f>+K456/1.08*0.08</f>
        <v>2007.4575490666668</v>
      </c>
      <c r="M456" s="237" t="e">
        <f>+Tabla5518106218339331347423[[#This Row],[PRECIO SUGERIDO]]+Tabla5518106218339331347423[[#This Row],[ICO2]]</f>
        <v>#VALUE!</v>
      </c>
      <c r="N456" s="241"/>
      <c r="O456" s="236">
        <f>+N456/1.08*0.08</f>
        <v>0</v>
      </c>
      <c r="P456" s="235" t="e">
        <f>+Tabla5518106218339331347423[[#This Row],[PRECIO N]]-Tabla5518106218339331347423[[#This Row],[ICO 8%2]]</f>
        <v>#VALUE!</v>
      </c>
      <c r="Q456" s="242" t="e">
        <f>+Tabla5518106218339331347423[[#This Row],[COSTO]]/Tabla5518106218339331347423[[#This Row],[BASE.]]</f>
        <v>#VALUE!</v>
      </c>
    </row>
    <row r="457" spans="2:17" x14ac:dyDescent="0.3">
      <c r="B457" s="233" t="str">
        <f>+ALMUERZOS!B59</f>
        <v>TILAPIA APANADA CON ARROZ Y YUCA</v>
      </c>
      <c r="C457" s="234"/>
      <c r="D457" s="235">
        <f>+ALMUERZOS!K62</f>
        <v>8810.1226606049986</v>
      </c>
      <c r="E457" s="236">
        <v>13000</v>
      </c>
      <c r="F457" s="236">
        <f t="shared" si="149"/>
        <v>962.96296296296293</v>
      </c>
      <c r="G457" s="237">
        <f t="shared" si="150"/>
        <v>12037.037037037036</v>
      </c>
      <c r="H457" s="238">
        <f t="shared" si="151"/>
        <v>0.73191788257333834</v>
      </c>
      <c r="I457" s="239"/>
      <c r="J457" s="240"/>
      <c r="K457" s="136">
        <f t="shared" si="146"/>
        <v>22025.306651512496</v>
      </c>
      <c r="L457" s="235">
        <f>+K457/1.08*0.08</f>
        <v>1631.5041964083327</v>
      </c>
      <c r="M457" s="237" t="e">
        <f>+Tabla5518106218339331347423[[#This Row],[PRECIO SUGERIDO]]+Tabla5518106218339331347423[[#This Row],[ICO2]]</f>
        <v>#VALUE!</v>
      </c>
      <c r="N457" s="241"/>
      <c r="O457" s="236">
        <f>+N457/1.08*0.08</f>
        <v>0</v>
      </c>
      <c r="P457" s="235" t="e">
        <f>+Tabla5518106218339331347423[[#This Row],[PRECIO N]]-Tabla5518106218339331347423[[#This Row],[ICO 8%2]]</f>
        <v>#VALUE!</v>
      </c>
      <c r="Q457" s="242" t="e">
        <f>+Tabla5518106218339331347423[[#This Row],[COSTO]]/Tabla5518106218339331347423[[#This Row],[BASE.]]</f>
        <v>#VALUE!</v>
      </c>
    </row>
    <row r="458" spans="2:17" ht="13.8" thickBot="1" x14ac:dyDescent="0.35">
      <c r="B458" s="233" t="str">
        <f>+ALMUERZOS!B73</f>
        <v>ARROZ CON POLLO PERUANO (PERSONAL)</v>
      </c>
      <c r="C458" s="234"/>
      <c r="D458" s="235">
        <f>+ALMUERZOS!K76</f>
        <v>8182.6173604350006</v>
      </c>
      <c r="E458" s="236">
        <v>13000</v>
      </c>
      <c r="F458" s="236">
        <f t="shared" si="149"/>
        <v>962.96296296296293</v>
      </c>
      <c r="G458" s="237">
        <f t="shared" si="150"/>
        <v>12037.037037037036</v>
      </c>
      <c r="H458" s="238">
        <f t="shared" si="151"/>
        <v>0.67978667302075391</v>
      </c>
      <c r="I458" s="239"/>
      <c r="J458" s="240"/>
      <c r="K458" s="136">
        <f t="shared" si="146"/>
        <v>20456.5434010875</v>
      </c>
      <c r="L458" s="235">
        <f t="shared" ref="L458" si="152">+K458/1.08*0.08</f>
        <v>1515.2995111916666</v>
      </c>
      <c r="M458" s="237" t="e">
        <f>+Tabla5518106218339331347423[[#This Row],[PRECIO SUGERIDO]]+Tabla5518106218339331347423[[#This Row],[ICO2]]</f>
        <v>#VALUE!</v>
      </c>
      <c r="N458" s="241"/>
      <c r="O458" s="236">
        <f t="shared" ref="O458" si="153">+N458/1.08*0.08</f>
        <v>0</v>
      </c>
      <c r="P458" s="235" t="e">
        <f>+Tabla5518106218339331347423[[#This Row],[PRECIO N]]-Tabla5518106218339331347423[[#This Row],[ICO 8%2]]</f>
        <v>#VALUE!</v>
      </c>
      <c r="Q458" s="242" t="e">
        <f>+Tabla5518106218339331347423[[#This Row],[COSTO]]/Tabla5518106218339331347423[[#This Row],[BASE.]]</f>
        <v>#VALUE!</v>
      </c>
    </row>
    <row r="459" spans="2:17" ht="13.8" thickTop="1" x14ac:dyDescent="0.3">
      <c r="B459" s="243" t="s">
        <v>30</v>
      </c>
      <c r="C459" s="244"/>
      <c r="D459" s="245"/>
      <c r="E459" s="246"/>
      <c r="F459" s="246"/>
      <c r="G459" s="246"/>
      <c r="H459" s="247">
        <f>SUBTOTAL(101,Tabla5518106218339331347423[%])</f>
        <v>0.33454442567565673</v>
      </c>
      <c r="I459" s="246"/>
      <c r="J459" s="246"/>
      <c r="K459" s="248"/>
      <c r="L459" s="245"/>
      <c r="M459" s="246"/>
      <c r="N459" s="249"/>
      <c r="O459" s="246"/>
      <c r="P459" s="245"/>
      <c r="Q459" s="250"/>
    </row>
  </sheetData>
  <mergeCells count="34">
    <mergeCell ref="K266:M266"/>
    <mergeCell ref="K230:M230"/>
    <mergeCell ref="K251:M251"/>
    <mergeCell ref="K207:M207"/>
    <mergeCell ref="K217:M217"/>
    <mergeCell ref="K241:M241"/>
    <mergeCell ref="K105:M105"/>
    <mergeCell ref="K96:M96"/>
    <mergeCell ref="N5:Q5"/>
    <mergeCell ref="K164:M164"/>
    <mergeCell ref="K186:M186"/>
    <mergeCell ref="K153:M153"/>
    <mergeCell ref="K145:M145"/>
    <mergeCell ref="K120:M120"/>
    <mergeCell ref="K5:M5"/>
    <mergeCell ref="K64:M64"/>
    <mergeCell ref="K73:M73"/>
    <mergeCell ref="K49:M49"/>
    <mergeCell ref="K431:M431"/>
    <mergeCell ref="K407:M407"/>
    <mergeCell ref="K417:M417"/>
    <mergeCell ref="K86:M86"/>
    <mergeCell ref="K132:M132"/>
    <mergeCell ref="K138:M138"/>
    <mergeCell ref="K396:M396"/>
    <mergeCell ref="K325:M325"/>
    <mergeCell ref="K338:M338"/>
    <mergeCell ref="K348:M348"/>
    <mergeCell ref="K360:M360"/>
    <mergeCell ref="K378:M378"/>
    <mergeCell ref="K278:M278"/>
    <mergeCell ref="K290:M290"/>
    <mergeCell ref="K304:M304"/>
    <mergeCell ref="K311:M311"/>
  </mergeCells>
  <phoneticPr fontId="20" type="noConversion"/>
  <conditionalFormatting sqref="H7:H46 H51:H61 H66:H68 H75:H81 H88:H92 H107:H117 H140:H142 H188:H204 H433:H438 H444:H447">
    <cfRule type="cellIs" dxfId="677" priority="29" operator="lessThan">
      <formula>0.34</formula>
    </cfRule>
    <cfRule type="cellIs" dxfId="676" priority="30" operator="greaterThan">
      <formula>0.35</formula>
    </cfRule>
  </conditionalFormatting>
  <conditionalFormatting sqref="H98:H102">
    <cfRule type="cellIs" dxfId="675" priority="115" operator="lessThan">
      <formula>0.34</formula>
    </cfRule>
    <cfRule type="cellIs" dxfId="674" priority="116" operator="greaterThan">
      <formula>0.35</formula>
    </cfRule>
  </conditionalFormatting>
  <conditionalFormatting sqref="H122:H128">
    <cfRule type="cellIs" dxfId="673" priority="111" operator="lessThan">
      <formula>0.34</formula>
    </cfRule>
    <cfRule type="cellIs" dxfId="672" priority="112" operator="greaterThan">
      <formula>0.35</formula>
    </cfRule>
  </conditionalFormatting>
  <conditionalFormatting sqref="H134:H135">
    <cfRule type="cellIs" dxfId="671" priority="85" operator="lessThan">
      <formula>0.34</formula>
    </cfRule>
    <cfRule type="cellIs" dxfId="670" priority="86" operator="greaterThan">
      <formula>0.35</formula>
    </cfRule>
  </conditionalFormatting>
  <conditionalFormatting sqref="H147:H149">
    <cfRule type="cellIs" dxfId="669" priority="79" operator="lessThan">
      <formula>0.34</formula>
    </cfRule>
    <cfRule type="cellIs" dxfId="668" priority="80" operator="greaterThan">
      <formula>0.35</formula>
    </cfRule>
  </conditionalFormatting>
  <conditionalFormatting sqref="H155:H160">
    <cfRule type="cellIs" dxfId="667" priority="23" operator="lessThan">
      <formula>0.34</formula>
    </cfRule>
    <cfRule type="cellIs" dxfId="666" priority="24" operator="greaterThan">
      <formula>0.35</formula>
    </cfRule>
  </conditionalFormatting>
  <conditionalFormatting sqref="H166:H181">
    <cfRule type="cellIs" dxfId="665" priority="21" operator="lessThan">
      <formula>0.34</formula>
    </cfRule>
    <cfRule type="cellIs" dxfId="664" priority="22" operator="greaterThan">
      <formula>0.35</formula>
    </cfRule>
  </conditionalFormatting>
  <conditionalFormatting sqref="H209:H213">
    <cfRule type="cellIs" dxfId="663" priority="17" operator="lessThan">
      <formula>0.34</formula>
    </cfRule>
    <cfRule type="cellIs" dxfId="662" priority="18" operator="greaterThan">
      <formula>0.35</formula>
    </cfRule>
  </conditionalFormatting>
  <conditionalFormatting sqref="H219:H226">
    <cfRule type="cellIs" dxfId="661" priority="15" operator="lessThan">
      <formula>0.34</formula>
    </cfRule>
    <cfRule type="cellIs" dxfId="660" priority="16" operator="greaterThan">
      <formula>0.35</formula>
    </cfRule>
  </conditionalFormatting>
  <conditionalFormatting sqref="H232:H237 H253:H261 H313:H321 H398:H404">
    <cfRule type="cellIs" dxfId="659" priority="63" operator="lessThan">
      <formula>0.24</formula>
    </cfRule>
    <cfRule type="cellIs" dxfId="658" priority="64" operator="greaterThan">
      <formula>0.25</formula>
    </cfRule>
  </conditionalFormatting>
  <conditionalFormatting sqref="H243:H247">
    <cfRule type="cellIs" dxfId="657" priority="61" operator="lessThan">
      <formula>0.24</formula>
    </cfRule>
    <cfRule type="cellIs" dxfId="656" priority="62" operator="greaterThan">
      <formula>0.25</formula>
    </cfRule>
  </conditionalFormatting>
  <conditionalFormatting sqref="H268:H273">
    <cfRule type="cellIs" dxfId="655" priority="57" operator="lessThan">
      <formula>0.24</formula>
    </cfRule>
    <cfRule type="cellIs" dxfId="654" priority="58" operator="greaterThan">
      <formula>0.25</formula>
    </cfRule>
  </conditionalFormatting>
  <conditionalFormatting sqref="H280:H286">
    <cfRule type="cellIs" dxfId="653" priority="55" operator="lessThan">
      <formula>0.24</formula>
    </cfRule>
    <cfRule type="cellIs" dxfId="652" priority="56" operator="greaterThan">
      <formula>0.25</formula>
    </cfRule>
  </conditionalFormatting>
  <conditionalFormatting sqref="H292:H300">
    <cfRule type="cellIs" dxfId="651" priority="53" operator="lessThan">
      <formula>0.24</formula>
    </cfRule>
    <cfRule type="cellIs" dxfId="650" priority="54" operator="greaterThan">
      <formula>0.25</formula>
    </cfRule>
  </conditionalFormatting>
  <conditionalFormatting sqref="H306:H307">
    <cfRule type="cellIs" dxfId="649" priority="51" operator="lessThan">
      <formula>0.24</formula>
    </cfRule>
    <cfRule type="cellIs" dxfId="648" priority="52" operator="greaterThan">
      <formula>0.25</formula>
    </cfRule>
  </conditionalFormatting>
  <conditionalFormatting sqref="H327:H332">
    <cfRule type="cellIs" dxfId="647" priority="45" operator="lessThan">
      <formula>0.24</formula>
    </cfRule>
    <cfRule type="cellIs" dxfId="646" priority="46" operator="greaterThan">
      <formula>0.25</formula>
    </cfRule>
  </conditionalFormatting>
  <conditionalFormatting sqref="H340:H342">
    <cfRule type="cellIs" dxfId="645" priority="43" operator="lessThan">
      <formula>0.24</formula>
    </cfRule>
    <cfRule type="cellIs" dxfId="644" priority="44" operator="greaterThan">
      <formula>0.25</formula>
    </cfRule>
  </conditionalFormatting>
  <conditionalFormatting sqref="H350:H356">
    <cfRule type="cellIs" dxfId="643" priority="41" operator="lessThan">
      <formula>0.24</formula>
    </cfRule>
    <cfRule type="cellIs" dxfId="642" priority="42" operator="greaterThan">
      <formula>0.25</formula>
    </cfRule>
  </conditionalFormatting>
  <conditionalFormatting sqref="H362:H373">
    <cfRule type="cellIs" dxfId="641" priority="39" operator="lessThan">
      <formula>0.24</formula>
    </cfRule>
    <cfRule type="cellIs" dxfId="640" priority="40" operator="greaterThan">
      <formula>0.25</formula>
    </cfRule>
  </conditionalFormatting>
  <conditionalFormatting sqref="H380:H391">
    <cfRule type="cellIs" dxfId="639" priority="37" operator="lessThan">
      <formula>0.24</formula>
    </cfRule>
    <cfRule type="cellIs" dxfId="638" priority="38" operator="greaterThan">
      <formula>0.25</formula>
    </cfRule>
  </conditionalFormatting>
  <conditionalFormatting sqref="H409:H414">
    <cfRule type="cellIs" dxfId="637" priority="33" operator="lessThan">
      <formula>0.24</formula>
    </cfRule>
    <cfRule type="cellIs" dxfId="636" priority="34" operator="greaterThan">
      <formula>0.25</formula>
    </cfRule>
  </conditionalFormatting>
  <conditionalFormatting sqref="H419:H426">
    <cfRule type="cellIs" dxfId="635" priority="31" operator="lessThan">
      <formula>0.24</formula>
    </cfRule>
    <cfRule type="cellIs" dxfId="634" priority="32" operator="greaterThan">
      <formula>0.25</formula>
    </cfRule>
  </conditionalFormatting>
  <conditionalFormatting sqref="H453:H458">
    <cfRule type="cellIs" dxfId="633" priority="1" operator="lessThan">
      <formula>0.34</formula>
    </cfRule>
    <cfRule type="cellIs" dxfId="632" priority="2" operator="greaterThan">
      <formula>0.35</formula>
    </cfRule>
  </conditionalFormatting>
  <hyperlinks>
    <hyperlink ref="B139" location="POSTRES!A1" display="POSTRES" xr:uid="{6E0E8F72-987B-4626-B552-9EA883E64AF7}"/>
    <hyperlink ref="B65" location="'PARA COMPARTIR'!A1" display="PARA COMPARTIR" xr:uid="{7EB25160-8C05-4C76-A07C-EF7BB03C1CED}"/>
    <hyperlink ref="B121" location="CARNES!A1" display="CARNES" xr:uid="{524427C7-5D11-4A31-A5C7-6FE5269439F3}"/>
    <hyperlink ref="B74" location="CEVICHES!A1" display="CEVICHES" xr:uid="{F7A56C2A-325A-41AE-ACBF-20C48B7EEE9C}"/>
    <hyperlink ref="B87" location="CAUSAS!A1" display="CAUSAS" xr:uid="{E2E0AD0E-8992-429F-80A8-D50476EF7A0B}"/>
    <hyperlink ref="B97" location="'PESCADOS Y MARISCOS'!A1" display="PESCADOS Y MARISCOS" xr:uid="{936721A9-9924-41B2-A5B6-37F3B1873666}"/>
    <hyperlink ref="B106" location="ARROCES!A1" display="ARROCES" xr:uid="{0911E75C-E6FE-44D2-AFFC-423F4311088D}"/>
    <hyperlink ref="B133" location="SOPAS!A1" display="SOPAS" xr:uid="{5B3E0FD3-DFA7-4725-9999-6C3D1177485A}"/>
    <hyperlink ref="B146" location="'MENU INFANTIL'!A1" display="MENU INFANTIL" xr:uid="{856C70AE-FD6A-48D3-B52B-F5753130806E}"/>
    <hyperlink ref="B50" location="ENTRADAS!A1" display="ENTRADAS" xr:uid="{355EA2EF-88DE-47BC-912D-5D268B762D14}"/>
    <hyperlink ref="B187" location="'COCTELES '!A1" display="COCTELES" xr:uid="{EE5FD9AD-273B-4B4E-974E-3CDE7E71CA56}"/>
    <hyperlink ref="B208" location="'GIN &amp; TONIC'!A1" display="GIN &amp; TONICS" xr:uid="{51FF9FAF-04F7-4544-B331-B66DC63956AF}"/>
    <hyperlink ref="B218" location="CERVEZA!A1" display="CERVEZAS" xr:uid="{8FC8F1FC-CEBF-474F-A0DE-6C606F270F22}"/>
    <hyperlink ref="B231" location="'BEBIDAS ESPECIALES SIN ALCOHOL'!A1" display="BEBIDAS ESPECIALES SIN ALCOHOL" xr:uid="{0CEEB827-DE55-4C01-90C1-A02B4C6F193D}"/>
    <hyperlink ref="B252" location="'AGUAS Y BEBIDAS EMBOTELLASDAS'!A1" display="AGUAS Y BEBIDAS EMBOTELLADAS" xr:uid="{533B8C0A-6F8B-4851-B9DA-FF005C6019F6}"/>
    <hyperlink ref="B154" location="SANGRIA!A1" display="SANGRIAS" xr:uid="{CDAACD17-D58F-4402-9D14-E147C8A8B401}"/>
    <hyperlink ref="B6" location="ADICIONES!A1" display="ADICIONES" xr:uid="{5FED9F6D-FAF4-47A2-9F6A-3607189DE772}"/>
    <hyperlink ref="B267" location="'VINOS POR COPA'!A1" display="COPA DE VINOS" xr:uid="{A1C9E207-0483-4206-9AF1-AD714E8F8A11}"/>
    <hyperlink ref="B279" location="'VINOS BLANCOS'!A1" display="VINOS BLANCOS" xr:uid="{2329B33F-2F54-4E76-A19C-341AAA7C82C0}"/>
    <hyperlink ref="B291" location="'VINOS TINTOS'!A1" display="VINOS TINTO" xr:uid="{83E95185-55B4-4329-8801-0EC3ED48AC47}"/>
    <hyperlink ref="B312" location="ESPUMOSOS!A1" display="ESPUMOSOS" xr:uid="{8911FAFE-4387-4FA2-B986-12A728324281}"/>
    <hyperlink ref="B326" location="PISCO!A1" display="PISCO" xr:uid="{F64BC917-768D-45E4-880A-EC8C9415B8A6}"/>
    <hyperlink ref="B339" location="AGUARDIENTE!A1" display="AGUARDIENTE" xr:uid="{EFFC6289-EF29-4595-B8B4-FD55C21E96B8}"/>
    <hyperlink ref="B349" location="RON!A1" display="RON" xr:uid="{DC060E8F-B450-41BF-8C23-CBF7CA0F8BF5}"/>
    <hyperlink ref="B361" location="'TEQUILA Y MEZCAL'!A1" display="TEQUILA Y MEZCAL" xr:uid="{E60D63D8-F973-42C2-844C-2926EA7B629F}"/>
    <hyperlink ref="B432" location="'SEGURIDOS DEL CHEF'!A1" display="SUGERIDOS DEL CHEF" xr:uid="{C8A4C866-6342-43D2-A813-2DD6DE5421D8}"/>
    <hyperlink ref="B397" location="VODKA!A1" display="VODKA" xr:uid="{AE245B42-8E05-4469-B59C-D462FC46EFC0}"/>
    <hyperlink ref="B242" location="'LIMONADAS Y JUGOS'!A1" display="LIMONADAS Y JUGOS" xr:uid="{8650BDE5-3351-4768-A83C-6A84B747EEC9}"/>
    <hyperlink ref="B443" location="TRAGOS!A1" display="TRAGOS" xr:uid="{64DC1BDA-CBF2-40D6-912B-715D942E1C82}"/>
    <hyperlink ref="B379" location="'WHISKY Y WHISKEY'!A1" display="WHISKY Y WHISKEY" xr:uid="{E47CCF4F-C411-4DF6-AA56-019FDC00924F}"/>
    <hyperlink ref="B408" location="GINEBRA!A1" display="GINEBRA" xr:uid="{40016EE4-E5E3-4A84-B29F-7673C088D819}"/>
    <hyperlink ref="B418" location="'APERITIVOS Y DIGESTIVOS'!A1" display="APERITIVOS Y DIGESTIVOS" xr:uid="{3B538357-9448-407C-9899-E0C775DA387B}"/>
    <hyperlink ref="B165" location="'COCTELES A BASE DE PISCO'!A1" display="COCTELES DE LA CASA" xr:uid="{8AC24FB4-3EE8-4065-92E7-DC4F804100D8}"/>
  </hyperlinks>
  <pageMargins left="0.7" right="0.7" top="0.75" bottom="0.75" header="0.3" footer="0.3"/>
  <pageSetup orientation="portrait" horizontalDpi="360" verticalDpi="360" r:id="rId1"/>
  <drawing r:id="rId2"/>
  <legacyDrawing r:id="rId3"/>
  <tableParts count="34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D76F9-61C0-4E6A-B958-A6016DDB6658}">
  <dimension ref="B3:L27"/>
  <sheetViews>
    <sheetView showGridLines="0" workbookViewId="0">
      <selection activeCell="J7" sqref="J7"/>
    </sheetView>
  </sheetViews>
  <sheetFormatPr baseColWidth="10" defaultRowHeight="14.4" x14ac:dyDescent="0.3"/>
  <cols>
    <col min="2" max="2" width="28.33203125" bestFit="1" customWidth="1"/>
    <col min="3" max="4" width="11.77734375" style="273" bestFit="1" customWidth="1"/>
    <col min="5" max="5" width="11.77734375" style="273" customWidth="1"/>
    <col min="6" max="6" width="11.5546875" style="275"/>
    <col min="8" max="8" width="26.109375" bestFit="1" customWidth="1"/>
    <col min="11" max="11" width="11.77734375" style="273" bestFit="1" customWidth="1"/>
    <col min="12" max="12" width="12.77734375" style="273" bestFit="1" customWidth="1"/>
  </cols>
  <sheetData>
    <row r="3" spans="2:12" x14ac:dyDescent="0.3">
      <c r="B3" s="272" t="s">
        <v>1312</v>
      </c>
      <c r="C3" s="274"/>
      <c r="D3" s="273">
        <v>1</v>
      </c>
    </row>
    <row r="4" spans="2:12" x14ac:dyDescent="0.3">
      <c r="B4" t="str">
        <f>+'MATRIZ CARTA'!B58</f>
        <v>SPRING ROLLS AJÃ DE GALLINA</v>
      </c>
      <c r="C4" s="273">
        <f>+'MATRIZ CARTA'!D58</f>
        <v>10080.636249159001</v>
      </c>
      <c r="D4" s="273">
        <v>35000</v>
      </c>
      <c r="F4" s="275">
        <f>+C6*D3</f>
        <v>7822.0197269655</v>
      </c>
      <c r="K4" s="273">
        <v>35000</v>
      </c>
      <c r="L4" s="273">
        <f>+K4*1</f>
        <v>35000</v>
      </c>
    </row>
    <row r="5" spans="2:12" x14ac:dyDescent="0.3">
      <c r="B5" t="str">
        <f>+'MATRIZ CARTA'!B79</f>
        <v>CEVICHE DE CHAMPIÑON</v>
      </c>
      <c r="C5" s="273">
        <f>+'MATRIZ CARTA'!D79</f>
        <v>9003.4438200525001</v>
      </c>
    </row>
    <row r="6" spans="2:12" x14ac:dyDescent="0.3">
      <c r="B6" t="str">
        <f>+'MATRIZ CARTA'!B92</f>
        <v>CAUSA DE SALMON ACEVICHADA</v>
      </c>
      <c r="C6" s="273">
        <f>+'MATRIZ CARTA'!D92</f>
        <v>7822.0197269655</v>
      </c>
    </row>
    <row r="8" spans="2:12" x14ac:dyDescent="0.3">
      <c r="B8" s="272" t="s">
        <v>1313</v>
      </c>
      <c r="C8" s="274"/>
      <c r="D8" s="273">
        <v>2</v>
      </c>
    </row>
    <row r="9" spans="2:12" x14ac:dyDescent="0.3">
      <c r="B9" t="str">
        <f>+'MATRIZ CARTA'!B110</f>
        <v>ARROZ DE CHANCHO</v>
      </c>
      <c r="C9" s="273">
        <f>+'MATRIZ CARTA'!D110</f>
        <v>17927.627530690501</v>
      </c>
    </row>
    <row r="10" spans="2:12" x14ac:dyDescent="0.3">
      <c r="B10" t="str">
        <f>+'MATRIZ CARTA'!B124</f>
        <v>LOMO ANTICUCHERO</v>
      </c>
      <c r="C10" s="273">
        <f>+'MATRIZ CARTA'!D124</f>
        <v>22470.294966608999</v>
      </c>
      <c r="D10" s="273">
        <v>67900</v>
      </c>
      <c r="F10" s="275">
        <f>+C9+C10</f>
        <v>40397.9224972995</v>
      </c>
      <c r="K10" s="273">
        <v>67900</v>
      </c>
      <c r="L10" s="273">
        <f>+K10*2</f>
        <v>135800</v>
      </c>
    </row>
    <row r="11" spans="2:12" x14ac:dyDescent="0.3">
      <c r="B11" t="str">
        <f>+'MATRIZ CARTA'!B77</f>
        <v>MIXTO TRADICIONAL</v>
      </c>
      <c r="C11" s="273">
        <f>+'MATRIZ CARTA'!D77</f>
        <v>15690.988256233499</v>
      </c>
    </row>
    <row r="13" spans="2:12" x14ac:dyDescent="0.3">
      <c r="B13" s="272" t="s">
        <v>1314</v>
      </c>
      <c r="C13" s="274"/>
      <c r="D13" s="273">
        <v>1</v>
      </c>
      <c r="F13" s="275">
        <f>+C15*D13</f>
        <v>2983.0284521782501</v>
      </c>
    </row>
    <row r="14" spans="2:12" x14ac:dyDescent="0.3">
      <c r="B14" t="str">
        <f>+'MATRIZ CARTA'!B140</f>
        <v>SPRING ROLLS DE NUTELLA</v>
      </c>
      <c r="C14" s="273">
        <f>+'MATRIZ CARTA'!D140</f>
        <v>7851.082643355001</v>
      </c>
    </row>
    <row r="15" spans="2:12" x14ac:dyDescent="0.3">
      <c r="B15" t="str">
        <f>+'MATRIZ CARTA'!B141</f>
        <v>SUSPIRO ROCOTO</v>
      </c>
      <c r="C15" s="273">
        <f>+'MATRIZ CARTA'!D141</f>
        <v>2983.0284521782501</v>
      </c>
    </row>
    <row r="16" spans="2:12" x14ac:dyDescent="0.3">
      <c r="B16" t="str">
        <f>+'MATRIZ CARTA'!B142</f>
        <v xml:space="preserve">TORTA DE CHOCOLATE </v>
      </c>
      <c r="C16" s="273">
        <f>+'MATRIZ CARTA'!D142</f>
        <v>9655.6686377340011</v>
      </c>
      <c r="D16" s="273">
        <v>27000</v>
      </c>
      <c r="K16" s="273">
        <v>27000</v>
      </c>
      <c r="L16" s="273">
        <f>+K16*1</f>
        <v>27000</v>
      </c>
    </row>
    <row r="18" spans="2:12" x14ac:dyDescent="0.3">
      <c r="B18" t="s">
        <v>1315</v>
      </c>
      <c r="H18" s="277" t="s">
        <v>0</v>
      </c>
      <c r="I18" s="277"/>
    </row>
    <row r="19" spans="2:12" x14ac:dyDescent="0.3">
      <c r="B19" t="s">
        <v>1316</v>
      </c>
      <c r="C19" s="273">
        <v>3334</v>
      </c>
      <c r="D19" s="273">
        <v>1</v>
      </c>
      <c r="E19" s="273">
        <v>15000</v>
      </c>
      <c r="F19" s="275">
        <f>+D19*C19</f>
        <v>3334</v>
      </c>
      <c r="H19" s="5" t="s">
        <v>6</v>
      </c>
      <c r="I19" s="6">
        <f>+F24</f>
        <v>61777.970676443256</v>
      </c>
      <c r="K19" s="273">
        <v>15000</v>
      </c>
      <c r="L19" s="273">
        <f>+K19*2</f>
        <v>30000</v>
      </c>
    </row>
    <row r="20" spans="2:12" x14ac:dyDescent="0.3">
      <c r="B20" t="s">
        <v>1317</v>
      </c>
      <c r="C20" s="273">
        <v>3333</v>
      </c>
      <c r="D20" s="273">
        <v>2</v>
      </c>
      <c r="E20" s="273">
        <v>15000</v>
      </c>
      <c r="F20" s="275">
        <f t="shared" ref="F20:F21" si="0">+D20*C20</f>
        <v>6666</v>
      </c>
      <c r="H20" s="5" t="s">
        <v>113</v>
      </c>
      <c r="I20" s="12"/>
      <c r="K20" s="273">
        <v>15000</v>
      </c>
      <c r="L20" s="273">
        <f>+K20*1</f>
        <v>15000</v>
      </c>
    </row>
    <row r="21" spans="2:12" x14ac:dyDescent="0.3">
      <c r="B21" t="s">
        <v>1318</v>
      </c>
      <c r="C21" s="273">
        <v>575</v>
      </c>
      <c r="D21" s="273">
        <v>1</v>
      </c>
      <c r="E21" s="273">
        <v>6000</v>
      </c>
      <c r="F21" s="275">
        <f t="shared" si="0"/>
        <v>575</v>
      </c>
      <c r="H21" s="5" t="s">
        <v>9</v>
      </c>
      <c r="I21" s="12">
        <f>+F24</f>
        <v>61777.970676443256</v>
      </c>
      <c r="K21" s="273">
        <v>6000</v>
      </c>
      <c r="L21" s="273">
        <f>+K21*1</f>
        <v>6000</v>
      </c>
    </row>
    <row r="22" spans="2:12" x14ac:dyDescent="0.3">
      <c r="H22" s="17" t="s">
        <v>10</v>
      </c>
      <c r="I22" s="18">
        <v>159000</v>
      </c>
    </row>
    <row r="23" spans="2:12" x14ac:dyDescent="0.3">
      <c r="H23" s="5" t="s">
        <v>11</v>
      </c>
      <c r="I23" s="12">
        <f>+I22/1.08*0.08</f>
        <v>11777.777777777777</v>
      </c>
    </row>
    <row r="24" spans="2:12" x14ac:dyDescent="0.3">
      <c r="F24" s="275">
        <f>+F4+F10+F13+F19+F20+F21</f>
        <v>61777.970676443256</v>
      </c>
      <c r="H24" s="5" t="s">
        <v>12</v>
      </c>
      <c r="I24" s="12">
        <f>+I22-I23</f>
        <v>147222.22222222222</v>
      </c>
      <c r="L24" s="273">
        <f>SUM(L4:L22)</f>
        <v>248800</v>
      </c>
    </row>
    <row r="25" spans="2:12" x14ac:dyDescent="0.3">
      <c r="H25" s="5" t="s">
        <v>13</v>
      </c>
      <c r="I25" s="19">
        <f>+I21/I24</f>
        <v>0.41962395176452022</v>
      </c>
    </row>
    <row r="26" spans="2:12" x14ac:dyDescent="0.3">
      <c r="H26" s="5" t="s">
        <v>14</v>
      </c>
      <c r="I26" s="20">
        <f>+I24-I21</f>
        <v>85444.25154577897</v>
      </c>
      <c r="L26" s="273">
        <f>+L24*35%</f>
        <v>87080</v>
      </c>
    </row>
    <row r="27" spans="2:12" x14ac:dyDescent="0.3">
      <c r="H27" s="5" t="s">
        <v>15</v>
      </c>
      <c r="I27" s="22">
        <f>+I26/I21</f>
        <v>1.3830860840878993</v>
      </c>
      <c r="L27" s="276"/>
    </row>
  </sheetData>
  <mergeCells count="1">
    <mergeCell ref="H18:I18"/>
  </mergeCells>
  <conditionalFormatting sqref="I25">
    <cfRule type="cellIs" dxfId="631" priority="1" operator="lessThan">
      <formula>0.3</formula>
    </cfRule>
    <cfRule type="cellIs" dxfId="630" priority="2" operator="greaterThan">
      <formula>0.3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1C420-934A-4B37-8292-A4EAB88C66D9}">
  <dimension ref="B6:L94"/>
  <sheetViews>
    <sheetView showGridLines="0" topLeftCell="C43" zoomScale="90" zoomScaleNormal="90" workbookViewId="0">
      <selection activeCell="J49" sqref="J49:K58"/>
    </sheetView>
  </sheetViews>
  <sheetFormatPr baseColWidth="10" defaultRowHeight="14.4" x14ac:dyDescent="0.3"/>
  <cols>
    <col min="1" max="1" width="6.33203125" customWidth="1"/>
    <col min="2" max="2" width="40.109375" bestFit="1" customWidth="1"/>
    <col min="7" max="7" width="12" bestFit="1" customWidth="1"/>
    <col min="8" max="8" width="13" customWidth="1"/>
    <col min="9" max="9" width="6.21875" customWidth="1"/>
    <col min="10" max="10" width="26.5546875" bestFit="1" customWidth="1"/>
  </cols>
  <sheetData>
    <row r="6" spans="2:12" x14ac:dyDescent="0.3">
      <c r="G6" s="4"/>
    </row>
    <row r="7" spans="2:12" x14ac:dyDescent="0.3">
      <c r="B7" s="16" t="s">
        <v>816</v>
      </c>
      <c r="C7" s="2"/>
      <c r="D7" s="2"/>
      <c r="E7" s="3"/>
      <c r="F7" s="3"/>
      <c r="G7" s="99"/>
      <c r="H7" s="99"/>
      <c r="I7" s="4"/>
      <c r="J7" s="277" t="s">
        <v>0</v>
      </c>
      <c r="K7" s="277"/>
    </row>
    <row r="8" spans="2:12" x14ac:dyDescent="0.3">
      <c r="B8" s="13" t="s">
        <v>1</v>
      </c>
      <c r="C8" s="14" t="s">
        <v>2</v>
      </c>
      <c r="D8" s="14" t="s">
        <v>571</v>
      </c>
      <c r="E8" s="14" t="s">
        <v>572</v>
      </c>
      <c r="F8" s="14" t="s">
        <v>573</v>
      </c>
      <c r="G8" s="28" t="s">
        <v>4</v>
      </c>
      <c r="H8" s="28" t="s">
        <v>5</v>
      </c>
      <c r="I8" s="4"/>
      <c r="J8" s="5" t="s">
        <v>6</v>
      </c>
      <c r="K8" s="6">
        <f>+H9+3851</f>
        <v>4784.3379999999997</v>
      </c>
      <c r="L8" s="44"/>
    </row>
    <row r="9" spans="2:12" x14ac:dyDescent="0.3">
      <c r="B9" s="7" t="s">
        <v>406</v>
      </c>
      <c r="C9" s="8" t="s">
        <v>188</v>
      </c>
      <c r="D9" s="9">
        <v>50</v>
      </c>
      <c r="E9" s="9">
        <v>25</v>
      </c>
      <c r="F9" s="9">
        <v>66.667000000000002</v>
      </c>
      <c r="G9" s="10">
        <f>+VLOOKUP(Tabla1103453454455456479108131138145424430432[[#This Row],[Ingrediente]],Tabla34[#All],3,0)</f>
        <v>14</v>
      </c>
      <c r="H9" s="11">
        <f>+Tabla1103453454455456479108131138145424430432[[#This Row],[Costo]]*Tabla1103453454455456479108131138145424430432[[#This Row],[Unidades]]</f>
        <v>933.33799999999997</v>
      </c>
      <c r="I9" s="4"/>
      <c r="J9" s="5" t="s">
        <v>113</v>
      </c>
      <c r="K9" s="12">
        <f>+K8*5%</f>
        <v>239.21690000000001</v>
      </c>
    </row>
    <row r="10" spans="2:12" x14ac:dyDescent="0.3">
      <c r="B10" s="21" t="s">
        <v>446</v>
      </c>
      <c r="C10" s="8" t="s">
        <v>188</v>
      </c>
      <c r="D10" s="9">
        <v>1</v>
      </c>
      <c r="E10" s="9">
        <v>40</v>
      </c>
      <c r="F10" s="9">
        <v>1.667</v>
      </c>
      <c r="G10" s="10">
        <f>+VLOOKUP(Tabla1103453454455456479108131138145424430432[[#This Row],[Ingrediente]],Tabla34[#All],3,0)</f>
        <v>5.5</v>
      </c>
      <c r="H10" s="11">
        <f>+Tabla1103453454455456479108131138145424430432[[#This Row],[Costo]]*Tabla1103453454455456479108131138145424430432[[#This Row],[Unidades]]</f>
        <v>9.1684999999999999</v>
      </c>
      <c r="I10" s="4"/>
      <c r="J10" s="5" t="s">
        <v>9</v>
      </c>
      <c r="K10" s="12">
        <f>+K8+K9</f>
        <v>5023.5549000000001</v>
      </c>
    </row>
    <row r="11" spans="2:12" x14ac:dyDescent="0.3">
      <c r="B11" s="21" t="s">
        <v>558</v>
      </c>
      <c r="C11" s="8" t="s">
        <v>570</v>
      </c>
      <c r="D11" s="9">
        <v>1</v>
      </c>
      <c r="E11" s="9">
        <v>0</v>
      </c>
      <c r="F11" s="9">
        <v>1</v>
      </c>
      <c r="G11" s="10">
        <f>+VLOOKUP(Tabla1103453454455456479108131138145424430432[[#This Row],[Ingrediente]],Tabla34[#All],3,0)</f>
        <v>354.16666666999998</v>
      </c>
      <c r="H11" s="11">
        <f>+Tabla1103453454455456479108131138145424430432[[#This Row],[Costo]]*Tabla1103453454455456479108131138145424430432[[#This Row],[Unidades]]</f>
        <v>354.16666666999998</v>
      </c>
      <c r="I11" s="4"/>
      <c r="J11" s="17" t="s">
        <v>10</v>
      </c>
      <c r="K11" s="18">
        <v>37000</v>
      </c>
    </row>
    <row r="12" spans="2:12" x14ac:dyDescent="0.3">
      <c r="B12" s="21" t="s">
        <v>93</v>
      </c>
      <c r="C12" s="8" t="s">
        <v>188</v>
      </c>
      <c r="D12" s="9">
        <v>80</v>
      </c>
      <c r="E12" s="9">
        <v>0</v>
      </c>
      <c r="F12" s="9">
        <v>80</v>
      </c>
      <c r="G12" s="10">
        <f>+VLOOKUP(Tabla1103453454455456479108131138145424430432[[#This Row],[Ingrediente]],Tabla34[#All],3,0)</f>
        <v>1.25441665</v>
      </c>
      <c r="H12" s="11">
        <f>+Tabla1103453454455456479108131138145424430432[[#This Row],[Costo]]*Tabla1103453454455456479108131138145424430432[[#This Row],[Unidades]]</f>
        <v>100.35333199999999</v>
      </c>
      <c r="I12" s="4"/>
      <c r="J12" s="5" t="s">
        <v>11</v>
      </c>
      <c r="K12" s="12">
        <f>+K11/1.08*0.08</f>
        <v>2740.7407407407404</v>
      </c>
    </row>
    <row r="13" spans="2:12" x14ac:dyDescent="0.3">
      <c r="B13" s="7" t="s">
        <v>74</v>
      </c>
      <c r="C13" s="8" t="s">
        <v>188</v>
      </c>
      <c r="D13" s="9">
        <v>15</v>
      </c>
      <c r="E13" s="9">
        <v>0</v>
      </c>
      <c r="F13" s="9">
        <v>15</v>
      </c>
      <c r="G13" s="10">
        <f>+VLOOKUP(Tabla1103453454455456479108131138145424430432[[#This Row],[Ingrediente]],Tabla34[#All],3,0)</f>
        <v>12.25316591</v>
      </c>
      <c r="H13" s="11">
        <f>+Tabla1103453454455456479108131138145424430432[[#This Row],[Costo]]*Tabla1103453454455456479108131138145424430432[[#This Row],[Unidades]]</f>
        <v>183.79748864999999</v>
      </c>
      <c r="I13" s="4"/>
      <c r="J13" s="5" t="s">
        <v>12</v>
      </c>
      <c r="K13" s="12">
        <f>+K11-K12</f>
        <v>34259.259259259263</v>
      </c>
    </row>
    <row r="14" spans="2:12" x14ac:dyDescent="0.3">
      <c r="B14" s="7" t="s">
        <v>681</v>
      </c>
      <c r="C14" s="8" t="s">
        <v>188</v>
      </c>
      <c r="D14" s="9">
        <v>10</v>
      </c>
      <c r="E14" s="9">
        <v>0</v>
      </c>
      <c r="F14" s="9">
        <v>10</v>
      </c>
      <c r="G14" s="10">
        <f>+VLOOKUP(Tabla1103453454455456479108131138145424430432[[#This Row],[Ingrediente]],Tabla34[#All],3,0)</f>
        <v>22.545488500000001</v>
      </c>
      <c r="H14" s="11">
        <f>+Tabla1103453454455456479108131138145424430432[[#This Row],[Costo]]*Tabla1103453454455456479108131138145424430432[[#This Row],[Unidades]]</f>
        <v>225.45488500000002</v>
      </c>
      <c r="I14" s="4"/>
      <c r="J14" s="5" t="s">
        <v>13</v>
      </c>
      <c r="K14" s="19">
        <f>+K10/K13</f>
        <v>0.14663349437837836</v>
      </c>
    </row>
    <row r="15" spans="2:12" x14ac:dyDescent="0.3">
      <c r="B15" s="21" t="s">
        <v>682</v>
      </c>
      <c r="C15" s="8" t="s">
        <v>570</v>
      </c>
      <c r="D15" s="9">
        <v>1</v>
      </c>
      <c r="E15" s="9">
        <v>0</v>
      </c>
      <c r="F15" s="9">
        <v>1</v>
      </c>
      <c r="G15" s="10">
        <f>+VLOOKUP(Tabla1103453454455456479108131138145424430432[[#This Row],[Ingrediente]],Tabla34[#All],3,0)</f>
        <v>1563.62346551</v>
      </c>
      <c r="H15" s="11">
        <f>+Tabla1103453454455456479108131138145424430432[[#This Row],[Costo]]*Tabla1103453454455456479108131138145424430432[[#This Row],[Unidades]]</f>
        <v>1563.62346551</v>
      </c>
      <c r="I15" s="24"/>
      <c r="J15" s="5" t="s">
        <v>14</v>
      </c>
      <c r="K15" s="20">
        <f>+K13-K10</f>
        <v>29235.704359259264</v>
      </c>
    </row>
    <row r="16" spans="2:12" x14ac:dyDescent="0.3">
      <c r="B16" s="7" t="s">
        <v>455</v>
      </c>
      <c r="C16" s="8" t="s">
        <v>188</v>
      </c>
      <c r="D16" s="9">
        <v>1</v>
      </c>
      <c r="E16" s="9">
        <v>0</v>
      </c>
      <c r="F16" s="9">
        <v>1</v>
      </c>
      <c r="G16" s="10">
        <f>+VLOOKUP(Tabla1103453454455456479108131138145424430432[[#This Row],[Ingrediente]],Tabla34[#All],3,0)</f>
        <v>99.166666669999998</v>
      </c>
      <c r="H16" s="11">
        <f>+Tabla1103453454455456479108131138145424430432[[#This Row],[Costo]]*Tabla1103453454455456479108131138145424430432[[#This Row],[Unidades]]</f>
        <v>99.166666669999998</v>
      </c>
      <c r="J16" s="5" t="s">
        <v>15</v>
      </c>
      <c r="K16" s="22">
        <f>+K15/K10</f>
        <v>5.8197242672234486</v>
      </c>
    </row>
    <row r="17" spans="2:12" x14ac:dyDescent="0.3">
      <c r="B17" s="7" t="s">
        <v>458</v>
      </c>
      <c r="C17" s="8" t="s">
        <v>188</v>
      </c>
      <c r="D17" s="9">
        <v>20</v>
      </c>
      <c r="E17" s="9">
        <v>10</v>
      </c>
      <c r="F17" s="9">
        <v>22.222000000000001</v>
      </c>
      <c r="G17" s="10">
        <f>+VLOOKUP(Tabla1103453454455456479108131138145424430432[[#This Row],[Ingrediente]],Tabla34[#All],3,0)</f>
        <v>5</v>
      </c>
      <c r="H17" s="11">
        <f>+Tabla1103453454455456479108131138145424430432[[#This Row],[Costo]]*Tabla1103453454455456479108131138145424430432[[#This Row],[Unidades]]</f>
        <v>111.11000000000001</v>
      </c>
    </row>
    <row r="18" spans="2:12" x14ac:dyDescent="0.3">
      <c r="B18" s="13"/>
      <c r="C18" s="14"/>
      <c r="D18" s="14"/>
      <c r="E18" s="14"/>
      <c r="F18" s="14"/>
      <c r="G18" s="15"/>
      <c r="H18" s="15">
        <f>SUBTOTAL(109,Tabla1103453454455456479108131138145424430432[Total costo])</f>
        <v>3580.1790044999998</v>
      </c>
    </row>
    <row r="20" spans="2:12" x14ac:dyDescent="0.3">
      <c r="B20" s="16" t="s">
        <v>961</v>
      </c>
      <c r="C20" s="2"/>
      <c r="D20" s="2"/>
      <c r="E20" s="3"/>
      <c r="F20" s="3"/>
      <c r="G20" s="99"/>
      <c r="H20" s="99"/>
      <c r="I20" s="4"/>
      <c r="J20" s="277" t="s">
        <v>0</v>
      </c>
      <c r="K20" s="277"/>
      <c r="L20" s="44"/>
    </row>
    <row r="21" spans="2:12" ht="26.4" x14ac:dyDescent="0.3">
      <c r="B21" s="13" t="s">
        <v>1</v>
      </c>
      <c r="C21" s="14" t="s">
        <v>2</v>
      </c>
      <c r="D21" s="87" t="s">
        <v>571</v>
      </c>
      <c r="E21" s="14" t="s">
        <v>572</v>
      </c>
      <c r="F21" s="14" t="s">
        <v>573</v>
      </c>
      <c r="G21" s="28" t="s">
        <v>4</v>
      </c>
      <c r="H21" s="28" t="s">
        <v>5</v>
      </c>
      <c r="I21" s="4"/>
      <c r="J21" s="5" t="s">
        <v>6</v>
      </c>
      <c r="K21" s="6">
        <f>+H22+3851</f>
        <v>4014.0741644999998</v>
      </c>
    </row>
    <row r="22" spans="2:12" x14ac:dyDescent="0.3">
      <c r="B22" s="21" t="s">
        <v>93</v>
      </c>
      <c r="C22" s="8" t="s">
        <v>188</v>
      </c>
      <c r="D22" s="9">
        <v>130</v>
      </c>
      <c r="E22" s="9">
        <v>0</v>
      </c>
      <c r="F22" s="9">
        <v>130</v>
      </c>
      <c r="G22" s="10">
        <f>+VLOOKUP(Tabla110345345445545647910813113814542443043241[[#This Row],[Ingrediente]],Tabla34[#All],3,0)</f>
        <v>1.25441665</v>
      </c>
      <c r="H22" s="11">
        <f>+Tabla110345345445545647910813113814542443043241[[#This Row],[Costo]]*Tabla110345345445545647910813113814542443043241[[#This Row],[Unidades]]</f>
        <v>163.07416449999999</v>
      </c>
      <c r="I22" s="4"/>
      <c r="J22" s="5" t="s">
        <v>113</v>
      </c>
      <c r="K22" s="12">
        <f>+K21*5%</f>
        <v>200.70370822500001</v>
      </c>
    </row>
    <row r="23" spans="2:12" x14ac:dyDescent="0.3">
      <c r="B23" s="7" t="s">
        <v>406</v>
      </c>
      <c r="C23" s="8" t="s">
        <v>188</v>
      </c>
      <c r="D23" s="9">
        <v>60</v>
      </c>
      <c r="E23" s="9">
        <v>25</v>
      </c>
      <c r="F23" s="9">
        <v>80</v>
      </c>
      <c r="G23" s="10">
        <f>+VLOOKUP(Tabla110345345445545647910813113814542443043241[[#This Row],[Ingrediente]],Tabla34[#All],3,0)</f>
        <v>14</v>
      </c>
      <c r="H23" s="11">
        <f>+Tabla110345345445545647910813113814542443043241[[#This Row],[Costo]]*Tabla110345345445545647910813113814542443043241[[#This Row],[Unidades]]</f>
        <v>1120</v>
      </c>
      <c r="I23" s="4"/>
      <c r="J23" s="5" t="s">
        <v>9</v>
      </c>
      <c r="K23" s="12">
        <f>+K21+K22</f>
        <v>4214.7778727249997</v>
      </c>
    </row>
    <row r="24" spans="2:12" x14ac:dyDescent="0.3">
      <c r="B24" s="21" t="s">
        <v>962</v>
      </c>
      <c r="C24" s="8" t="s">
        <v>188</v>
      </c>
      <c r="D24" s="9">
        <v>100</v>
      </c>
      <c r="E24" s="9">
        <v>0</v>
      </c>
      <c r="F24" s="9">
        <v>100</v>
      </c>
      <c r="G24" s="10">
        <f>+VLOOKUP(Tabla110345345445545647910813113814542443043241[[#This Row],[Ingrediente]],Tabla34[#All],3,0)</f>
        <v>32.346780520000003</v>
      </c>
      <c r="H24" s="11">
        <f>+Tabla110345345445545647910813113814542443043241[[#This Row],[Costo]]*Tabla110345345445545647910813113814542443043241[[#This Row],[Unidades]]</f>
        <v>3234.6780520000002</v>
      </c>
      <c r="I24" s="4"/>
      <c r="J24" s="17" t="s">
        <v>10</v>
      </c>
      <c r="K24" s="18">
        <v>37000</v>
      </c>
    </row>
    <row r="25" spans="2:12" x14ac:dyDescent="0.3">
      <c r="B25" s="21" t="s">
        <v>436</v>
      </c>
      <c r="C25" s="8" t="s">
        <v>188</v>
      </c>
      <c r="D25" s="9">
        <v>1</v>
      </c>
      <c r="E25" s="9">
        <v>0</v>
      </c>
      <c r="F25" s="9">
        <v>1</v>
      </c>
      <c r="G25" s="10">
        <f>+VLOOKUP(Tabla110345345445545647910813113814542443043241[[#This Row],[Ingrediente]],Tabla34[#All],3,0)</f>
        <v>180</v>
      </c>
      <c r="H25" s="11">
        <f>+Tabla110345345445545647910813113814542443043241[[#This Row],[Costo]]*Tabla110345345445545647910813113814542443043241[[#This Row],[Unidades]]</f>
        <v>180</v>
      </c>
      <c r="I25" s="4"/>
      <c r="J25" s="5" t="s">
        <v>11</v>
      </c>
      <c r="K25" s="12">
        <f>+K24/1.08*0.08</f>
        <v>2740.7407407407404</v>
      </c>
    </row>
    <row r="26" spans="2:12" x14ac:dyDescent="0.3">
      <c r="B26" s="7" t="s">
        <v>455</v>
      </c>
      <c r="C26" s="8" t="s">
        <v>188</v>
      </c>
      <c r="D26" s="9">
        <v>1</v>
      </c>
      <c r="E26" s="9">
        <v>0</v>
      </c>
      <c r="F26" s="9">
        <v>1</v>
      </c>
      <c r="G26" s="10">
        <f>+VLOOKUP(Tabla110345345445545647910813113814542443043241[[#This Row],[Ingrediente]],Tabla34[#All],3,0)</f>
        <v>99.166666669999998</v>
      </c>
      <c r="H26" s="11">
        <f>+Tabla110345345445545647910813113814542443043241[[#This Row],[Costo]]*Tabla110345345445545647910813113814542443043241[[#This Row],[Unidades]]</f>
        <v>99.166666669999998</v>
      </c>
      <c r="I26" s="4"/>
      <c r="J26" s="5" t="s">
        <v>12</v>
      </c>
      <c r="K26" s="12">
        <f>+K24-K25</f>
        <v>34259.259259259263</v>
      </c>
    </row>
    <row r="27" spans="2:12" x14ac:dyDescent="0.3">
      <c r="B27" s="7" t="s">
        <v>446</v>
      </c>
      <c r="C27" s="8" t="s">
        <v>188</v>
      </c>
      <c r="D27" s="9">
        <v>1</v>
      </c>
      <c r="E27" s="9">
        <v>40</v>
      </c>
      <c r="F27" s="9">
        <v>1.667</v>
      </c>
      <c r="G27" s="10">
        <f>+VLOOKUP(Tabla110345345445545647910813113814542443043241[[#This Row],[Ingrediente]],Tabla34[#All],3,0)</f>
        <v>5.5</v>
      </c>
      <c r="H27" s="11">
        <f>+Tabla110345345445545647910813113814542443043241[[#This Row],[Costo]]*Tabla110345345445545647910813113814542443043241[[#This Row],[Unidades]]</f>
        <v>9.1684999999999999</v>
      </c>
      <c r="I27" s="4"/>
      <c r="J27" s="5" t="s">
        <v>13</v>
      </c>
      <c r="K27" s="19">
        <f>+K23/K26</f>
        <v>0.12302594871737836</v>
      </c>
    </row>
    <row r="28" spans="2:12" x14ac:dyDescent="0.3">
      <c r="B28" s="7" t="s">
        <v>395</v>
      </c>
      <c r="C28" s="8" t="s">
        <v>188</v>
      </c>
      <c r="D28" s="9">
        <v>20</v>
      </c>
      <c r="E28" s="9">
        <v>0</v>
      </c>
      <c r="F28" s="9">
        <v>20</v>
      </c>
      <c r="G28" s="10">
        <f>+VLOOKUP(Tabla110345345445545647910813113814542443043241[[#This Row],[Ingrediente]],Tabla34[#All],3,0)</f>
        <v>19.79664923</v>
      </c>
      <c r="H28" s="11">
        <f>+Tabla110345345445545647910813113814542443043241[[#This Row],[Costo]]*Tabla110345345445545647910813113814542443043241[[#This Row],[Unidades]]</f>
        <v>395.9329846</v>
      </c>
      <c r="I28" s="24"/>
      <c r="J28" s="5" t="s">
        <v>14</v>
      </c>
      <c r="K28" s="20">
        <f>+K26-K23</f>
        <v>30044.481386534262</v>
      </c>
    </row>
    <row r="29" spans="2:12" x14ac:dyDescent="0.3">
      <c r="B29" s="13"/>
      <c r="C29" s="14"/>
      <c r="D29" s="14"/>
      <c r="E29" s="14"/>
      <c r="F29" s="14"/>
      <c r="G29" s="15"/>
      <c r="H29" s="15">
        <f>SUBTOTAL(109,Tabla110345345445545647910813113814542443043241[Total costo])</f>
        <v>5202.0203677700001</v>
      </c>
      <c r="J29" s="5" t="s">
        <v>15</v>
      </c>
      <c r="K29" s="22">
        <f>+K28/K23</f>
        <v>7.1283664984957955</v>
      </c>
    </row>
    <row r="35" spans="2:12" x14ac:dyDescent="0.3">
      <c r="B35" s="16" t="s">
        <v>963</v>
      </c>
      <c r="C35" s="2"/>
      <c r="D35" s="2"/>
      <c r="E35" s="3"/>
      <c r="F35" s="3"/>
      <c r="G35" s="99"/>
      <c r="H35" s="99"/>
      <c r="I35" s="4"/>
      <c r="J35" s="277" t="s">
        <v>0</v>
      </c>
      <c r="K35" s="277"/>
      <c r="L35" s="44"/>
    </row>
    <row r="36" spans="2:12" ht="26.4" x14ac:dyDescent="0.3">
      <c r="B36" s="13" t="s">
        <v>1</v>
      </c>
      <c r="C36" s="14" t="s">
        <v>2</v>
      </c>
      <c r="D36" s="87" t="s">
        <v>571</v>
      </c>
      <c r="E36" s="14" t="s">
        <v>572</v>
      </c>
      <c r="F36" s="14" t="s">
        <v>573</v>
      </c>
      <c r="G36" s="28" t="s">
        <v>4</v>
      </c>
      <c r="H36" s="28" t="s">
        <v>5</v>
      </c>
      <c r="I36" s="4"/>
      <c r="J36" s="5" t="s">
        <v>6</v>
      </c>
      <c r="K36" s="6">
        <f>+H37+3851</f>
        <v>8708.1428570999997</v>
      </c>
    </row>
    <row r="37" spans="2:12" x14ac:dyDescent="0.3">
      <c r="B37" s="7" t="s">
        <v>373</v>
      </c>
      <c r="C37" s="8" t="s">
        <v>570</v>
      </c>
      <c r="D37" s="9">
        <v>10</v>
      </c>
      <c r="E37" s="9">
        <v>0</v>
      </c>
      <c r="F37" s="9">
        <v>10</v>
      </c>
      <c r="G37" s="10">
        <f>+VLOOKUP(Tabla11034534544554564791081311381454244304324179[[#This Row],[Ingrediente]],Tabla34[#All],3,0)</f>
        <v>485.71428571000001</v>
      </c>
      <c r="H37" s="11">
        <f>+Tabla11034534544554564791081311381454244304324179[[#This Row],[Costo]]*Tabla11034534544554564791081311381454244304324179[[#This Row],[Unidades]]</f>
        <v>4857.1428570999997</v>
      </c>
      <c r="I37" s="4"/>
      <c r="J37" s="5" t="s">
        <v>113</v>
      </c>
      <c r="K37" s="12">
        <f>+K36*5%</f>
        <v>435.40714285500002</v>
      </c>
    </row>
    <row r="38" spans="2:12" x14ac:dyDescent="0.3">
      <c r="B38" s="7" t="s">
        <v>446</v>
      </c>
      <c r="C38" s="8" t="s">
        <v>188</v>
      </c>
      <c r="D38" s="9">
        <v>5</v>
      </c>
      <c r="E38" s="9">
        <v>40</v>
      </c>
      <c r="F38" s="9">
        <v>8.3330000000000002</v>
      </c>
      <c r="G38" s="10">
        <f>+VLOOKUP(Tabla11034534544554564791081311381454244304324179[[#This Row],[Ingrediente]],Tabla34[#All],3,0)</f>
        <v>5.5</v>
      </c>
      <c r="H38" s="11">
        <f>+Tabla11034534544554564791081311381454244304324179[[#This Row],[Costo]]*Tabla11034534544554564791081311381454244304324179[[#This Row],[Unidades]]</f>
        <v>45.831499999999998</v>
      </c>
      <c r="I38" s="4"/>
      <c r="J38" s="5" t="s">
        <v>9</v>
      </c>
      <c r="K38" s="12">
        <f>+K36+K37</f>
        <v>9143.5499999549993</v>
      </c>
    </row>
    <row r="39" spans="2:12" x14ac:dyDescent="0.3">
      <c r="B39" s="21" t="s">
        <v>558</v>
      </c>
      <c r="C39" s="8" t="s">
        <v>570</v>
      </c>
      <c r="D39" s="9">
        <v>1.5</v>
      </c>
      <c r="E39" s="9">
        <v>0</v>
      </c>
      <c r="F39" s="9">
        <v>1.5</v>
      </c>
      <c r="G39" s="10">
        <f>+VLOOKUP(Tabla11034534544554564791081311381454244304324179[[#This Row],[Ingrediente]],Tabla34[#All],3,0)</f>
        <v>354.16666666999998</v>
      </c>
      <c r="H39" s="11">
        <f>+Tabla11034534544554564791081311381454244304324179[[#This Row],[Costo]]*Tabla11034534544554564791081311381454244304324179[[#This Row],[Unidades]]</f>
        <v>531.25000000499995</v>
      </c>
      <c r="I39" s="4"/>
      <c r="J39" s="17" t="s">
        <v>10</v>
      </c>
      <c r="K39" s="18">
        <v>37000</v>
      </c>
    </row>
    <row r="40" spans="2:12" x14ac:dyDescent="0.3">
      <c r="B40" s="21" t="s">
        <v>93</v>
      </c>
      <c r="C40" s="8" t="s">
        <v>188</v>
      </c>
      <c r="D40" s="9">
        <v>130</v>
      </c>
      <c r="E40" s="9">
        <v>0</v>
      </c>
      <c r="F40" s="9">
        <v>130</v>
      </c>
      <c r="G40" s="10">
        <f>+VLOOKUP(Tabla11034534544554564791081311381454244304324179[[#This Row],[Ingrediente]],Tabla34[#All],3,0)</f>
        <v>1.25441665</v>
      </c>
      <c r="H40" s="11">
        <f>+Tabla11034534544554564791081311381454244304324179[[#This Row],[Costo]]*Tabla11034534544554564791081311381454244304324179[[#This Row],[Unidades]]</f>
        <v>163.07416449999999</v>
      </c>
      <c r="I40" s="4"/>
      <c r="J40" s="5" t="s">
        <v>11</v>
      </c>
      <c r="K40" s="12">
        <f>+K39/1.08*0.08</f>
        <v>2740.7407407407404</v>
      </c>
    </row>
    <row r="41" spans="2:12" x14ac:dyDescent="0.3">
      <c r="B41" s="7" t="s">
        <v>137</v>
      </c>
      <c r="C41" s="8" t="s">
        <v>188</v>
      </c>
      <c r="D41" s="9">
        <v>25</v>
      </c>
      <c r="E41" s="9">
        <v>0</v>
      </c>
      <c r="F41" s="9">
        <v>25</v>
      </c>
      <c r="G41" s="10">
        <f>+VLOOKUP(Tabla11034534544554564791081311381454244304324179[[#This Row],[Ingrediente]],Tabla34[#All],3,0)</f>
        <v>11.13267572</v>
      </c>
      <c r="H41" s="11">
        <f>+Tabla11034534544554564791081311381454244304324179[[#This Row],[Costo]]*Tabla11034534544554564791081311381454244304324179[[#This Row],[Unidades]]</f>
        <v>278.31689299999999</v>
      </c>
      <c r="I41" s="4"/>
      <c r="J41" s="5" t="s">
        <v>12</v>
      </c>
      <c r="K41" s="12">
        <f>+K39-K40</f>
        <v>34259.259259259263</v>
      </c>
    </row>
    <row r="42" spans="2:12" x14ac:dyDescent="0.3">
      <c r="B42" s="7" t="s">
        <v>560</v>
      </c>
      <c r="C42" s="8" t="s">
        <v>188</v>
      </c>
      <c r="D42" s="9">
        <v>10</v>
      </c>
      <c r="E42" s="9">
        <v>0</v>
      </c>
      <c r="F42" s="9">
        <v>10</v>
      </c>
      <c r="G42" s="10">
        <f>+VLOOKUP(Tabla11034534544554564791081311381454244304324179[[#This Row],[Ingrediente]],Tabla34[#All],3,0)</f>
        <v>24.804270519999999</v>
      </c>
      <c r="H42" s="11">
        <f>+Tabla11034534544554564791081311381454244304324179[[#This Row],[Costo]]*Tabla11034534544554564791081311381454244304324179[[#This Row],[Unidades]]</f>
        <v>248.0427052</v>
      </c>
      <c r="I42" s="4"/>
      <c r="J42" s="5" t="s">
        <v>13</v>
      </c>
      <c r="K42" s="19">
        <f>+K38/K41</f>
        <v>0.26689281080949723</v>
      </c>
    </row>
    <row r="43" spans="2:12" x14ac:dyDescent="0.3">
      <c r="B43" s="7" t="s">
        <v>681</v>
      </c>
      <c r="C43" s="8" t="s">
        <v>188</v>
      </c>
      <c r="D43" s="9">
        <v>20</v>
      </c>
      <c r="E43" s="9">
        <v>0</v>
      </c>
      <c r="F43" s="9">
        <v>20</v>
      </c>
      <c r="G43" s="10">
        <f>+VLOOKUP(Tabla11034534544554564791081311381454244304324179[[#This Row],[Ingrediente]],Tabla34[#All],3,0)</f>
        <v>22.545488500000001</v>
      </c>
      <c r="H43" s="11">
        <f>+Tabla11034534544554564791081311381454244304324179[[#This Row],[Costo]]*Tabla11034534544554564791081311381454244304324179[[#This Row],[Unidades]]</f>
        <v>450.90977000000004</v>
      </c>
      <c r="I43" s="24"/>
      <c r="J43" s="5" t="s">
        <v>14</v>
      </c>
      <c r="K43" s="20">
        <f>+K41-K38</f>
        <v>25115.709259304262</v>
      </c>
    </row>
    <row r="44" spans="2:12" x14ac:dyDescent="0.3">
      <c r="B44" s="7" t="s">
        <v>964</v>
      </c>
      <c r="C44" s="8" t="s">
        <v>188</v>
      </c>
      <c r="D44" s="9">
        <v>5</v>
      </c>
      <c r="E44" s="9">
        <v>0</v>
      </c>
      <c r="F44" s="9">
        <v>5</v>
      </c>
      <c r="G44" s="10">
        <f>+VLOOKUP(Tabla11034534544554564791081311381454244304324179[[#This Row],[Ingrediente]],Tabla34[#All],3,0)</f>
        <v>5.9757462099999996</v>
      </c>
      <c r="H44" s="11">
        <f>+Tabla11034534544554564791081311381454244304324179[[#This Row],[Costo]]*Tabla11034534544554564791081311381454244304324179[[#This Row],[Unidades]]</f>
        <v>29.878731049999999</v>
      </c>
      <c r="J44" s="5" t="s">
        <v>15</v>
      </c>
      <c r="K44" s="22">
        <f>+K43/K38</f>
        <v>2.7468225426041166</v>
      </c>
    </row>
    <row r="45" spans="2:12" x14ac:dyDescent="0.3">
      <c r="B45" s="7" t="s">
        <v>336</v>
      </c>
      <c r="C45" s="8" t="s">
        <v>188</v>
      </c>
      <c r="D45" s="9">
        <v>60</v>
      </c>
      <c r="E45" s="9">
        <v>0</v>
      </c>
      <c r="F45" s="9">
        <v>60</v>
      </c>
      <c r="G45" s="10">
        <f>+VLOOKUP(Tabla11034534544554564791081311381454244304324179[[#This Row],[Ingrediente]],Tabla34[#All],3,0)</f>
        <v>25.084593470000002</v>
      </c>
      <c r="H45" s="11">
        <f>+Tabla11034534544554564791081311381454244304324179[[#This Row],[Costo]]*Tabla11034534544554564791081311381454244304324179[[#This Row],[Unidades]]</f>
        <v>1505.0756082</v>
      </c>
    </row>
    <row r="46" spans="2:12" x14ac:dyDescent="0.3">
      <c r="B46" s="21" t="s">
        <v>458</v>
      </c>
      <c r="C46" s="8" t="s">
        <v>188</v>
      </c>
      <c r="D46" s="9">
        <v>20</v>
      </c>
      <c r="E46" s="9">
        <v>10</v>
      </c>
      <c r="F46" s="9">
        <v>22.222000000000001</v>
      </c>
      <c r="G46" s="10">
        <f>+VLOOKUP(Tabla11034534544554564791081311381454244304324179[[#This Row],[Ingrediente]],Tabla34[#All],3,0)</f>
        <v>5</v>
      </c>
      <c r="H46" s="11">
        <f>+Tabla11034534544554564791081311381454244304324179[[#This Row],[Costo]]*Tabla11034534544554564791081311381454244304324179[[#This Row],[Unidades]]</f>
        <v>111.11000000000001</v>
      </c>
    </row>
    <row r="47" spans="2:12" x14ac:dyDescent="0.3">
      <c r="B47" s="13"/>
      <c r="C47" s="14"/>
      <c r="D47" s="14"/>
      <c r="E47" s="14"/>
      <c r="F47" s="14"/>
      <c r="G47" s="15"/>
      <c r="H47" s="15">
        <f>SUBTOTAL(109,Tabla11034534544554564791081311381454244304324179[Total costo])</f>
        <v>8220.6322290550015</v>
      </c>
    </row>
    <row r="49" spans="2:11" x14ac:dyDescent="0.3">
      <c r="B49" s="16" t="s">
        <v>1002</v>
      </c>
      <c r="C49" s="2"/>
      <c r="D49" s="2"/>
      <c r="E49" s="3"/>
      <c r="F49" s="3"/>
      <c r="G49" s="99"/>
      <c r="H49" s="99"/>
      <c r="I49" s="4"/>
      <c r="J49" s="277" t="s">
        <v>0</v>
      </c>
      <c r="K49" s="277"/>
    </row>
    <row r="50" spans="2:11" ht="26.4" x14ac:dyDescent="0.3">
      <c r="B50" s="13" t="s">
        <v>1</v>
      </c>
      <c r="C50" s="14" t="s">
        <v>2</v>
      </c>
      <c r="D50" s="87" t="s">
        <v>571</v>
      </c>
      <c r="E50" s="14" t="s">
        <v>572</v>
      </c>
      <c r="F50" s="14" t="s">
        <v>573</v>
      </c>
      <c r="G50" s="28" t="s">
        <v>4</v>
      </c>
      <c r="H50" s="28" t="s">
        <v>5</v>
      </c>
      <c r="I50" s="4"/>
      <c r="J50" s="5" t="s">
        <v>6</v>
      </c>
      <c r="K50" s="6">
        <f>+H51+3851</f>
        <v>4784.3379999999997</v>
      </c>
    </row>
    <row r="51" spans="2:11" x14ac:dyDescent="0.3">
      <c r="B51" s="7" t="s">
        <v>406</v>
      </c>
      <c r="C51" s="8" t="s">
        <v>188</v>
      </c>
      <c r="D51" s="9">
        <v>50</v>
      </c>
      <c r="E51" s="9">
        <v>25</v>
      </c>
      <c r="F51" s="9">
        <v>66.667000000000002</v>
      </c>
      <c r="G51" s="10">
        <f>+VLOOKUP(Tabla11034534544554564791081311381454244304324179216[[#This Row],[Ingrediente]],Tabla34[#All],3,0)</f>
        <v>14</v>
      </c>
      <c r="H51" s="11">
        <f>+Tabla11034534544554564791081311381454244304324179216[[#This Row],[Costo]]*Tabla11034534544554564791081311381454244304324179216[[#This Row],[Unidades]]</f>
        <v>933.33799999999997</v>
      </c>
      <c r="I51" s="4"/>
      <c r="J51" s="5" t="s">
        <v>113</v>
      </c>
      <c r="K51" s="12">
        <f>+K50*5%</f>
        <v>239.21690000000001</v>
      </c>
    </row>
    <row r="52" spans="2:11" x14ac:dyDescent="0.3">
      <c r="B52" s="7" t="s">
        <v>475</v>
      </c>
      <c r="C52" s="8" t="s">
        <v>188</v>
      </c>
      <c r="D52" s="9">
        <v>5</v>
      </c>
      <c r="E52" s="9">
        <v>60</v>
      </c>
      <c r="F52" s="9">
        <v>12.5</v>
      </c>
      <c r="G52" s="10">
        <f>+VLOOKUP(Tabla11034534544554564791081311381454244304324179216[[#This Row],[Ingrediente]],Tabla34[#All],3,0)</f>
        <v>14</v>
      </c>
      <c r="H52" s="11">
        <f>+Tabla11034534544554564791081311381454244304324179216[[#This Row],[Costo]]*Tabla11034534544554564791081311381454244304324179216[[#This Row],[Unidades]]</f>
        <v>175</v>
      </c>
      <c r="I52" s="4"/>
      <c r="J52" s="5" t="s">
        <v>9</v>
      </c>
      <c r="K52" s="12">
        <f>+K50+K51</f>
        <v>5023.5549000000001</v>
      </c>
    </row>
    <row r="53" spans="2:11" x14ac:dyDescent="0.3">
      <c r="B53" s="21" t="s">
        <v>398</v>
      </c>
      <c r="C53" s="8" t="s">
        <v>188</v>
      </c>
      <c r="D53" s="9">
        <v>20</v>
      </c>
      <c r="E53" s="9">
        <v>10</v>
      </c>
      <c r="F53" s="9">
        <v>22.222000000000001</v>
      </c>
      <c r="G53" s="10">
        <f>+VLOOKUP(Tabla11034534544554564791081311381454244304324179216[[#This Row],[Ingrediente]],Tabla34[#All],3,0)</f>
        <v>3.7999999999999994</v>
      </c>
      <c r="H53" s="11">
        <f>+Tabla11034534544554564791081311381454244304324179216[[#This Row],[Costo]]*Tabla11034534544554564791081311381454244304324179216[[#This Row],[Unidades]]</f>
        <v>84.443599999999989</v>
      </c>
      <c r="I53" s="4"/>
      <c r="J53" s="17" t="s">
        <v>10</v>
      </c>
      <c r="K53" s="18">
        <v>37000</v>
      </c>
    </row>
    <row r="54" spans="2:11" x14ac:dyDescent="0.3">
      <c r="B54" s="21" t="s">
        <v>446</v>
      </c>
      <c r="C54" s="8" t="s">
        <v>188</v>
      </c>
      <c r="D54" s="9">
        <v>5</v>
      </c>
      <c r="E54" s="9">
        <v>40</v>
      </c>
      <c r="F54" s="9">
        <v>8.3330000000000002</v>
      </c>
      <c r="G54" s="10">
        <f>+VLOOKUP(Tabla11034534544554564791081311381454244304324179216[[#This Row],[Ingrediente]],Tabla34[#All],3,0)</f>
        <v>5.5</v>
      </c>
      <c r="H54" s="11">
        <f>+Tabla11034534544554564791081311381454244304324179216[[#This Row],[Costo]]*Tabla11034534544554564791081311381454244304324179216[[#This Row],[Unidades]]</f>
        <v>45.831499999999998</v>
      </c>
      <c r="I54" s="4"/>
      <c r="J54" s="5" t="s">
        <v>11</v>
      </c>
      <c r="K54" s="12">
        <f>+K53/1.08*0.08</f>
        <v>2740.7407407407404</v>
      </c>
    </row>
    <row r="55" spans="2:11" x14ac:dyDescent="0.3">
      <c r="B55" s="7" t="s">
        <v>53</v>
      </c>
      <c r="C55" s="8" t="s">
        <v>188</v>
      </c>
      <c r="D55" s="9">
        <v>100</v>
      </c>
      <c r="E55" s="9">
        <v>10</v>
      </c>
      <c r="F55" s="9">
        <v>111.111</v>
      </c>
      <c r="G55" s="10">
        <f>+VLOOKUP(Tabla11034534544554564791081311381454244304324179216[[#This Row],[Ingrediente]],Tabla34[#All],3,0)</f>
        <v>51.296296300000002</v>
      </c>
      <c r="H55" s="11">
        <f>+Tabla11034534544554564791081311381454244304324179216[[#This Row],[Costo]]*Tabla11034534544554564791081311381454244304324179216[[#This Row],[Unidades]]</f>
        <v>5699.5827781893004</v>
      </c>
      <c r="I55" s="4"/>
      <c r="J55" s="5" t="s">
        <v>12</v>
      </c>
      <c r="K55" s="12">
        <f>+K53-K54</f>
        <v>34259.259259259263</v>
      </c>
    </row>
    <row r="56" spans="2:11" x14ac:dyDescent="0.3">
      <c r="B56" s="7" t="s">
        <v>35</v>
      </c>
      <c r="C56" s="8" t="s">
        <v>188</v>
      </c>
      <c r="D56" s="9">
        <v>2</v>
      </c>
      <c r="E56" s="9">
        <v>0</v>
      </c>
      <c r="F56" s="9">
        <v>2</v>
      </c>
      <c r="G56" s="10">
        <f>+VLOOKUP(Tabla11034534544554564791081311381454244304324179216[[#This Row],[Ingrediente]],Tabla34[#All],3,0)</f>
        <v>4.7460000000000004</v>
      </c>
      <c r="H56" s="11">
        <f>+Tabla11034534544554564791081311381454244304324179216[[#This Row],[Costo]]*Tabla11034534544554564791081311381454244304324179216[[#This Row],[Unidades]]</f>
        <v>9.4920000000000009</v>
      </c>
      <c r="I56" s="4"/>
      <c r="J56" s="5" t="s">
        <v>13</v>
      </c>
      <c r="K56" s="19">
        <f>+K52/K55</f>
        <v>0.14663349437837836</v>
      </c>
    </row>
    <row r="57" spans="2:11" x14ac:dyDescent="0.3">
      <c r="B57" s="7" t="s">
        <v>946</v>
      </c>
      <c r="C57" s="8" t="s">
        <v>188</v>
      </c>
      <c r="D57" s="9">
        <v>15</v>
      </c>
      <c r="E57" s="9">
        <v>0</v>
      </c>
      <c r="F57" s="9">
        <v>15</v>
      </c>
      <c r="G57" s="10">
        <f>+VLOOKUP(Tabla11034534544554564791081311381454244304324179216[[#This Row],[Ingrediente]],Tabla34[#All],3,0)</f>
        <v>32</v>
      </c>
      <c r="H57" s="11">
        <f>+Tabla11034534544554564791081311381454244304324179216[[#This Row],[Costo]]*Tabla11034534544554564791081311381454244304324179216[[#This Row],[Unidades]]</f>
        <v>480</v>
      </c>
      <c r="I57" s="24"/>
      <c r="J57" s="5" t="s">
        <v>14</v>
      </c>
      <c r="K57" s="20">
        <f>+K55-K52</f>
        <v>29235.704359259264</v>
      </c>
    </row>
    <row r="58" spans="2:11" x14ac:dyDescent="0.3">
      <c r="B58" s="7" t="s">
        <v>443</v>
      </c>
      <c r="C58" s="8" t="s">
        <v>188</v>
      </c>
      <c r="D58" s="9">
        <v>1</v>
      </c>
      <c r="E58" s="9">
        <v>0</v>
      </c>
      <c r="F58" s="9">
        <v>1</v>
      </c>
      <c r="G58" s="10">
        <f>+VLOOKUP(Tabla11034534544554564791081311381454244304324179216[[#This Row],[Ingrediente]],Tabla34[#All],3,0)</f>
        <v>94.613741530000013</v>
      </c>
      <c r="H58" s="11">
        <f>+Tabla11034534544554564791081311381454244304324179216[[#This Row],[Costo]]*Tabla11034534544554564791081311381454244304324179216[[#This Row],[Unidades]]</f>
        <v>94.613741530000013</v>
      </c>
      <c r="J58" s="5" t="s">
        <v>15</v>
      </c>
      <c r="K58" s="22">
        <f>+K57/K52</f>
        <v>5.8197242672234486</v>
      </c>
    </row>
    <row r="59" spans="2:11" x14ac:dyDescent="0.3">
      <c r="B59" s="7" t="s">
        <v>482</v>
      </c>
      <c r="C59" s="8" t="s">
        <v>188</v>
      </c>
      <c r="D59" s="9">
        <v>1</v>
      </c>
      <c r="E59" s="9">
        <v>0</v>
      </c>
      <c r="F59" s="9">
        <v>1</v>
      </c>
      <c r="G59" s="10">
        <f>+VLOOKUP(Tabla11034534544554564791081311381454244304324179216[[#This Row],[Ingrediente]],Tabla34[#All],3,0)</f>
        <v>2.6999075600000002</v>
      </c>
      <c r="H59" s="11">
        <f>+Tabla11034534544554564791081311381454244304324179216[[#This Row],[Costo]]*Tabla11034534544554564791081311381454244304324179216[[#This Row],[Unidades]]</f>
        <v>2.6999075600000002</v>
      </c>
    </row>
    <row r="60" spans="2:11" x14ac:dyDescent="0.3">
      <c r="B60" s="21" t="s">
        <v>226</v>
      </c>
      <c r="C60" s="8" t="s">
        <v>188</v>
      </c>
      <c r="D60" s="9">
        <v>100</v>
      </c>
      <c r="E60" s="9">
        <v>0</v>
      </c>
      <c r="F60" s="9">
        <v>100</v>
      </c>
      <c r="G60" s="10">
        <f>+VLOOKUP(Tabla11034534544554564791081311381454244304324179216[[#This Row],[Ingrediente]],Tabla34[#All],3,0)</f>
        <v>10.179495380000001</v>
      </c>
      <c r="H60" s="11">
        <f>+Tabla11034534544554564791081311381454244304324179216[[#This Row],[Costo]]*Tabla11034534544554564791081311381454244304324179216[[#This Row],[Unidades]]</f>
        <v>1017.9495380000001</v>
      </c>
    </row>
    <row r="61" spans="2:11" x14ac:dyDescent="0.3">
      <c r="B61" s="7" t="s">
        <v>93</v>
      </c>
      <c r="C61" s="8" t="s">
        <v>188</v>
      </c>
      <c r="D61" s="267">
        <v>100</v>
      </c>
      <c r="E61" s="9">
        <v>0</v>
      </c>
      <c r="F61" s="9">
        <v>100</v>
      </c>
      <c r="G61" s="10">
        <f>+VLOOKUP(Tabla11034534544554564791081311381454244304324179216[[#This Row],[Ingrediente]],Tabla34[#All],3,0)</f>
        <v>1.25441665</v>
      </c>
      <c r="H61" s="11">
        <f>+Tabla11034534544554564791081311381454244304324179216[[#This Row],[Costo]]*Tabla11034534544554564791081311381454244304324179216[[#This Row],[Unidades]]</f>
        <v>125.441665</v>
      </c>
    </row>
    <row r="62" spans="2:11" x14ac:dyDescent="0.3">
      <c r="B62" s="7" t="s">
        <v>526</v>
      </c>
      <c r="C62" s="8" t="s">
        <v>188</v>
      </c>
      <c r="D62" s="267">
        <v>10</v>
      </c>
      <c r="E62" s="9">
        <v>0</v>
      </c>
      <c r="F62" s="9">
        <v>10</v>
      </c>
      <c r="G62" s="10">
        <f>+VLOOKUP(Tabla11034534544554564791081311381454244304324179216[[#This Row],[Ingrediente]],Tabla34[#All],3,0)</f>
        <v>23.747277729999997</v>
      </c>
      <c r="H62" s="11">
        <f>+Tabla11034534544554564791081311381454244304324179216[[#This Row],[Costo]]*Tabla11034534544554564791081311381454244304324179216[[#This Row],[Unidades]]</f>
        <v>237.47277729999996</v>
      </c>
    </row>
    <row r="63" spans="2:11" x14ac:dyDescent="0.3">
      <c r="B63" s="7" t="s">
        <v>92</v>
      </c>
      <c r="C63" s="8" t="s">
        <v>188</v>
      </c>
      <c r="D63" s="267">
        <v>5</v>
      </c>
      <c r="E63" s="9">
        <v>0</v>
      </c>
      <c r="F63" s="9">
        <v>5</v>
      </c>
      <c r="G63" s="10">
        <f>+VLOOKUP(Tabla11034534544554564791081311381454244304324179216[[#This Row],[Ingrediente]],Tabla34[#All],3,0)</f>
        <v>10.625185460000001</v>
      </c>
      <c r="H63" s="11">
        <f>+Tabla11034534544554564791081311381454244304324179216[[#This Row],[Costo]]*Tabla11034534544554564791081311381454244304324179216[[#This Row],[Unidades]]</f>
        <v>53.125927300000001</v>
      </c>
    </row>
    <row r="64" spans="2:11" x14ac:dyDescent="0.3">
      <c r="B64" s="7" t="s">
        <v>363</v>
      </c>
      <c r="C64" s="8" t="s">
        <v>570</v>
      </c>
      <c r="D64" s="267">
        <v>0.4</v>
      </c>
      <c r="E64" s="9">
        <v>0</v>
      </c>
      <c r="F64" s="9">
        <v>0.4</v>
      </c>
      <c r="G64" s="10">
        <f>+VLOOKUP(Tabla11034534544554564791081311381454244304324179216[[#This Row],[Ingrediente]],Tabla34[#All],3,0)</f>
        <v>20955.187312270002</v>
      </c>
      <c r="H64" s="11">
        <f>+Tabla11034534544554564791081311381454244304324179216[[#This Row],[Costo]]*Tabla11034534544554564791081311381454244304324179216[[#This Row],[Unidades]]</f>
        <v>8382.0749249080018</v>
      </c>
    </row>
    <row r="65" spans="2:11" x14ac:dyDescent="0.3">
      <c r="B65" s="13"/>
      <c r="C65" s="14"/>
      <c r="D65" s="14"/>
      <c r="E65" s="14"/>
      <c r="F65" s="14"/>
      <c r="G65" s="15"/>
      <c r="H65" s="15">
        <f>SUBTOTAL(109,Tabla11034534544554564791081311381454244304324179216[Total costo])</f>
        <v>17341.066359787303</v>
      </c>
    </row>
    <row r="69" spans="2:11" x14ac:dyDescent="0.3">
      <c r="B69" s="16" t="s">
        <v>1309</v>
      </c>
      <c r="C69" s="2"/>
      <c r="D69" s="2"/>
      <c r="E69" s="3"/>
      <c r="F69" s="3"/>
      <c r="G69" s="99"/>
      <c r="H69" s="99"/>
      <c r="I69" s="4"/>
      <c r="J69" s="277" t="s">
        <v>0</v>
      </c>
      <c r="K69" s="277"/>
    </row>
    <row r="70" spans="2:11" ht="26.4" x14ac:dyDescent="0.3">
      <c r="B70" s="13" t="s">
        <v>1</v>
      </c>
      <c r="C70" s="14" t="s">
        <v>2</v>
      </c>
      <c r="D70" s="87" t="s">
        <v>571</v>
      </c>
      <c r="E70" s="14" t="s">
        <v>572</v>
      </c>
      <c r="F70" s="14" t="s">
        <v>573</v>
      </c>
      <c r="G70" s="28" t="s">
        <v>4</v>
      </c>
      <c r="H70" s="28" t="s">
        <v>5</v>
      </c>
      <c r="I70" s="4"/>
      <c r="J70" s="5" t="s">
        <v>6</v>
      </c>
      <c r="K70" s="6">
        <f>+Tabla11034534544554564791081311381454244304324179216143[[#Totals],[Total costo]]</f>
        <v>7449.5425971100003</v>
      </c>
    </row>
    <row r="71" spans="2:11" x14ac:dyDescent="0.3">
      <c r="B71" s="7" t="s">
        <v>93</v>
      </c>
      <c r="C71" s="8" t="s">
        <v>188</v>
      </c>
      <c r="D71" s="9">
        <v>80</v>
      </c>
      <c r="E71" s="9">
        <v>0</v>
      </c>
      <c r="F71" s="9">
        <v>80</v>
      </c>
      <c r="G71" s="10">
        <f>+VLOOKUP(Tabla11034534544554564791081311381454244304324179216143[[#This Row],[Ingrediente]],Tabla34[#All],3,0)</f>
        <v>1.25441665</v>
      </c>
      <c r="H71" s="11">
        <f>+Tabla11034534544554564791081311381454244304324179216143[[#This Row],[Costo]]*Tabla11034534544554564791081311381454244304324179216143[[#This Row],[Unidades]]</f>
        <v>100.35333199999999</v>
      </c>
      <c r="I71" s="4"/>
      <c r="J71" s="5" t="s">
        <v>113</v>
      </c>
      <c r="K71" s="12">
        <f>+K70*5%</f>
        <v>372.47712985550004</v>
      </c>
    </row>
    <row r="72" spans="2:11" x14ac:dyDescent="0.3">
      <c r="B72" s="7" t="s">
        <v>1310</v>
      </c>
      <c r="C72" s="8" t="s">
        <v>188</v>
      </c>
      <c r="D72" s="9">
        <v>103</v>
      </c>
      <c r="E72" s="9">
        <v>0</v>
      </c>
      <c r="F72" s="9">
        <v>103</v>
      </c>
      <c r="G72" s="10">
        <f>+VLOOKUP(Tabla11034534544554564791081311381454244304324179216143[[#This Row],[Ingrediente]],Tabla34[#All],3,0)</f>
        <v>51.41191723</v>
      </c>
      <c r="H72" s="11">
        <f>+Tabla11034534544554564791081311381454244304324179216143[[#This Row],[Costo]]*Tabla11034534544554564791081311381454244304324179216143[[#This Row],[Unidades]]</f>
        <v>5295.4274746900001</v>
      </c>
      <c r="I72" s="4"/>
      <c r="J72" s="5" t="s">
        <v>9</v>
      </c>
      <c r="K72" s="12">
        <f>+K70+K71</f>
        <v>7822.0197269655</v>
      </c>
    </row>
    <row r="73" spans="2:11" x14ac:dyDescent="0.3">
      <c r="B73" s="21" t="s">
        <v>137</v>
      </c>
      <c r="C73" s="8" t="s">
        <v>188</v>
      </c>
      <c r="D73" s="9">
        <v>25</v>
      </c>
      <c r="E73" s="9">
        <v>0</v>
      </c>
      <c r="F73" s="9">
        <v>25</v>
      </c>
      <c r="G73" s="10">
        <f>+VLOOKUP(Tabla11034534544554564791081311381454244304324179216143[[#This Row],[Ingrediente]],Tabla34[#All],3,0)</f>
        <v>11.13267572</v>
      </c>
      <c r="H73" s="11">
        <f>+Tabla11034534544554564791081311381454244304324179216143[[#This Row],[Costo]]*Tabla11034534544554564791081311381454244304324179216143[[#This Row],[Unidades]]</f>
        <v>278.31689299999999</v>
      </c>
      <c r="I73" s="4"/>
      <c r="J73" s="17" t="s">
        <v>10</v>
      </c>
      <c r="K73" s="18"/>
    </row>
    <row r="74" spans="2:11" x14ac:dyDescent="0.3">
      <c r="B74" s="21" t="s">
        <v>406</v>
      </c>
      <c r="C74" s="8" t="s">
        <v>188</v>
      </c>
      <c r="D74" s="9">
        <v>60</v>
      </c>
      <c r="E74" s="9">
        <v>25</v>
      </c>
      <c r="F74" s="9">
        <v>80</v>
      </c>
      <c r="G74" s="10">
        <f>+VLOOKUP(Tabla11034534544554564791081311381454244304324179216143[[#This Row],[Ingrediente]],Tabla34[#All],3,0)</f>
        <v>14</v>
      </c>
      <c r="H74" s="11">
        <f>+Tabla11034534544554564791081311381454244304324179216143[[#This Row],[Costo]]*Tabla11034534544554564791081311381454244304324179216143[[#This Row],[Unidades]]</f>
        <v>1120</v>
      </c>
      <c r="I74" s="4"/>
      <c r="J74" s="5" t="s">
        <v>11</v>
      </c>
      <c r="K74" s="12">
        <f>+K73/1.08*0.08</f>
        <v>0</v>
      </c>
    </row>
    <row r="75" spans="2:11" x14ac:dyDescent="0.3">
      <c r="B75" s="7" t="s">
        <v>395</v>
      </c>
      <c r="C75" s="8" t="s">
        <v>188</v>
      </c>
      <c r="D75" s="9">
        <v>25</v>
      </c>
      <c r="E75" s="9">
        <v>0</v>
      </c>
      <c r="F75" s="9">
        <v>25</v>
      </c>
      <c r="G75" s="10">
        <f>+VLOOKUP(Tabla11034534544554564791081311381454244304324179216143[[#This Row],[Ingrediente]],Tabla34[#All],3,0)</f>
        <v>19.79664923</v>
      </c>
      <c r="H75" s="11">
        <f>+Tabla11034534544554564791081311381454244304324179216143[[#This Row],[Costo]]*Tabla11034534544554564791081311381454244304324179216143[[#This Row],[Unidades]]</f>
        <v>494.91623075000001</v>
      </c>
      <c r="I75" s="4"/>
      <c r="J75" s="5" t="s">
        <v>12</v>
      </c>
      <c r="K75" s="12">
        <f>+K73-K74</f>
        <v>0</v>
      </c>
    </row>
    <row r="76" spans="2:11" x14ac:dyDescent="0.3">
      <c r="B76" s="7" t="s">
        <v>455</v>
      </c>
      <c r="C76" s="8" t="s">
        <v>188</v>
      </c>
      <c r="D76" s="9">
        <v>1</v>
      </c>
      <c r="E76" s="9">
        <v>0</v>
      </c>
      <c r="F76" s="9">
        <v>1</v>
      </c>
      <c r="G76" s="10">
        <f>+VLOOKUP(Tabla11034534544554564791081311381454244304324179216143[[#This Row],[Ingrediente]],Tabla34[#All],3,0)</f>
        <v>99.166666669999998</v>
      </c>
      <c r="H76" s="11">
        <f>+Tabla11034534544554564791081311381454244304324179216143[[#This Row],[Costo]]*Tabla11034534544554564791081311381454244304324179216143[[#This Row],[Unidades]]</f>
        <v>99.166666669999998</v>
      </c>
      <c r="I76" s="4"/>
      <c r="J76" s="5" t="s">
        <v>13</v>
      </c>
      <c r="K76" s="19" t="e">
        <f>+K72/K75</f>
        <v>#DIV/0!</v>
      </c>
    </row>
    <row r="77" spans="2:11" x14ac:dyDescent="0.3">
      <c r="B77" s="7" t="s">
        <v>394</v>
      </c>
      <c r="C77" s="8" t="s">
        <v>188</v>
      </c>
      <c r="D77" s="9">
        <v>3</v>
      </c>
      <c r="E77" s="9">
        <v>78</v>
      </c>
      <c r="F77" s="9">
        <v>13.635999999999999</v>
      </c>
      <c r="G77" s="10">
        <f>+VLOOKUP(Tabla11034534544554564791081311381454244304324179216143[[#This Row],[Ingrediente]],Tabla34[#All],3,0)</f>
        <v>4.5</v>
      </c>
      <c r="H77" s="11">
        <f>+Tabla11034534544554564791081311381454244304324179216143[[#This Row],[Costo]]*Tabla11034534544554564791081311381454244304324179216143[[#This Row],[Unidades]]</f>
        <v>61.361999999999995</v>
      </c>
      <c r="I77" s="24"/>
      <c r="J77" s="5" t="s">
        <v>14</v>
      </c>
      <c r="K77" s="20">
        <f>+K75-K72</f>
        <v>-7822.0197269655</v>
      </c>
    </row>
    <row r="78" spans="2:11" x14ac:dyDescent="0.3">
      <c r="B78" s="13"/>
      <c r="C78" s="14"/>
      <c r="D78" s="14"/>
      <c r="E78" s="14"/>
      <c r="F78" s="14"/>
      <c r="G78" s="15"/>
      <c r="H78" s="15">
        <f>SUBTOTAL(109,Tabla11034534544554564791081311381454244304324179216143[Total costo])</f>
        <v>7449.5425971100003</v>
      </c>
      <c r="J78" s="5" t="s">
        <v>15</v>
      </c>
      <c r="K78" s="22">
        <f>+K77/K72</f>
        <v>-1</v>
      </c>
    </row>
    <row r="83" spans="2:11" x14ac:dyDescent="0.3">
      <c r="B83" s="16"/>
      <c r="C83" s="2"/>
      <c r="D83" s="2"/>
      <c r="E83" s="3"/>
      <c r="F83" s="3"/>
      <c r="G83" s="99"/>
      <c r="H83" s="99"/>
      <c r="I83" s="4"/>
      <c r="J83" s="277" t="s">
        <v>0</v>
      </c>
      <c r="K83" s="277"/>
    </row>
    <row r="84" spans="2:11" ht="26.4" x14ac:dyDescent="0.3">
      <c r="B84" s="13" t="s">
        <v>1</v>
      </c>
      <c r="C84" s="14" t="s">
        <v>2</v>
      </c>
      <c r="D84" s="87" t="s">
        <v>571</v>
      </c>
      <c r="E84" s="14" t="s">
        <v>572</v>
      </c>
      <c r="F84" s="14" t="s">
        <v>573</v>
      </c>
      <c r="G84" s="28" t="s">
        <v>4</v>
      </c>
      <c r="H84" s="28" t="s">
        <v>5</v>
      </c>
      <c r="I84" s="4"/>
      <c r="J84" s="5" t="s">
        <v>6</v>
      </c>
      <c r="K84" s="6">
        <f>+Tabla11034534544554564791081311381454244304324179216143217[[#Totals],[Total costo]]</f>
        <v>13380.384850250002</v>
      </c>
    </row>
    <row r="85" spans="2:11" x14ac:dyDescent="0.3">
      <c r="B85" s="7" t="s">
        <v>93</v>
      </c>
      <c r="C85" s="8" t="s">
        <v>188</v>
      </c>
      <c r="D85" s="9">
        <v>120</v>
      </c>
      <c r="E85" s="9">
        <v>0</v>
      </c>
      <c r="F85" s="9">
        <v>120</v>
      </c>
      <c r="G85" s="10">
        <f>+VLOOKUP(Tabla11034534544554564791081311381454244304324179216143217[[#This Row],[Ingrediente]],Tabla34[#All],3,0)</f>
        <v>1.25441665</v>
      </c>
      <c r="H85" s="11">
        <f>+Tabla11034534544554564791081311381454244304324179216143217[[#This Row],[Costo]]*Tabla11034534544554564791081311381454244304324179216143217[[#This Row],[Unidades]]</f>
        <v>150.52999800000001</v>
      </c>
      <c r="I85" s="4"/>
      <c r="J85" s="5" t="s">
        <v>113</v>
      </c>
      <c r="K85" s="12">
        <f>+K84*5%</f>
        <v>669.01924251250011</v>
      </c>
    </row>
    <row r="86" spans="2:11" x14ac:dyDescent="0.3">
      <c r="B86" s="7" t="s">
        <v>406</v>
      </c>
      <c r="C86" s="8" t="s">
        <v>188</v>
      </c>
      <c r="D86" s="9">
        <v>60</v>
      </c>
      <c r="E86" s="9">
        <v>25</v>
      </c>
      <c r="F86" s="9">
        <v>80</v>
      </c>
      <c r="G86" s="10">
        <f>+VLOOKUP(Tabla11034534544554564791081311381454244304324179216143217[[#This Row],[Ingrediente]],Tabla34[#All],3,0)</f>
        <v>14</v>
      </c>
      <c r="H86" s="11">
        <f>+Tabla11034534544554564791081311381454244304324179216143217[[#This Row],[Costo]]*Tabla11034534544554564791081311381454244304324179216143217[[#This Row],[Unidades]]</f>
        <v>1120</v>
      </c>
      <c r="I86" s="4"/>
      <c r="J86" s="5" t="s">
        <v>9</v>
      </c>
      <c r="K86" s="12">
        <f>+K84+K85</f>
        <v>14049.404092762503</v>
      </c>
    </row>
    <row r="87" spans="2:11" x14ac:dyDescent="0.3">
      <c r="B87" s="21" t="s">
        <v>1311</v>
      </c>
      <c r="C87" s="8" t="s">
        <v>570</v>
      </c>
      <c r="D87" s="9">
        <v>1</v>
      </c>
      <c r="E87" s="9">
        <v>0</v>
      </c>
      <c r="F87" s="9">
        <v>1</v>
      </c>
      <c r="G87" s="10">
        <f>+VLOOKUP(Tabla11034534544554564791081311381454244304324179216143217[[#This Row],[Ingrediente]],Tabla34[#All],3,0)</f>
        <v>10536.304502700001</v>
      </c>
      <c r="H87" s="11">
        <f>+Tabla11034534544554564791081311381454244304324179216143217[[#This Row],[Costo]]*Tabla11034534544554564791081311381454244304324179216143217[[#This Row],[Unidades]]</f>
        <v>10536.304502700001</v>
      </c>
      <c r="I87" s="4"/>
      <c r="J87" s="17" t="s">
        <v>10</v>
      </c>
      <c r="K87" s="18">
        <v>45900</v>
      </c>
    </row>
    <row r="88" spans="2:11" x14ac:dyDescent="0.3">
      <c r="B88" s="21" t="s">
        <v>681</v>
      </c>
      <c r="C88" s="8" t="s">
        <v>188</v>
      </c>
      <c r="D88" s="9">
        <v>20</v>
      </c>
      <c r="E88" s="9">
        <v>0</v>
      </c>
      <c r="F88" s="9">
        <v>20</v>
      </c>
      <c r="G88" s="10">
        <f>+VLOOKUP(Tabla11034534544554564791081311381454244304324179216143217[[#This Row],[Ingrediente]],Tabla34[#All],3,0)</f>
        <v>22.545488500000001</v>
      </c>
      <c r="H88" s="11">
        <f>+Tabla11034534544554564791081311381454244304324179216143217[[#This Row],[Costo]]*Tabla11034534544554564791081311381454244304324179216143217[[#This Row],[Unidades]]</f>
        <v>450.90977000000004</v>
      </c>
      <c r="I88" s="4"/>
      <c r="J88" s="5" t="s">
        <v>11</v>
      </c>
      <c r="K88" s="12">
        <f>+K87/1.08*0.08</f>
        <v>3400</v>
      </c>
    </row>
    <row r="89" spans="2:11" x14ac:dyDescent="0.3">
      <c r="B89" s="7" t="s">
        <v>946</v>
      </c>
      <c r="C89" s="8" t="s">
        <v>188</v>
      </c>
      <c r="D89" s="9">
        <v>10</v>
      </c>
      <c r="E89" s="9">
        <v>0</v>
      </c>
      <c r="F89" s="9">
        <v>10</v>
      </c>
      <c r="G89" s="10">
        <f>+VLOOKUP(Tabla11034534544554564791081311381454244304324179216143217[[#This Row],[Ingrediente]],Tabla34[#All],3,0)</f>
        <v>32</v>
      </c>
      <c r="H89" s="11">
        <f>+Tabla11034534544554564791081311381454244304324179216143217[[#This Row],[Costo]]*Tabla11034534544554564791081311381454244304324179216143217[[#This Row],[Unidades]]</f>
        <v>320</v>
      </c>
      <c r="I89" s="4"/>
      <c r="J89" s="5" t="s">
        <v>12</v>
      </c>
      <c r="K89" s="12">
        <f>+K87-K88</f>
        <v>42500</v>
      </c>
    </row>
    <row r="90" spans="2:11" x14ac:dyDescent="0.3">
      <c r="B90" s="7" t="s">
        <v>458</v>
      </c>
      <c r="C90" s="8" t="s">
        <v>188</v>
      </c>
      <c r="D90" s="9">
        <v>14</v>
      </c>
      <c r="E90" s="9">
        <v>0</v>
      </c>
      <c r="F90" s="9">
        <v>14</v>
      </c>
      <c r="G90" s="10">
        <f>+VLOOKUP(Tabla11034534544554564791081311381454244304324179216143217[[#This Row],[Ingrediente]],Tabla34[#All],3,0)</f>
        <v>5</v>
      </c>
      <c r="H90" s="11">
        <f>+Tabla11034534544554564791081311381454244304324179216143217[[#This Row],[Costo]]*Tabla11034534544554564791081311381454244304324179216143217[[#This Row],[Unidades]]</f>
        <v>70</v>
      </c>
      <c r="I90" s="4"/>
      <c r="J90" s="5" t="s">
        <v>13</v>
      </c>
      <c r="K90" s="19">
        <f>+K86/K89</f>
        <v>0.33057421394735303</v>
      </c>
    </row>
    <row r="91" spans="2:11" x14ac:dyDescent="0.3">
      <c r="B91" s="7" t="s">
        <v>446</v>
      </c>
      <c r="C91" s="8" t="s">
        <v>188</v>
      </c>
      <c r="D91" s="9">
        <v>2</v>
      </c>
      <c r="E91" s="9">
        <v>40</v>
      </c>
      <c r="F91" s="9">
        <v>3.3330000000000002</v>
      </c>
      <c r="G91" s="10">
        <f>+VLOOKUP(Tabla11034534544554564791081311381454244304324179216143217[[#This Row],[Ingrediente]],Tabla34[#All],3,0)</f>
        <v>5.5</v>
      </c>
      <c r="H91" s="11">
        <f>+Tabla11034534544554564791081311381454244304324179216143217[[#This Row],[Costo]]*Tabla11034534544554564791081311381454244304324179216143217[[#This Row],[Unidades]]</f>
        <v>18.331500000000002</v>
      </c>
      <c r="I91" s="24"/>
      <c r="J91" s="5" t="s">
        <v>14</v>
      </c>
      <c r="K91" s="20">
        <f>+K89-K86</f>
        <v>28450.595907237497</v>
      </c>
    </row>
    <row r="92" spans="2:11" x14ac:dyDescent="0.3">
      <c r="B92" s="7" t="s">
        <v>558</v>
      </c>
      <c r="C92" s="8" t="s">
        <v>570</v>
      </c>
      <c r="D92" s="267">
        <v>2</v>
      </c>
      <c r="E92" s="9">
        <v>0</v>
      </c>
      <c r="F92" s="9">
        <v>2</v>
      </c>
      <c r="G92" s="10">
        <f>+VLOOKUP(Tabla11034534544554564791081311381454244304324179216143217[[#This Row],[Ingrediente]],Tabla34[#All],3,0)</f>
        <v>354.16666666999998</v>
      </c>
      <c r="H92" s="11">
        <f>+Tabla11034534544554564791081311381454244304324179216143217[[#This Row],[Costo]]*Tabla11034534544554564791081311381454244304324179216143217[[#This Row],[Unidades]]</f>
        <v>708.33333333999997</v>
      </c>
      <c r="J92" s="5" t="s">
        <v>15</v>
      </c>
      <c r="K92" s="22">
        <f>+K91/K86</f>
        <v>2.0250393340094557</v>
      </c>
    </row>
    <row r="93" spans="2:11" x14ac:dyDescent="0.3">
      <c r="B93" s="7" t="s">
        <v>964</v>
      </c>
      <c r="C93" s="8" t="s">
        <v>188</v>
      </c>
      <c r="D93" s="267">
        <v>1</v>
      </c>
      <c r="E93" s="9">
        <v>0</v>
      </c>
      <c r="F93" s="9">
        <v>1</v>
      </c>
      <c r="G93" s="10">
        <f>+VLOOKUP(Tabla11034534544554564791081311381454244304324179216143217[[#This Row],[Ingrediente]],Tabla34[#All],3,0)</f>
        <v>5.9757462099999996</v>
      </c>
      <c r="H93" s="11">
        <f>+Tabla11034534544554564791081311381454244304324179216143217[[#This Row],[Costo]]*Tabla11034534544554564791081311381454244304324179216143217[[#This Row],[Unidades]]</f>
        <v>5.9757462099999996</v>
      </c>
    </row>
    <row r="94" spans="2:11" x14ac:dyDescent="0.3">
      <c r="B94" s="13"/>
      <c r="C94" s="14"/>
      <c r="D94" s="14"/>
      <c r="E94" s="14"/>
      <c r="F94" s="14"/>
      <c r="G94" s="15"/>
      <c r="H94" s="15">
        <f>SUBTOTAL(109,Tabla11034534544554564791081311381454244304324179216143217[Total costo])</f>
        <v>13380.384850250002</v>
      </c>
    </row>
  </sheetData>
  <mergeCells count="6">
    <mergeCell ref="J83:K83"/>
    <mergeCell ref="J20:K20"/>
    <mergeCell ref="J35:K35"/>
    <mergeCell ref="J7:K7"/>
    <mergeCell ref="J49:K49"/>
    <mergeCell ref="J69:K69"/>
  </mergeCells>
  <conditionalFormatting sqref="K14">
    <cfRule type="cellIs" dxfId="629" priority="11" operator="lessThan">
      <formula>0.3</formula>
    </cfRule>
    <cfRule type="cellIs" dxfId="628" priority="12" operator="greaterThan">
      <formula>0.3</formula>
    </cfRule>
  </conditionalFormatting>
  <conditionalFormatting sqref="K27">
    <cfRule type="cellIs" dxfId="627" priority="9" operator="lessThan">
      <formula>0.3</formula>
    </cfRule>
    <cfRule type="cellIs" dxfId="626" priority="10" operator="greaterThan">
      <formula>0.3</formula>
    </cfRule>
  </conditionalFormatting>
  <conditionalFormatting sqref="K42">
    <cfRule type="cellIs" dxfId="625" priority="7" operator="lessThan">
      <formula>0.3</formula>
    </cfRule>
    <cfRule type="cellIs" dxfId="624" priority="8" operator="greaterThan">
      <formula>0.3</formula>
    </cfRule>
  </conditionalFormatting>
  <conditionalFormatting sqref="K56">
    <cfRule type="cellIs" dxfId="623" priority="5" operator="lessThan">
      <formula>0.3</formula>
    </cfRule>
    <cfRule type="cellIs" dxfId="622" priority="6" operator="greaterThan">
      <formula>0.3</formula>
    </cfRule>
  </conditionalFormatting>
  <conditionalFormatting sqref="K76">
    <cfRule type="cellIs" dxfId="621" priority="3" operator="lessThan">
      <formula>0.3</formula>
    </cfRule>
    <cfRule type="cellIs" dxfId="620" priority="4" operator="greaterThan">
      <formula>0.3</formula>
    </cfRule>
  </conditionalFormatting>
  <conditionalFormatting sqref="K90">
    <cfRule type="cellIs" dxfId="619" priority="1" operator="lessThan">
      <formula>0.3</formula>
    </cfRule>
    <cfRule type="cellIs" dxfId="618" priority="2" operator="greaterThan">
      <formula>0.3</formula>
    </cfRule>
  </conditionalFormatting>
  <pageMargins left="0.7" right="0.7" top="0.75" bottom="0.75" header="0.3" footer="0.3"/>
  <pageSetup orientation="portrait" horizontalDpi="360" verticalDpi="360" r:id="rId1"/>
  <drawing r:id="rId2"/>
  <tableParts count="6">
    <tablePart r:id="rId3"/>
    <tablePart r:id="rId4"/>
    <tablePart r:id="rId5"/>
    <tablePart r:id="rId6"/>
    <tablePart r:id="rId7"/>
    <tablePart r:id="rId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328D-2EC9-4C75-A286-E5DF4B10F88E}">
  <dimension ref="B6:L162"/>
  <sheetViews>
    <sheetView showGridLines="0" topLeftCell="A142" workbookViewId="0">
      <selection activeCell="J159" sqref="J159"/>
    </sheetView>
  </sheetViews>
  <sheetFormatPr baseColWidth="10" defaultRowHeight="14.4" x14ac:dyDescent="0.3"/>
  <cols>
    <col min="1" max="1" width="6.33203125" customWidth="1"/>
    <col min="2" max="2" width="40.109375" bestFit="1" customWidth="1"/>
    <col min="3" max="6" width="7.77734375" customWidth="1"/>
    <col min="7" max="8" width="10.77734375" customWidth="1"/>
    <col min="9" max="9" width="3.77734375" customWidth="1"/>
    <col min="10" max="10" width="26.109375" bestFit="1" customWidth="1"/>
    <col min="12" max="12" width="11.6640625" bestFit="1" customWidth="1"/>
  </cols>
  <sheetData>
    <row r="6" spans="2:12" x14ac:dyDescent="0.3">
      <c r="B6" s="89" t="s">
        <v>131</v>
      </c>
      <c r="C6" s="90"/>
      <c r="D6" s="90"/>
      <c r="E6" s="90"/>
      <c r="F6" s="90"/>
      <c r="G6" s="90"/>
      <c r="H6" s="90"/>
      <c r="J6" s="277" t="s">
        <v>0</v>
      </c>
      <c r="K6" s="277"/>
      <c r="L6" s="44"/>
    </row>
    <row r="7" spans="2:12" x14ac:dyDescent="0.3">
      <c r="B7" s="91" t="s">
        <v>1</v>
      </c>
      <c r="C7" s="14" t="s">
        <v>2</v>
      </c>
      <c r="D7" s="14" t="s">
        <v>571</v>
      </c>
      <c r="E7" s="14" t="s">
        <v>572</v>
      </c>
      <c r="F7" s="14" t="s">
        <v>573</v>
      </c>
      <c r="G7" s="92" t="s">
        <v>4</v>
      </c>
      <c r="H7" s="92" t="s">
        <v>5</v>
      </c>
      <c r="I7" s="4"/>
      <c r="J7" s="5" t="s">
        <v>6</v>
      </c>
      <c r="K7" s="6">
        <f>SUM(Tabla1103453454455456479108135149[Total costo])</f>
        <v>23351.120129768005</v>
      </c>
    </row>
    <row r="8" spans="2:12" x14ac:dyDescent="0.3">
      <c r="B8" s="7" t="s">
        <v>362</v>
      </c>
      <c r="C8" s="109" t="s">
        <v>188</v>
      </c>
      <c r="D8" s="48">
        <v>15</v>
      </c>
      <c r="E8" s="48">
        <v>0</v>
      </c>
      <c r="F8" s="48">
        <v>15</v>
      </c>
      <c r="G8" s="110">
        <f>+VLOOKUP(Tabla1103453454455456479108135149[[#This Row],[Ingrediente]],Tabla34[#All],3,0)</f>
        <v>8.2499666699999992</v>
      </c>
      <c r="H8" s="111">
        <f>+Tabla1103453454455456479108135149[[#This Row],[Costo]]*Tabla1103453454455456479108135149[[#This Row],[Unidades]]</f>
        <v>123.74950004999999</v>
      </c>
      <c r="I8" s="4"/>
      <c r="J8" s="5" t="s">
        <v>113</v>
      </c>
      <c r="K8" s="6">
        <f>+K7*5%</f>
        <v>1167.5560064884003</v>
      </c>
    </row>
    <row r="9" spans="2:12" x14ac:dyDescent="0.3">
      <c r="B9" s="7" t="s">
        <v>406</v>
      </c>
      <c r="C9" s="109" t="s">
        <v>188</v>
      </c>
      <c r="D9" s="48">
        <v>80</v>
      </c>
      <c r="E9" s="48">
        <v>25</v>
      </c>
      <c r="F9" s="48">
        <v>106.667</v>
      </c>
      <c r="G9" s="110">
        <f>+VLOOKUP(Tabla1103453454455456479108135149[[#This Row],[Ingrediente]],Tabla34[#All],3,0)</f>
        <v>14</v>
      </c>
      <c r="H9" s="111">
        <f>+Tabla1103453454455456479108135149[[#This Row],[Costo]]*Tabla1103453454455456479108135149[[#This Row],[Unidades]]</f>
        <v>1493.338</v>
      </c>
      <c r="I9" s="4"/>
      <c r="J9" s="5" t="s">
        <v>9</v>
      </c>
      <c r="K9" s="6">
        <f>+K7+K8</f>
        <v>24518.676136256407</v>
      </c>
    </row>
    <row r="10" spans="2:12" x14ac:dyDescent="0.3">
      <c r="B10" s="7" t="s">
        <v>373</v>
      </c>
      <c r="C10" s="109" t="s">
        <v>570</v>
      </c>
      <c r="D10" s="48">
        <v>7</v>
      </c>
      <c r="E10" s="48">
        <v>0</v>
      </c>
      <c r="F10" s="48">
        <v>7</v>
      </c>
      <c r="G10" s="110">
        <f>+VLOOKUP(Tabla1103453454455456479108135149[[#This Row],[Ingrediente]],Tabla34[#All],3,0)</f>
        <v>485.71428571000001</v>
      </c>
      <c r="H10" s="111">
        <f>+Tabla1103453454455456479108135149[[#This Row],[Costo]]*Tabla1103453454455456479108135149[[#This Row],[Unidades]]</f>
        <v>3399.9999999700003</v>
      </c>
      <c r="I10" s="4"/>
      <c r="J10" s="17" t="s">
        <v>10</v>
      </c>
      <c r="K10" s="112">
        <v>79000</v>
      </c>
    </row>
    <row r="11" spans="2:12" x14ac:dyDescent="0.3">
      <c r="B11" s="7" t="s">
        <v>398</v>
      </c>
      <c r="C11" s="109" t="s">
        <v>188</v>
      </c>
      <c r="D11" s="48">
        <v>40</v>
      </c>
      <c r="E11" s="48">
        <v>27</v>
      </c>
      <c r="F11" s="48">
        <v>54.795000000000002</v>
      </c>
      <c r="G11" s="110">
        <f>+VLOOKUP(Tabla1103453454455456479108135149[[#This Row],[Ingrediente]],Tabla34[#All],3,0)</f>
        <v>3.7999999999999994</v>
      </c>
      <c r="H11" s="111">
        <f>+Tabla1103453454455456479108135149[[#This Row],[Costo]]*Tabla1103453454455456479108135149[[#This Row],[Unidades]]</f>
        <v>208.22099999999998</v>
      </c>
      <c r="I11" s="4"/>
      <c r="J11" s="5" t="s">
        <v>11</v>
      </c>
      <c r="K11" s="6">
        <f>+K10/1.08*0.08</f>
        <v>5851.8518518518522</v>
      </c>
    </row>
    <row r="12" spans="2:12" x14ac:dyDescent="0.3">
      <c r="B12" s="7" t="s">
        <v>446</v>
      </c>
      <c r="C12" s="109" t="s">
        <v>188</v>
      </c>
      <c r="D12" s="48">
        <v>3</v>
      </c>
      <c r="E12" s="48">
        <v>40</v>
      </c>
      <c r="F12" s="48">
        <v>5</v>
      </c>
      <c r="G12" s="110">
        <f>+VLOOKUP(Tabla1103453454455456479108135149[[#This Row],[Ingrediente]],Tabla34[#All],3,0)</f>
        <v>5.5</v>
      </c>
      <c r="H12" s="111">
        <f>+Tabla1103453454455456479108135149[[#This Row],[Costo]]*Tabla1103453454455456479108135149[[#This Row],[Unidades]]</f>
        <v>27.5</v>
      </c>
      <c r="I12" s="4"/>
      <c r="J12" s="5" t="s">
        <v>12</v>
      </c>
      <c r="K12" s="6">
        <f>+K10-K11</f>
        <v>73148.148148148146</v>
      </c>
    </row>
    <row r="13" spans="2:12" x14ac:dyDescent="0.3">
      <c r="B13" s="7" t="s">
        <v>368</v>
      </c>
      <c r="C13" s="109" t="s">
        <v>188</v>
      </c>
      <c r="D13" s="48">
        <v>150</v>
      </c>
      <c r="E13" s="48">
        <v>10</v>
      </c>
      <c r="F13" s="48">
        <v>166.667</v>
      </c>
      <c r="G13" s="110">
        <f>+VLOOKUP(Tabla1103453454455456479108135149[[#This Row],[Ingrediente]],Tabla34[#All],3,0)</f>
        <v>37</v>
      </c>
      <c r="H13" s="111">
        <f>+Tabla1103453454455456479108135149[[#This Row],[Costo]]*Tabla1103453454455456479108135149[[#This Row],[Unidades]]</f>
        <v>6166.6790000000001</v>
      </c>
      <c r="I13" s="4"/>
      <c r="J13" s="5" t="s">
        <v>13</v>
      </c>
      <c r="K13" s="113">
        <f>+K9/K12</f>
        <v>0.33519202819185973</v>
      </c>
    </row>
    <row r="14" spans="2:12" x14ac:dyDescent="0.3">
      <c r="B14" s="21" t="s">
        <v>39</v>
      </c>
      <c r="C14" s="109" t="s">
        <v>188</v>
      </c>
      <c r="D14" s="48">
        <v>24</v>
      </c>
      <c r="E14" s="48">
        <v>0</v>
      </c>
      <c r="F14" s="48">
        <v>24</v>
      </c>
      <c r="G14" s="110">
        <f>+VLOOKUP(Tabla1103453454455456479108135149[[#This Row],[Ingrediente]],Tabla34[#All],3,0)</f>
        <v>21.754385959999997</v>
      </c>
      <c r="H14" s="111">
        <f>+Tabla1103453454455456479108135149[[#This Row],[Costo]]*Tabla1103453454455456479108135149[[#This Row],[Unidades]]</f>
        <v>522.10526303999995</v>
      </c>
      <c r="I14" s="4"/>
      <c r="J14" s="5" t="s">
        <v>14</v>
      </c>
      <c r="K14" s="20">
        <f>+K12-K9</f>
        <v>48629.472011891739</v>
      </c>
    </row>
    <row r="15" spans="2:12" x14ac:dyDescent="0.3">
      <c r="B15" s="21" t="s">
        <v>384</v>
      </c>
      <c r="C15" s="109" t="s">
        <v>188</v>
      </c>
      <c r="D15" s="48">
        <v>150</v>
      </c>
      <c r="E15" s="48">
        <v>5</v>
      </c>
      <c r="F15" s="48">
        <v>157.89500000000001</v>
      </c>
      <c r="G15" s="110">
        <f>+VLOOKUP(Tabla1103453454455456479108135149[[#This Row],[Ingrediente]],Tabla34[#All],3,0)</f>
        <v>4.5</v>
      </c>
      <c r="H15" s="111">
        <f>+Tabla1103453454455456479108135149[[#This Row],[Costo]]*Tabla1103453454455456479108135149[[#This Row],[Unidades]]</f>
        <v>710.52750000000003</v>
      </c>
      <c r="I15" s="4"/>
      <c r="J15" s="5" t="s">
        <v>15</v>
      </c>
      <c r="K15" s="22">
        <f>+K14/K9</f>
        <v>1.9833645071881376</v>
      </c>
    </row>
    <row r="16" spans="2:12" x14ac:dyDescent="0.3">
      <c r="B16" s="21" t="s">
        <v>420</v>
      </c>
      <c r="C16" s="109" t="s">
        <v>188</v>
      </c>
      <c r="D16" s="48">
        <v>10</v>
      </c>
      <c r="E16" s="48">
        <v>0</v>
      </c>
      <c r="F16" s="48">
        <v>10</v>
      </c>
      <c r="G16" s="110">
        <f>+VLOOKUP(Tabla1103453454455456479108135149[[#This Row],[Ingrediente]],Tabla34[#All],3,0)</f>
        <v>8.9250000000000007</v>
      </c>
      <c r="H16" s="111">
        <f>+Tabla1103453454455456479108135149[[#This Row],[Costo]]*Tabla1103453454455456479108135149[[#This Row],[Unidades]]</f>
        <v>89.25</v>
      </c>
      <c r="I16" s="4"/>
      <c r="J16" s="4"/>
      <c r="K16" s="114"/>
    </row>
    <row r="17" spans="2:12" x14ac:dyDescent="0.3">
      <c r="B17" s="21" t="s">
        <v>73</v>
      </c>
      <c r="C17" s="109" t="s">
        <v>188</v>
      </c>
      <c r="D17" s="48">
        <v>40</v>
      </c>
      <c r="E17" s="48">
        <v>0</v>
      </c>
      <c r="F17" s="48">
        <v>40</v>
      </c>
      <c r="G17" s="110">
        <f>+VLOOKUP(Tabla1103453454455456479108135149[[#This Row],[Ingrediente]],Tabla34[#All],3,0)</f>
        <v>11.478188469999999</v>
      </c>
      <c r="H17" s="111">
        <f>+Tabla1103453454455456479108135149[[#This Row],[Costo]]*Tabla1103453454455456479108135149[[#This Row],[Unidades]]</f>
        <v>459.12753879999997</v>
      </c>
      <c r="I17" s="4"/>
      <c r="J17" s="4"/>
      <c r="K17" s="114"/>
    </row>
    <row r="18" spans="2:12" x14ac:dyDescent="0.3">
      <c r="B18" s="7" t="s">
        <v>363</v>
      </c>
      <c r="C18" s="109" t="s">
        <v>570</v>
      </c>
      <c r="D18" s="263">
        <v>0.4</v>
      </c>
      <c r="E18" s="48">
        <v>0</v>
      </c>
      <c r="F18" s="48">
        <v>0.4</v>
      </c>
      <c r="G18" s="110">
        <f>+VLOOKUP(Tabla1103453454455456479108135149[[#This Row],[Ingrediente]],Tabla34[#All],3,0)</f>
        <v>20955.187312270002</v>
      </c>
      <c r="H18" s="111">
        <f>+Tabla1103453454455456479108135149[[#This Row],[Costo]]*Tabla1103453454455456479108135149[[#This Row],[Unidades]]</f>
        <v>8382.0749249080018</v>
      </c>
      <c r="I18" s="24"/>
      <c r="J18" s="24"/>
      <c r="K18" s="24"/>
    </row>
    <row r="19" spans="2:12" x14ac:dyDescent="0.3">
      <c r="B19" s="7" t="s">
        <v>91</v>
      </c>
      <c r="C19" s="109" t="s">
        <v>188</v>
      </c>
      <c r="D19" s="48">
        <v>100</v>
      </c>
      <c r="E19" s="48">
        <v>0</v>
      </c>
      <c r="F19" s="48">
        <v>100</v>
      </c>
      <c r="G19" s="110">
        <f>+VLOOKUP(Tabla1103453454455456479108135149[[#This Row],[Ingrediente]],Tabla34[#All],3,0)</f>
        <v>17.685474030000002</v>
      </c>
      <c r="H19" s="111">
        <f>+Tabla1103453454455456479108135149[[#This Row],[Costo]]*Tabla1103453454455456479108135149[[#This Row],[Unidades]]</f>
        <v>1768.5474030000003</v>
      </c>
      <c r="K19">
        <f>50/150</f>
        <v>0.33333333333333331</v>
      </c>
    </row>
    <row r="20" spans="2:12" x14ac:dyDescent="0.3">
      <c r="B20" s="13"/>
      <c r="C20" s="14"/>
      <c r="D20" s="14"/>
      <c r="E20" s="14"/>
      <c r="F20" s="14"/>
      <c r="G20" s="15"/>
      <c r="H20" s="15">
        <f>SUBTOTAL(109,Tabla1103453454455456479108135149[Total costo])</f>
        <v>23351.120129768005</v>
      </c>
      <c r="K20" s="58"/>
    </row>
    <row r="21" spans="2:12" x14ac:dyDescent="0.3">
      <c r="J21" s="277" t="s">
        <v>0</v>
      </c>
      <c r="K21" s="277"/>
      <c r="L21" s="44"/>
    </row>
    <row r="22" spans="2:12" x14ac:dyDescent="0.3">
      <c r="B22" s="196" t="s">
        <v>140</v>
      </c>
      <c r="C22" s="90"/>
      <c r="D22" s="90"/>
      <c r="E22" s="90"/>
      <c r="F22" s="90"/>
      <c r="G22" s="90"/>
      <c r="H22" s="90"/>
      <c r="I22" s="4"/>
      <c r="J22" s="5" t="s">
        <v>6</v>
      </c>
      <c r="K22" s="6">
        <f>SUM(Tabla1103453454455456479108130137151[Total costo])</f>
        <v>15762.33513585</v>
      </c>
    </row>
    <row r="23" spans="2:12" x14ac:dyDescent="0.3">
      <c r="B23" s="91" t="s">
        <v>1</v>
      </c>
      <c r="C23" s="14" t="s">
        <v>2</v>
      </c>
      <c r="D23" s="14" t="s">
        <v>571</v>
      </c>
      <c r="E23" s="14" t="s">
        <v>572</v>
      </c>
      <c r="F23" s="14" t="s">
        <v>573</v>
      </c>
      <c r="G23" s="92" t="s">
        <v>4</v>
      </c>
      <c r="H23" s="92" t="s">
        <v>5</v>
      </c>
      <c r="I23" s="4"/>
      <c r="J23" s="5" t="s">
        <v>113</v>
      </c>
      <c r="K23" s="6">
        <f>+K22*5%</f>
        <v>788.11675679250004</v>
      </c>
    </row>
    <row r="24" spans="2:12" x14ac:dyDescent="0.3">
      <c r="B24" s="7" t="s">
        <v>406</v>
      </c>
      <c r="C24" s="109" t="s">
        <v>188</v>
      </c>
      <c r="D24" s="48">
        <v>40</v>
      </c>
      <c r="E24" s="48">
        <v>25</v>
      </c>
      <c r="F24" s="48">
        <v>53.332999999999998</v>
      </c>
      <c r="G24" s="110">
        <f>+VLOOKUP(Tabla1103453454455456479108130137151[[#This Row],[Ingrediente]],Tabla34[#All],3,0)</f>
        <v>14</v>
      </c>
      <c r="H24" s="111">
        <f>+Tabla1103453454455456479108130137151[[#This Row],[Costo]]*Tabla1103453454455456479108130137151[[#This Row],[Unidades]]</f>
        <v>746.66200000000003</v>
      </c>
      <c r="I24" s="4"/>
      <c r="J24" s="5" t="s">
        <v>9</v>
      </c>
      <c r="K24" s="6">
        <f>+K22+K23</f>
        <v>16550.451892642501</v>
      </c>
    </row>
    <row r="25" spans="2:12" x14ac:dyDescent="0.3">
      <c r="B25" s="7" t="s">
        <v>470</v>
      </c>
      <c r="C25" s="109" t="s">
        <v>188</v>
      </c>
      <c r="D25" s="48">
        <v>2</v>
      </c>
      <c r="E25" s="48">
        <v>10</v>
      </c>
      <c r="F25" s="48">
        <v>2.222</v>
      </c>
      <c r="G25" s="110">
        <f>+VLOOKUP(Tabla1103453454455456479108130137151[[#This Row],[Ingrediente]],Tabla34[#All],3,0)</f>
        <v>8</v>
      </c>
      <c r="H25" s="111">
        <f>+Tabla1103453454455456479108130137151[[#This Row],[Costo]]*Tabla1103453454455456479108130137151[[#This Row],[Unidades]]</f>
        <v>17.776</v>
      </c>
      <c r="I25" s="4"/>
      <c r="J25" s="17" t="s">
        <v>10</v>
      </c>
      <c r="K25" s="112">
        <v>62000</v>
      </c>
    </row>
    <row r="26" spans="2:12" x14ac:dyDescent="0.3">
      <c r="B26" s="7" t="s">
        <v>557</v>
      </c>
      <c r="C26" s="109" t="s">
        <v>188</v>
      </c>
      <c r="D26" s="48">
        <v>2</v>
      </c>
      <c r="E26" s="48">
        <v>0</v>
      </c>
      <c r="F26" s="48">
        <v>2</v>
      </c>
      <c r="G26" s="110">
        <f>+VLOOKUP(Tabla1103453454455456479108130137151[[#This Row],[Ingrediente]],Tabla34[#All],3,0)</f>
        <v>18.138999999999999</v>
      </c>
      <c r="H26" s="111">
        <f>+Tabla1103453454455456479108130137151[[#This Row],[Costo]]*Tabla1103453454455456479108130137151[[#This Row],[Unidades]]</f>
        <v>36.277999999999999</v>
      </c>
      <c r="I26" s="4"/>
      <c r="J26" s="5" t="s">
        <v>11</v>
      </c>
      <c r="K26" s="6">
        <f>+K25/1.08*0.08</f>
        <v>4592.5925925925922</v>
      </c>
    </row>
    <row r="27" spans="2:12" x14ac:dyDescent="0.3">
      <c r="B27" s="21" t="s">
        <v>689</v>
      </c>
      <c r="C27" s="109" t="s">
        <v>188</v>
      </c>
      <c r="D27" s="48">
        <v>2</v>
      </c>
      <c r="E27" s="48">
        <v>0</v>
      </c>
      <c r="F27" s="48">
        <v>2</v>
      </c>
      <c r="G27" s="110">
        <f>+VLOOKUP(Tabla1103453454455456479108130137151[[#This Row],[Ingrediente]],Tabla34[#All],3,0)</f>
        <v>40.97</v>
      </c>
      <c r="H27" s="111">
        <f>+Tabla1103453454455456479108130137151[[#This Row],[Costo]]*Tabla1103453454455456479108130137151[[#This Row],[Unidades]]</f>
        <v>81.94</v>
      </c>
      <c r="I27" s="4"/>
      <c r="J27" s="5" t="s">
        <v>12</v>
      </c>
      <c r="K27" s="6">
        <f>+K25-K26</f>
        <v>57407.407407407409</v>
      </c>
    </row>
    <row r="28" spans="2:12" x14ac:dyDescent="0.3">
      <c r="B28" s="21" t="s">
        <v>480</v>
      </c>
      <c r="C28" s="109" t="s">
        <v>188</v>
      </c>
      <c r="D28" s="48">
        <v>1</v>
      </c>
      <c r="E28" s="48">
        <v>0</v>
      </c>
      <c r="F28" s="48">
        <v>1</v>
      </c>
      <c r="G28" s="110">
        <f>+VLOOKUP(Tabla1103453454455456479108130137151[[#This Row],[Ingrediente]],Tabla34[#All],3,0)</f>
        <v>328.34</v>
      </c>
      <c r="H28" s="111">
        <f>+Tabla1103453454455456479108130137151[[#This Row],[Costo]]*Tabla1103453454455456479108130137151[[#This Row],[Unidades]]</f>
        <v>328.34</v>
      </c>
      <c r="I28" s="4"/>
      <c r="J28" s="5" t="s">
        <v>13</v>
      </c>
      <c r="K28" s="113">
        <f>+K24/K27</f>
        <v>0.28829819425893388</v>
      </c>
    </row>
    <row r="29" spans="2:12" x14ac:dyDescent="0.3">
      <c r="B29" s="7" t="s">
        <v>373</v>
      </c>
      <c r="C29" s="109" t="s">
        <v>570</v>
      </c>
      <c r="D29" s="48">
        <v>7</v>
      </c>
      <c r="E29" s="48">
        <v>0</v>
      </c>
      <c r="F29" s="48">
        <v>7</v>
      </c>
      <c r="G29" s="110">
        <f>+VLOOKUP(Tabla1103453454455456479108130137151[[#This Row],[Ingrediente]],Tabla34[#All],3,0)</f>
        <v>485.71428571000001</v>
      </c>
      <c r="H29" s="111">
        <f>+Tabla1103453454455456479108130137151[[#This Row],[Costo]]*Tabla1103453454455456479108130137151[[#This Row],[Unidades]]</f>
        <v>3399.9999999700003</v>
      </c>
      <c r="I29" s="4"/>
      <c r="J29" s="5" t="s">
        <v>14</v>
      </c>
      <c r="K29" s="20">
        <f>+K27-K24</f>
        <v>40856.955514764908</v>
      </c>
    </row>
    <row r="30" spans="2:12" x14ac:dyDescent="0.3">
      <c r="B30" s="21" t="s">
        <v>398</v>
      </c>
      <c r="C30" s="109" t="s">
        <v>188</v>
      </c>
      <c r="D30" s="48">
        <v>50</v>
      </c>
      <c r="E30" s="48">
        <v>27</v>
      </c>
      <c r="F30" s="48">
        <v>68.492999999999995</v>
      </c>
      <c r="G30" s="110">
        <f>+VLOOKUP(Tabla1103453454455456479108130137151[[#This Row],[Ingrediente]],Tabla34[#All],3,0)</f>
        <v>3.7999999999999994</v>
      </c>
      <c r="H30" s="111">
        <f>+Tabla1103453454455456479108130137151[[#This Row],[Costo]]*Tabla1103453454455456479108130137151[[#This Row],[Unidades]]</f>
        <v>260.27339999999992</v>
      </c>
      <c r="I30" s="4"/>
      <c r="J30" s="5" t="s">
        <v>15</v>
      </c>
      <c r="K30" s="22">
        <f>+K29/K24</f>
        <v>2.4686308132122878</v>
      </c>
    </row>
    <row r="31" spans="2:12" x14ac:dyDescent="0.3">
      <c r="B31" s="21" t="s">
        <v>446</v>
      </c>
      <c r="C31" s="109" t="s">
        <v>188</v>
      </c>
      <c r="D31" s="48">
        <v>2</v>
      </c>
      <c r="E31" s="48">
        <v>40</v>
      </c>
      <c r="F31" s="48">
        <v>3.3330000000000002</v>
      </c>
      <c r="G31" s="110">
        <f>+VLOOKUP(Tabla1103453454455456479108130137151[[#This Row],[Ingrediente]],Tabla34[#All],3,0)</f>
        <v>5.5</v>
      </c>
      <c r="H31" s="111">
        <f>+Tabla1103453454455456479108130137151[[#This Row],[Costo]]*Tabla1103453454455456479108130137151[[#This Row],[Unidades]]</f>
        <v>18.331500000000002</v>
      </c>
      <c r="I31" s="4"/>
      <c r="J31" s="4"/>
      <c r="K31" s="114"/>
    </row>
    <row r="32" spans="2:12" x14ac:dyDescent="0.3">
      <c r="B32" s="7" t="s">
        <v>456</v>
      </c>
      <c r="C32" s="109" t="s">
        <v>188</v>
      </c>
      <c r="D32" s="48">
        <v>5</v>
      </c>
      <c r="E32" s="48">
        <v>0</v>
      </c>
      <c r="F32" s="48">
        <v>5</v>
      </c>
      <c r="G32" s="110">
        <f>+VLOOKUP(Tabla1103453454455456479108130137151[[#This Row],[Ingrediente]],Tabla34[#All],3,0)</f>
        <v>24</v>
      </c>
      <c r="H32" s="111">
        <f>+Tabla1103453454455456479108130137151[[#This Row],[Costo]]*Tabla1103453454455456479108130137151[[#This Row],[Unidades]]</f>
        <v>120</v>
      </c>
      <c r="I32" s="4"/>
      <c r="J32" s="4"/>
      <c r="K32" s="114"/>
    </row>
    <row r="33" spans="2:11" x14ac:dyDescent="0.3">
      <c r="B33" s="21" t="s">
        <v>368</v>
      </c>
      <c r="C33" s="109" t="s">
        <v>188</v>
      </c>
      <c r="D33" s="48">
        <v>120</v>
      </c>
      <c r="E33" s="48">
        <v>10</v>
      </c>
      <c r="F33" s="48">
        <v>133.333</v>
      </c>
      <c r="G33" s="110">
        <f>+VLOOKUP(Tabla1103453454455456479108130137151[[#This Row],[Ingrediente]],Tabla34[#All],3,0)</f>
        <v>37</v>
      </c>
      <c r="H33" s="111">
        <f>+Tabla1103453454455456479108130137151[[#This Row],[Costo]]*Tabla1103453454455456479108130137151[[#This Row],[Unidades]]</f>
        <v>4933.3209999999999</v>
      </c>
      <c r="I33" s="24"/>
      <c r="J33" s="24"/>
      <c r="K33" s="24"/>
    </row>
    <row r="34" spans="2:11" x14ac:dyDescent="0.3">
      <c r="B34" s="7" t="s">
        <v>35</v>
      </c>
      <c r="C34" s="109" t="s">
        <v>188</v>
      </c>
      <c r="D34" s="48">
        <v>2</v>
      </c>
      <c r="E34" s="48">
        <v>0</v>
      </c>
      <c r="F34" s="48">
        <v>2</v>
      </c>
      <c r="G34" s="110">
        <f>+VLOOKUP(Tabla1103453454455456479108130137151[[#This Row],[Ingrediente]],Tabla34[#All],3,0)</f>
        <v>4.7460000000000004</v>
      </c>
      <c r="H34" s="111">
        <f>+Tabla1103453454455456479108130137151[[#This Row],[Costo]]*Tabla1103453454455456479108130137151[[#This Row],[Unidades]]</f>
        <v>9.4920000000000009</v>
      </c>
    </row>
    <row r="35" spans="2:11" x14ac:dyDescent="0.3">
      <c r="B35" s="7" t="s">
        <v>394</v>
      </c>
      <c r="C35" s="109" t="s">
        <v>188</v>
      </c>
      <c r="D35" s="48">
        <v>20</v>
      </c>
      <c r="E35" s="48">
        <v>78</v>
      </c>
      <c r="F35" s="48">
        <v>90.909000000000006</v>
      </c>
      <c r="G35" s="110">
        <f>+VLOOKUP(Tabla1103453454455456479108130137151[[#This Row],[Ingrediente]],Tabla34[#All],3,0)</f>
        <v>4.5</v>
      </c>
      <c r="H35" s="111">
        <f>+Tabla1103453454455456479108130137151[[#This Row],[Costo]]*Tabla1103453454455456479108130137151[[#This Row],[Unidades]]</f>
        <v>409.09050000000002</v>
      </c>
    </row>
    <row r="36" spans="2:11" x14ac:dyDescent="0.3">
      <c r="B36" s="7" t="s">
        <v>402</v>
      </c>
      <c r="C36" s="109" t="s">
        <v>188</v>
      </c>
      <c r="D36" s="48">
        <v>20</v>
      </c>
      <c r="E36" s="48">
        <v>0</v>
      </c>
      <c r="F36" s="48">
        <v>20</v>
      </c>
      <c r="G36" s="110">
        <f>+VLOOKUP(Tabla1103453454455456479108130137151[[#This Row],[Ingrediente]],Tabla34[#All],3,0)</f>
        <v>13.050000000000002</v>
      </c>
      <c r="H36" s="111">
        <f>+Tabla1103453454455456479108130137151[[#This Row],[Costo]]*Tabla1103453454455456479108130137151[[#This Row],[Unidades]]</f>
        <v>261.00000000000006</v>
      </c>
    </row>
    <row r="37" spans="2:11" x14ac:dyDescent="0.3">
      <c r="B37" s="7" t="s">
        <v>482</v>
      </c>
      <c r="C37" s="109" t="s">
        <v>188</v>
      </c>
      <c r="D37" s="48">
        <v>1</v>
      </c>
      <c r="E37" s="48">
        <v>0</v>
      </c>
      <c r="F37" s="48">
        <v>1</v>
      </c>
      <c r="G37" s="110">
        <f>+VLOOKUP(Tabla1103453454455456479108130137151[[#This Row],[Ingrediente]],Tabla34[#All],3,0)</f>
        <v>2.6999075600000002</v>
      </c>
      <c r="H37" s="111">
        <f>+Tabla1103453454455456479108130137151[[#This Row],[Costo]]*Tabla1103453454455456479108130137151[[#This Row],[Unidades]]</f>
        <v>2.6999075600000002</v>
      </c>
    </row>
    <row r="38" spans="2:11" x14ac:dyDescent="0.3">
      <c r="B38" s="7" t="s">
        <v>228</v>
      </c>
      <c r="C38" s="109" t="s">
        <v>188</v>
      </c>
      <c r="D38" s="48">
        <v>2</v>
      </c>
      <c r="E38" s="48">
        <v>0</v>
      </c>
      <c r="F38" s="48">
        <v>2</v>
      </c>
      <c r="G38" s="110">
        <f>+VLOOKUP(Tabla1103453454455456479108130137151[[#This Row],[Ingrediente]],Tabla34[#All],3,0)</f>
        <v>16.11097131</v>
      </c>
      <c r="H38" s="111">
        <f>+Tabla1103453454455456479108130137151[[#This Row],[Costo]]*Tabla1103453454455456479108130137151[[#This Row],[Unidades]]</f>
        <v>32.22194262</v>
      </c>
    </row>
    <row r="39" spans="2:11" x14ac:dyDescent="0.3">
      <c r="B39" s="7" t="s">
        <v>226</v>
      </c>
      <c r="C39" s="109" t="s">
        <v>188</v>
      </c>
      <c r="D39" s="270">
        <v>80</v>
      </c>
      <c r="E39" s="48">
        <v>0</v>
      </c>
      <c r="F39" s="48">
        <v>80</v>
      </c>
      <c r="G39" s="110">
        <f>+VLOOKUP(Tabla1103453454455456479108130137151[[#This Row],[Ingrediente]],Tabla34[#All],3,0)</f>
        <v>10.179495380000001</v>
      </c>
      <c r="H39" s="111">
        <f>+Tabla1103453454455456479108130137151[[#This Row],[Costo]]*Tabla1103453454455456479108130137151[[#This Row],[Unidades]]</f>
        <v>814.35963040000001</v>
      </c>
    </row>
    <row r="40" spans="2:11" x14ac:dyDescent="0.3">
      <c r="B40" s="7" t="s">
        <v>556</v>
      </c>
      <c r="C40" s="109" t="s">
        <v>188</v>
      </c>
      <c r="D40" s="270">
        <v>40</v>
      </c>
      <c r="E40" s="48">
        <v>0</v>
      </c>
      <c r="F40" s="48">
        <v>40</v>
      </c>
      <c r="G40" s="110">
        <f>+VLOOKUP(Tabla1103453454455456479108130137151[[#This Row],[Ingrediente]],Tabla34[#All],3,0)</f>
        <v>76.437956069999998</v>
      </c>
      <c r="H40" s="111">
        <f>+Tabla1103453454455456479108130137151[[#This Row],[Costo]]*Tabla1103453454455456479108130137151[[#This Row],[Unidades]]</f>
        <v>3057.5182427999998</v>
      </c>
    </row>
    <row r="41" spans="2:11" x14ac:dyDescent="0.3">
      <c r="B41" s="7" t="s">
        <v>526</v>
      </c>
      <c r="C41" s="109" t="s">
        <v>188</v>
      </c>
      <c r="D41" s="270">
        <v>10</v>
      </c>
      <c r="E41" s="48">
        <v>0</v>
      </c>
      <c r="F41" s="48">
        <v>10</v>
      </c>
      <c r="G41" s="110">
        <f>+VLOOKUP(Tabla1103453454455456479108130137151[[#This Row],[Ingrediente]],Tabla34[#All],3,0)</f>
        <v>23.747277729999997</v>
      </c>
      <c r="H41" s="111">
        <f>+Tabla1103453454455456479108130137151[[#This Row],[Costo]]*Tabla1103453454455456479108130137151[[#This Row],[Unidades]]</f>
        <v>237.47277729999996</v>
      </c>
      <c r="I41" s="4"/>
    </row>
    <row r="42" spans="2:11" x14ac:dyDescent="0.3">
      <c r="B42" s="7" t="s">
        <v>555</v>
      </c>
      <c r="C42" s="109" t="s">
        <v>188</v>
      </c>
      <c r="D42" s="270">
        <v>80</v>
      </c>
      <c r="E42" s="48">
        <v>0</v>
      </c>
      <c r="F42" s="48">
        <v>80</v>
      </c>
      <c r="G42" s="110">
        <f>+VLOOKUP(Tabla1103453454455456479108130137151[[#This Row],[Ingrediente]],Tabla34[#All],3,0)</f>
        <v>12.444477940000001</v>
      </c>
      <c r="H42" s="111">
        <f>+Tabla1103453454455456479108130137151[[#This Row],[Costo]]*Tabla1103453454455456479108130137151[[#This Row],[Unidades]]</f>
        <v>995.55823520000001</v>
      </c>
      <c r="I42" s="4"/>
    </row>
    <row r="43" spans="2:11" x14ac:dyDescent="0.3">
      <c r="B43" s="13"/>
      <c r="C43" s="14"/>
      <c r="D43" s="14"/>
      <c r="E43" s="14"/>
      <c r="F43" s="14"/>
      <c r="G43" s="15"/>
      <c r="H43" s="15">
        <f>SUBTOTAL(109,Tabla1103453454455456479108130137151[Total costo])</f>
        <v>15762.33513585</v>
      </c>
      <c r="I43" s="4"/>
    </row>
    <row r="44" spans="2:11" s="26" customFormat="1" x14ac:dyDescent="0.3">
      <c r="B44" s="222"/>
      <c r="C44" s="223"/>
      <c r="D44" s="223"/>
      <c r="E44" s="223"/>
      <c r="F44" s="223"/>
      <c r="G44" s="268"/>
      <c r="H44" s="268"/>
      <c r="I44" s="4"/>
    </row>
    <row r="45" spans="2:11" x14ac:dyDescent="0.3">
      <c r="B45" s="89" t="s">
        <v>142</v>
      </c>
      <c r="C45" s="90"/>
      <c r="D45" s="90"/>
      <c r="E45" s="90"/>
      <c r="F45" s="90"/>
      <c r="G45" s="90"/>
      <c r="H45" s="90"/>
      <c r="I45" s="4"/>
      <c r="J45" s="277" t="s">
        <v>0</v>
      </c>
      <c r="K45" s="277"/>
    </row>
    <row r="46" spans="2:11" x14ac:dyDescent="0.3">
      <c r="B46" s="91" t="s">
        <v>1</v>
      </c>
      <c r="C46" s="14" t="s">
        <v>2</v>
      </c>
      <c r="D46" s="14" t="s">
        <v>571</v>
      </c>
      <c r="E46" s="14" t="s">
        <v>572</v>
      </c>
      <c r="F46" s="14" t="s">
        <v>573</v>
      </c>
      <c r="G46" s="92" t="s">
        <v>4</v>
      </c>
      <c r="H46" s="92" t="s">
        <v>5</v>
      </c>
      <c r="I46" s="4"/>
      <c r="J46" s="5" t="s">
        <v>6</v>
      </c>
      <c r="K46" s="6">
        <f>SUM(Tabla1103453454455456479108131138152[Total costo])</f>
        <v>14813.429384980001</v>
      </c>
    </row>
    <row r="47" spans="2:11" x14ac:dyDescent="0.3">
      <c r="B47" s="7" t="s">
        <v>406</v>
      </c>
      <c r="C47" s="109" t="s">
        <v>188</v>
      </c>
      <c r="D47" s="48">
        <v>60</v>
      </c>
      <c r="E47" s="48">
        <v>25</v>
      </c>
      <c r="F47" s="48">
        <v>80</v>
      </c>
      <c r="G47" s="110">
        <f>+VLOOKUP(Tabla1103453454455456479108131138152[[#This Row],[Ingrediente]],Tabla34[#All],3,0)</f>
        <v>14</v>
      </c>
      <c r="H47" s="111">
        <f>+Tabla1103453454455456479108131138152[[#This Row],[Costo]]*Tabla1103453454455456479108131138152[[#This Row],[Unidades]]</f>
        <v>1120</v>
      </c>
      <c r="I47" s="4"/>
      <c r="J47" s="5" t="s">
        <v>113</v>
      </c>
      <c r="K47" s="6">
        <f>+K46*5%</f>
        <v>740.6714692490001</v>
      </c>
    </row>
    <row r="48" spans="2:11" x14ac:dyDescent="0.3">
      <c r="B48" s="21" t="s">
        <v>373</v>
      </c>
      <c r="C48" s="109" t="s">
        <v>570</v>
      </c>
      <c r="D48" s="48">
        <v>7</v>
      </c>
      <c r="E48" s="48">
        <v>0</v>
      </c>
      <c r="F48" s="48">
        <v>7</v>
      </c>
      <c r="G48" s="110">
        <f>+VLOOKUP(Tabla1103453454455456479108131138152[[#This Row],[Ingrediente]],Tabla34[#All],3,0)</f>
        <v>485.71428571000001</v>
      </c>
      <c r="H48" s="111">
        <f>+Tabla1103453454455456479108131138152[[#This Row],[Costo]]*Tabla1103453454455456479108131138152[[#This Row],[Unidades]]</f>
        <v>3399.9999999700003</v>
      </c>
      <c r="I48" s="4"/>
      <c r="J48" s="5" t="s">
        <v>9</v>
      </c>
      <c r="K48" s="6">
        <f>+K46+K47</f>
        <v>15554.100854229002</v>
      </c>
    </row>
    <row r="49" spans="2:12" x14ac:dyDescent="0.3">
      <c r="B49" s="7" t="s">
        <v>398</v>
      </c>
      <c r="C49" s="109" t="s">
        <v>188</v>
      </c>
      <c r="D49" s="48">
        <v>49.999999500000001</v>
      </c>
      <c r="E49" s="48">
        <v>27</v>
      </c>
      <c r="F49" s="48">
        <v>68.49315</v>
      </c>
      <c r="G49" s="110">
        <f>+VLOOKUP(Tabla1103453454455456479108131138152[[#This Row],[Ingrediente]],Tabla34[#All],3,0)</f>
        <v>3.7999999999999994</v>
      </c>
      <c r="H49" s="111">
        <f>+Tabla1103453454455456479108131138152[[#This Row],[Costo]]*Tabla1103453454455456479108131138152[[#This Row],[Unidades]]</f>
        <v>260.27396999999996</v>
      </c>
      <c r="I49" s="4"/>
      <c r="J49" s="17" t="s">
        <v>10</v>
      </c>
      <c r="K49" s="112">
        <v>47900</v>
      </c>
    </row>
    <row r="50" spans="2:12" x14ac:dyDescent="0.3">
      <c r="B50" s="21" t="s">
        <v>446</v>
      </c>
      <c r="C50" s="109" t="s">
        <v>188</v>
      </c>
      <c r="D50" s="48">
        <v>1.9999999799999999</v>
      </c>
      <c r="E50" s="48">
        <v>40</v>
      </c>
      <c r="F50" s="48">
        <v>3.3333333000000001</v>
      </c>
      <c r="G50" s="110">
        <f>+VLOOKUP(Tabla1103453454455456479108131138152[[#This Row],[Ingrediente]],Tabla34[#All],3,0)</f>
        <v>5.5</v>
      </c>
      <c r="H50" s="111">
        <f>+Tabla1103453454455456479108131138152[[#This Row],[Costo]]*Tabla1103453454455456479108131138152[[#This Row],[Unidades]]</f>
        <v>18.333333150000001</v>
      </c>
      <c r="I50" s="4"/>
      <c r="J50" s="5" t="s">
        <v>11</v>
      </c>
      <c r="K50" s="6">
        <f>+K49/1.08*0.08</f>
        <v>3548.1481481481478</v>
      </c>
    </row>
    <row r="51" spans="2:12" x14ac:dyDescent="0.3">
      <c r="B51" s="7" t="s">
        <v>368</v>
      </c>
      <c r="C51" s="109" t="s">
        <v>188</v>
      </c>
      <c r="D51" s="48">
        <v>59.9999976</v>
      </c>
      <c r="E51" s="48">
        <v>10</v>
      </c>
      <c r="F51" s="48">
        <v>66.666663999999997</v>
      </c>
      <c r="G51" s="110">
        <f>+VLOOKUP(Tabla1103453454455456479108131138152[[#This Row],[Ingrediente]],Tabla34[#All],3,0)</f>
        <v>37</v>
      </c>
      <c r="H51" s="111">
        <f>+Tabla1103453454455456479108131138152[[#This Row],[Costo]]*Tabla1103453454455456479108131138152[[#This Row],[Unidades]]</f>
        <v>2466.6665680000001</v>
      </c>
      <c r="I51" s="4"/>
      <c r="J51" s="5" t="s">
        <v>12</v>
      </c>
      <c r="K51" s="6">
        <f>+K49-K50</f>
        <v>44351.851851851854</v>
      </c>
    </row>
    <row r="52" spans="2:12" x14ac:dyDescent="0.3">
      <c r="B52" s="21" t="s">
        <v>394</v>
      </c>
      <c r="C52" s="109" t="s">
        <v>188</v>
      </c>
      <c r="D52" s="48">
        <v>19.999999800000001</v>
      </c>
      <c r="E52" s="48">
        <v>78</v>
      </c>
      <c r="F52" s="48">
        <v>90.909090000000006</v>
      </c>
      <c r="G52" s="110">
        <f>+VLOOKUP(Tabla1103453454455456479108131138152[[#This Row],[Ingrediente]],Tabla34[#All],3,0)</f>
        <v>4.5</v>
      </c>
      <c r="H52" s="111">
        <f>+Tabla1103453454455456479108131138152[[#This Row],[Costo]]*Tabla1103453454455456479108131138152[[#This Row],[Unidades]]</f>
        <v>409.09090500000002</v>
      </c>
      <c r="I52" s="4"/>
      <c r="J52" s="5" t="s">
        <v>13</v>
      </c>
      <c r="K52" s="113">
        <f>+K48/K51</f>
        <v>0.35069788982395245</v>
      </c>
    </row>
    <row r="53" spans="2:12" x14ac:dyDescent="0.3">
      <c r="B53" s="7" t="s">
        <v>447</v>
      </c>
      <c r="C53" s="109" t="s">
        <v>570</v>
      </c>
      <c r="D53" s="48">
        <v>1</v>
      </c>
      <c r="E53" s="48">
        <v>0</v>
      </c>
      <c r="F53" s="48">
        <v>1</v>
      </c>
      <c r="G53" s="110">
        <f>+VLOOKUP(Tabla1103453454455456479108131138152[[#This Row],[Ingrediente]],Tabla34[#All],3,0)</f>
        <v>773.5</v>
      </c>
      <c r="H53" s="111">
        <f>+Tabla1103453454455456479108131138152[[#This Row],[Costo]]*Tabla1103453454455456479108131138152[[#This Row],[Unidades]]</f>
        <v>773.5</v>
      </c>
      <c r="I53" s="24"/>
      <c r="J53" s="5" t="s">
        <v>14</v>
      </c>
      <c r="K53" s="20">
        <f>+K51-K48</f>
        <v>28797.750997622854</v>
      </c>
    </row>
    <row r="54" spans="2:12" x14ac:dyDescent="0.3">
      <c r="B54" s="7" t="s">
        <v>482</v>
      </c>
      <c r="C54" s="109" t="s">
        <v>188</v>
      </c>
      <c r="D54" s="48">
        <v>1</v>
      </c>
      <c r="E54" s="48">
        <v>0</v>
      </c>
      <c r="F54" s="48">
        <v>1</v>
      </c>
      <c r="G54" s="110">
        <f>+VLOOKUP(Tabla1103453454455456479108131138152[[#This Row],[Ingrediente]],Tabla34[#All],3,0)</f>
        <v>2.6999075600000002</v>
      </c>
      <c r="H54" s="111">
        <f>+Tabla1103453454455456479108131138152[[#This Row],[Costo]]*Tabla1103453454455456479108131138152[[#This Row],[Unidades]]</f>
        <v>2.6999075600000002</v>
      </c>
      <c r="J54" s="5" t="s">
        <v>15</v>
      </c>
      <c r="K54" s="22">
        <f>+K53/K48</f>
        <v>1.8514571345210893</v>
      </c>
    </row>
    <row r="55" spans="2:12" x14ac:dyDescent="0.3">
      <c r="B55" s="21" t="s">
        <v>556</v>
      </c>
      <c r="C55" s="109" t="s">
        <v>188</v>
      </c>
      <c r="D55" s="48">
        <v>40</v>
      </c>
      <c r="E55" s="48">
        <v>0</v>
      </c>
      <c r="F55" s="48">
        <v>40</v>
      </c>
      <c r="G55" s="110">
        <f>+VLOOKUP(Tabla1103453454455456479108131138152[[#This Row],[Ingrediente]],Tabla34[#All],3,0)</f>
        <v>76.437956069999998</v>
      </c>
      <c r="H55" s="111">
        <f>+Tabla1103453454455456479108131138152[[#This Row],[Costo]]*Tabla1103453454455456479108131138152[[#This Row],[Unidades]]</f>
        <v>3057.5182427999998</v>
      </c>
      <c r="J55" s="4"/>
      <c r="K55" s="114"/>
    </row>
    <row r="56" spans="2:12" s="26" customFormat="1" x14ac:dyDescent="0.3">
      <c r="B56" s="7" t="s">
        <v>96</v>
      </c>
      <c r="C56" s="109" t="s">
        <v>188</v>
      </c>
      <c r="D56" s="48">
        <v>50</v>
      </c>
      <c r="E56" s="48">
        <v>0</v>
      </c>
      <c r="F56" s="48">
        <v>50</v>
      </c>
      <c r="G56" s="110">
        <f>+VLOOKUP(Tabla1103453454455456479108131138152[[#This Row],[Ingrediente]],Tabla34[#All],3,0)</f>
        <v>28.798282929999999</v>
      </c>
      <c r="H56" s="111">
        <f>+Tabla1103453454455456479108131138152[[#This Row],[Costo]]*Tabla1103453454455456479108131138152[[#This Row],[Unidades]]</f>
        <v>1439.9141465</v>
      </c>
      <c r="J56" s="4"/>
      <c r="K56" s="114"/>
    </row>
    <row r="57" spans="2:12" x14ac:dyDescent="0.3">
      <c r="B57" s="7" t="s">
        <v>449</v>
      </c>
      <c r="C57" s="109" t="s">
        <v>188</v>
      </c>
      <c r="D57" s="48">
        <v>80</v>
      </c>
      <c r="E57" s="48">
        <v>0</v>
      </c>
      <c r="F57" s="48">
        <v>80</v>
      </c>
      <c r="G57" s="110">
        <f>+VLOOKUP(Tabla1103453454455456479108131138152[[#This Row],[Ingrediente]],Tabla34[#All],3,0)</f>
        <v>23.317903900000001</v>
      </c>
      <c r="H57" s="111">
        <f>+Tabla1103453454455456479108131138152[[#This Row],[Costo]]*Tabla1103453454455456479108131138152[[#This Row],[Unidades]]</f>
        <v>1865.4323120000001</v>
      </c>
      <c r="I57" s="4"/>
      <c r="J57" s="24"/>
      <c r="K57" s="24"/>
    </row>
    <row r="58" spans="2:12" x14ac:dyDescent="0.3">
      <c r="B58" s="7" t="s">
        <v>389</v>
      </c>
      <c r="C58" s="109" t="s">
        <v>188</v>
      </c>
      <c r="D58" s="48">
        <v>2</v>
      </c>
      <c r="E58" s="48">
        <v>0</v>
      </c>
      <c r="F58" s="48">
        <v>2</v>
      </c>
      <c r="G58" s="110">
        <f>+VLOOKUP(Tabla1103453454455456479108131138152[[#This Row],[Ingrediente]],Tabla34[#All],3,0)</f>
        <v>0</v>
      </c>
      <c r="H58" s="111">
        <f>+Tabla1103453454455456479108131138152[[#This Row],[Costo]]*Tabla1103453454455456479108131138152[[#This Row],[Unidades]]</f>
        <v>0</v>
      </c>
      <c r="I58" s="4"/>
      <c r="L58" s="44"/>
    </row>
    <row r="59" spans="2:12" x14ac:dyDescent="0.3">
      <c r="B59" s="13"/>
      <c r="C59" s="14"/>
      <c r="D59" s="14"/>
      <c r="E59" s="14"/>
      <c r="F59" s="14"/>
      <c r="G59" s="15"/>
      <c r="H59" s="15">
        <f>SUBTOTAL(109,Tabla1103453454455456479108131138152[Total costo])</f>
        <v>14813.429384980001</v>
      </c>
      <c r="I59" s="4"/>
    </row>
    <row r="60" spans="2:12" x14ac:dyDescent="0.3">
      <c r="B60" s="45"/>
      <c r="C60" s="46"/>
      <c r="D60" s="46"/>
      <c r="E60" s="46"/>
      <c r="F60" s="46"/>
      <c r="G60" s="98"/>
      <c r="H60" s="98"/>
      <c r="I60" s="4"/>
      <c r="J60" s="26"/>
      <c r="K60" s="26"/>
    </row>
    <row r="61" spans="2:12" x14ac:dyDescent="0.3">
      <c r="B61" s="89" t="s">
        <v>143</v>
      </c>
      <c r="C61" s="90"/>
      <c r="D61" s="90"/>
      <c r="E61" s="90"/>
      <c r="F61" s="90"/>
      <c r="G61" s="90"/>
      <c r="H61" s="90"/>
      <c r="I61" s="4"/>
      <c r="J61" s="277" t="s">
        <v>0</v>
      </c>
      <c r="K61" s="277"/>
    </row>
    <row r="62" spans="2:12" x14ac:dyDescent="0.3">
      <c r="B62" s="91" t="s">
        <v>1</v>
      </c>
      <c r="C62" s="14" t="s">
        <v>2</v>
      </c>
      <c r="D62" s="14" t="s">
        <v>571</v>
      </c>
      <c r="E62" s="14" t="s">
        <v>572</v>
      </c>
      <c r="F62" s="14" t="s">
        <v>573</v>
      </c>
      <c r="G62" s="92" t="s">
        <v>4</v>
      </c>
      <c r="H62" s="92" t="s">
        <v>5</v>
      </c>
      <c r="I62" s="4"/>
      <c r="J62" s="5" t="s">
        <v>6</v>
      </c>
      <c r="K62" s="6">
        <f>SUM(Tabla1103453454455456479108132139153[Total costo])</f>
        <v>14943.798339269999</v>
      </c>
    </row>
    <row r="63" spans="2:12" x14ac:dyDescent="0.3">
      <c r="B63" s="7" t="s">
        <v>470</v>
      </c>
      <c r="C63" s="109" t="s">
        <v>188</v>
      </c>
      <c r="D63" s="48">
        <v>2</v>
      </c>
      <c r="E63" s="48">
        <v>10</v>
      </c>
      <c r="F63" s="48">
        <v>2.222</v>
      </c>
      <c r="G63" s="110">
        <f>+VLOOKUP(Tabla1103453454455456479108132139153[[#This Row],[Ingrediente]],Tabla34[#All],3,0)</f>
        <v>8</v>
      </c>
      <c r="H63" s="111">
        <f>+Tabla1103453454455456479108132139153[[#This Row],[Costo]]*Tabla1103453454455456479108132139153[[#This Row],[Unidades]]</f>
        <v>17.776</v>
      </c>
      <c r="I63" s="4"/>
      <c r="J63" s="5" t="s">
        <v>113</v>
      </c>
      <c r="K63" s="6">
        <f>+K62*5%</f>
        <v>747.18991696349997</v>
      </c>
    </row>
    <row r="64" spans="2:12" x14ac:dyDescent="0.3">
      <c r="B64" s="7" t="s">
        <v>480</v>
      </c>
      <c r="C64" s="109" t="s">
        <v>188</v>
      </c>
      <c r="D64" s="48">
        <v>1</v>
      </c>
      <c r="E64" s="48">
        <v>0</v>
      </c>
      <c r="F64" s="48">
        <v>1</v>
      </c>
      <c r="G64" s="110">
        <f>+VLOOKUP(Tabla1103453454455456479108132139153[[#This Row],[Ingrediente]],Tabla34[#All],3,0)</f>
        <v>328.34</v>
      </c>
      <c r="H64" s="111">
        <f>+Tabla1103453454455456479108132139153[[#This Row],[Costo]]*Tabla1103453454455456479108132139153[[#This Row],[Unidades]]</f>
        <v>328.34</v>
      </c>
      <c r="I64" s="4"/>
      <c r="J64" s="5" t="s">
        <v>9</v>
      </c>
      <c r="K64" s="6">
        <f>+K62+K63</f>
        <v>15690.988256233499</v>
      </c>
    </row>
    <row r="65" spans="2:12" x14ac:dyDescent="0.3">
      <c r="B65" s="7" t="s">
        <v>373</v>
      </c>
      <c r="C65" s="109" t="s">
        <v>570</v>
      </c>
      <c r="D65" s="48">
        <v>7</v>
      </c>
      <c r="E65" s="48">
        <v>0</v>
      </c>
      <c r="F65" s="48">
        <v>7</v>
      </c>
      <c r="G65" s="110">
        <f>+VLOOKUP(Tabla1103453454455456479108132139153[[#This Row],[Ingrediente]],Tabla34[#All],3,0)</f>
        <v>485.71428571000001</v>
      </c>
      <c r="H65" s="111">
        <f>+Tabla1103453454455456479108132139153[[#This Row],[Costo]]*Tabla1103453454455456479108132139153[[#This Row],[Unidades]]</f>
        <v>3399.9999999700003</v>
      </c>
      <c r="I65" s="4"/>
      <c r="J65" s="17" t="s">
        <v>10</v>
      </c>
      <c r="K65" s="112">
        <v>52000</v>
      </c>
    </row>
    <row r="66" spans="2:12" x14ac:dyDescent="0.3">
      <c r="B66" s="7" t="s">
        <v>398</v>
      </c>
      <c r="C66" s="109" t="s">
        <v>188</v>
      </c>
      <c r="D66" s="48">
        <v>50</v>
      </c>
      <c r="E66" s="48">
        <v>27</v>
      </c>
      <c r="F66" s="48">
        <v>68.492999999999995</v>
      </c>
      <c r="G66" s="110">
        <f>+VLOOKUP(Tabla1103453454455456479108132139153[[#This Row],[Ingrediente]],Tabla34[#All],3,0)</f>
        <v>3.7999999999999994</v>
      </c>
      <c r="H66" s="111">
        <f>+Tabla1103453454455456479108132139153[[#This Row],[Costo]]*Tabla1103453454455456479108132139153[[#This Row],[Unidades]]</f>
        <v>260.27339999999992</v>
      </c>
      <c r="I66" s="4"/>
      <c r="J66" s="5" t="s">
        <v>11</v>
      </c>
      <c r="K66" s="6">
        <f>+K65/1.08*0.08</f>
        <v>3851.8518518518517</v>
      </c>
    </row>
    <row r="67" spans="2:12" x14ac:dyDescent="0.3">
      <c r="B67" s="21" t="s">
        <v>446</v>
      </c>
      <c r="C67" s="109" t="s">
        <v>188</v>
      </c>
      <c r="D67" s="48">
        <v>2</v>
      </c>
      <c r="E67" s="48">
        <v>40</v>
      </c>
      <c r="F67" s="48">
        <v>3.3330000000000002</v>
      </c>
      <c r="G67" s="110">
        <f>+VLOOKUP(Tabla1103453454455456479108132139153[[#This Row],[Ingrediente]],Tabla34[#All],3,0)</f>
        <v>5.5</v>
      </c>
      <c r="H67" s="111">
        <f>+Tabla1103453454455456479108132139153[[#This Row],[Costo]]*Tabla1103453454455456479108132139153[[#This Row],[Unidades]]</f>
        <v>18.331500000000002</v>
      </c>
      <c r="I67" s="4"/>
      <c r="J67" s="5" t="s">
        <v>12</v>
      </c>
      <c r="K67" s="6">
        <f>+K65-K66</f>
        <v>48148.148148148146</v>
      </c>
    </row>
    <row r="68" spans="2:12" x14ac:dyDescent="0.3">
      <c r="B68" s="7" t="s">
        <v>368</v>
      </c>
      <c r="C68" s="109" t="s">
        <v>188</v>
      </c>
      <c r="D68" s="48">
        <v>60</v>
      </c>
      <c r="E68" s="48">
        <v>10</v>
      </c>
      <c r="F68" s="48">
        <v>66.667000000000002</v>
      </c>
      <c r="G68" s="110">
        <f>+VLOOKUP(Tabla1103453454455456479108132139153[[#This Row],[Ingrediente]],Tabla34[#All],3,0)</f>
        <v>37</v>
      </c>
      <c r="H68" s="111">
        <f>+Tabla1103453454455456479108132139153[[#This Row],[Costo]]*Tabla1103453454455456479108132139153[[#This Row],[Unidades]]</f>
        <v>2466.6790000000001</v>
      </c>
      <c r="I68" s="4"/>
      <c r="J68" s="5" t="s">
        <v>13</v>
      </c>
      <c r="K68" s="113">
        <f>+K64/K67</f>
        <v>0.32588975609100346</v>
      </c>
    </row>
    <row r="69" spans="2:12" x14ac:dyDescent="0.3">
      <c r="B69" s="7" t="s">
        <v>35</v>
      </c>
      <c r="C69" s="109" t="s">
        <v>188</v>
      </c>
      <c r="D69" s="48">
        <v>5</v>
      </c>
      <c r="E69" s="48">
        <v>0</v>
      </c>
      <c r="F69" s="48">
        <v>5</v>
      </c>
      <c r="G69" s="110">
        <f>+VLOOKUP(Tabla1103453454455456479108132139153[[#This Row],[Ingrediente]],Tabla34[#All],3,0)</f>
        <v>4.7460000000000004</v>
      </c>
      <c r="H69" s="111">
        <f>+Tabla1103453454455456479108132139153[[#This Row],[Costo]]*Tabla1103453454455456479108132139153[[#This Row],[Unidades]]</f>
        <v>23.730000000000004</v>
      </c>
      <c r="I69" s="24"/>
      <c r="J69" s="5" t="s">
        <v>14</v>
      </c>
      <c r="K69" s="20">
        <f>+K67-K64</f>
        <v>32457.159891914649</v>
      </c>
    </row>
    <row r="70" spans="2:12" x14ac:dyDescent="0.3">
      <c r="B70" s="21" t="s">
        <v>394</v>
      </c>
      <c r="C70" s="109" t="s">
        <v>188</v>
      </c>
      <c r="D70" s="48">
        <v>20</v>
      </c>
      <c r="E70" s="48">
        <v>78</v>
      </c>
      <c r="F70" s="48">
        <v>90.909000000000006</v>
      </c>
      <c r="G70" s="110">
        <f>+VLOOKUP(Tabla1103453454455456479108132139153[[#This Row],[Ingrediente]],Tabla34[#All],3,0)</f>
        <v>4.5</v>
      </c>
      <c r="H70" s="111">
        <f>+Tabla1103453454455456479108132139153[[#This Row],[Costo]]*Tabla1103453454455456479108132139153[[#This Row],[Unidades]]</f>
        <v>409.09050000000002</v>
      </c>
      <c r="J70" s="5" t="s">
        <v>15</v>
      </c>
      <c r="K70" s="22">
        <f>+K69/K64</f>
        <v>2.068522349382329</v>
      </c>
    </row>
    <row r="71" spans="2:12" x14ac:dyDescent="0.3">
      <c r="B71" s="21" t="s">
        <v>39</v>
      </c>
      <c r="C71" s="109" t="s">
        <v>188</v>
      </c>
      <c r="D71" s="48">
        <v>15</v>
      </c>
      <c r="E71" s="48">
        <v>0</v>
      </c>
      <c r="F71" s="48">
        <v>15</v>
      </c>
      <c r="G71" s="110">
        <f>+VLOOKUP(Tabla1103453454455456479108132139153[[#This Row],[Ingrediente]],Tabla34[#All],3,0)</f>
        <v>21.754385959999997</v>
      </c>
      <c r="H71" s="111">
        <f>+Tabla1103453454455456479108132139153[[#This Row],[Costo]]*Tabla1103453454455456479108132139153[[#This Row],[Unidades]]</f>
        <v>326.31578939999997</v>
      </c>
      <c r="I71" s="4"/>
      <c r="J71" s="4"/>
      <c r="K71" s="114"/>
    </row>
    <row r="72" spans="2:12" x14ac:dyDescent="0.3">
      <c r="B72" s="7" t="s">
        <v>437</v>
      </c>
      <c r="C72" s="109" t="s">
        <v>188</v>
      </c>
      <c r="D72" s="48">
        <v>20</v>
      </c>
      <c r="E72" s="48">
        <v>30</v>
      </c>
      <c r="F72" s="48">
        <v>28.571000000000002</v>
      </c>
      <c r="G72" s="110">
        <f>+VLOOKUP(Tabla1103453454455456479108132139153[[#This Row],[Ingrediente]],Tabla34[#All],3,0)</f>
        <v>3</v>
      </c>
      <c r="H72" s="111">
        <f>+Tabla1103453454455456479108132139153[[#This Row],[Costo]]*Tabla1103453454455456479108132139153[[#This Row],[Unidades]]</f>
        <v>85.713000000000008</v>
      </c>
      <c r="J72" s="4"/>
      <c r="K72" s="114"/>
    </row>
    <row r="73" spans="2:12" x14ac:dyDescent="0.3">
      <c r="B73" s="7" t="s">
        <v>226</v>
      </c>
      <c r="C73" s="109" t="s">
        <v>188</v>
      </c>
      <c r="D73" s="48">
        <v>80</v>
      </c>
      <c r="E73" s="48">
        <v>0</v>
      </c>
      <c r="F73" s="48">
        <v>80</v>
      </c>
      <c r="G73" s="110">
        <f>+VLOOKUP(Tabla1103453454455456479108132139153[[#This Row],[Ingrediente]],Tabla34[#All],3,0)</f>
        <v>10.179495380000001</v>
      </c>
      <c r="H73" s="111">
        <f>+Tabla1103453454455456479108132139153[[#This Row],[Costo]]*Tabla1103453454455456479108132139153[[#This Row],[Unidades]]</f>
        <v>814.35963040000001</v>
      </c>
      <c r="J73" s="24"/>
      <c r="K73" s="24"/>
    </row>
    <row r="74" spans="2:12" x14ac:dyDescent="0.3">
      <c r="B74" s="21" t="s">
        <v>556</v>
      </c>
      <c r="C74" s="109" t="s">
        <v>188</v>
      </c>
      <c r="D74" s="48">
        <v>80</v>
      </c>
      <c r="E74" s="48">
        <v>0</v>
      </c>
      <c r="F74" s="48">
        <v>80</v>
      </c>
      <c r="G74" s="110">
        <f>+VLOOKUP(Tabla1103453454455456479108132139153[[#This Row],[Ingrediente]],Tabla34[#All],3,0)</f>
        <v>76.437956069999998</v>
      </c>
      <c r="H74" s="111">
        <f>+Tabla1103453454455456479108132139153[[#This Row],[Costo]]*Tabla1103453454455456479108132139153[[#This Row],[Unidades]]</f>
        <v>6115.0364855999997</v>
      </c>
    </row>
    <row r="75" spans="2:12" x14ac:dyDescent="0.3">
      <c r="B75" s="7" t="s">
        <v>662</v>
      </c>
      <c r="C75" s="109" t="s">
        <v>188</v>
      </c>
      <c r="D75" s="48">
        <v>30</v>
      </c>
      <c r="E75" s="48">
        <v>0</v>
      </c>
      <c r="F75" s="48">
        <v>30</v>
      </c>
      <c r="G75" s="110">
        <f>+VLOOKUP(Tabla1103453454455456479108132139153[[#This Row],[Ingrediente]],Tabla34[#All],3,0)</f>
        <v>11.90893019</v>
      </c>
      <c r="H75" s="111">
        <f>+Tabla1103453454455456479108132139153[[#This Row],[Costo]]*Tabla1103453454455456479108132139153[[#This Row],[Unidades]]</f>
        <v>357.26790569999997</v>
      </c>
    </row>
    <row r="76" spans="2:12" x14ac:dyDescent="0.3">
      <c r="B76" s="7" t="s">
        <v>593</v>
      </c>
      <c r="C76" s="109" t="s">
        <v>188</v>
      </c>
      <c r="D76" s="48">
        <v>5</v>
      </c>
      <c r="E76" s="48">
        <v>0</v>
      </c>
      <c r="F76" s="48">
        <v>5</v>
      </c>
      <c r="G76" s="110">
        <f>+VLOOKUP(Tabla1103453454455456479108132139153[[#This Row],[Ingrediente]],Tabla34[#All],3,0)</f>
        <v>16.682470179999999</v>
      </c>
      <c r="H76" s="111">
        <f>+Tabla1103453454455456479108132139153[[#This Row],[Costo]]*Tabla1103453454455456479108132139153[[#This Row],[Unidades]]</f>
        <v>83.412350899999993</v>
      </c>
    </row>
    <row r="77" spans="2:12" x14ac:dyDescent="0.3">
      <c r="B77" s="7" t="s">
        <v>526</v>
      </c>
      <c r="C77" s="109" t="s">
        <v>188</v>
      </c>
      <c r="D77" s="48">
        <v>10</v>
      </c>
      <c r="E77" s="48">
        <v>0</v>
      </c>
      <c r="F77" s="48">
        <v>10</v>
      </c>
      <c r="G77" s="110">
        <f>+VLOOKUP(Tabla1103453454455456479108132139153[[#This Row],[Ingrediente]],Tabla34[#All],3,0)</f>
        <v>23.747277729999997</v>
      </c>
      <c r="H77" s="111">
        <f>+Tabla1103453454455456479108132139153[[#This Row],[Costo]]*Tabla1103453454455456479108132139153[[#This Row],[Unidades]]</f>
        <v>237.47277729999996</v>
      </c>
    </row>
    <row r="78" spans="2:12" x14ac:dyDescent="0.3">
      <c r="B78" s="13"/>
      <c r="C78" s="14"/>
      <c r="D78" s="14"/>
      <c r="E78" s="14"/>
      <c r="F78" s="14"/>
      <c r="G78" s="15"/>
      <c r="H78" s="15">
        <f>SUBTOTAL(109,Tabla1103453454455456479108132139153[Total costo])</f>
        <v>14943.798339269999</v>
      </c>
    </row>
    <row r="79" spans="2:12" x14ac:dyDescent="0.3">
      <c r="I79" s="4"/>
      <c r="L79" s="44"/>
    </row>
    <row r="80" spans="2:12" x14ac:dyDescent="0.3">
      <c r="I80" s="4"/>
    </row>
    <row r="81" spans="2:12" x14ac:dyDescent="0.3">
      <c r="I81" s="4"/>
    </row>
    <row r="82" spans="2:12" x14ac:dyDescent="0.3">
      <c r="B82" s="89" t="s">
        <v>144</v>
      </c>
      <c r="C82" s="90"/>
      <c r="D82" s="90"/>
      <c r="E82" s="90"/>
      <c r="F82" s="90"/>
      <c r="G82" s="90"/>
      <c r="H82" s="90"/>
      <c r="I82" s="4"/>
      <c r="J82" s="277" t="s">
        <v>0</v>
      </c>
      <c r="K82" s="277"/>
    </row>
    <row r="83" spans="2:12" x14ac:dyDescent="0.3">
      <c r="B83" s="91" t="s">
        <v>1</v>
      </c>
      <c r="C83" s="14" t="s">
        <v>2</v>
      </c>
      <c r="D83" s="14" t="s">
        <v>571</v>
      </c>
      <c r="E83" s="14" t="s">
        <v>572</v>
      </c>
      <c r="F83" s="14" t="s">
        <v>573</v>
      </c>
      <c r="G83" s="92" t="s">
        <v>4</v>
      </c>
      <c r="H83" s="92" t="s">
        <v>5</v>
      </c>
      <c r="I83" s="4"/>
      <c r="J83" s="5" t="s">
        <v>6</v>
      </c>
      <c r="K83" s="6">
        <f>SUM(Tabla1103453454455456479108133140154[Total costo])</f>
        <v>8806.8313397000002</v>
      </c>
    </row>
    <row r="84" spans="2:12" x14ac:dyDescent="0.3">
      <c r="B84" s="7" t="s">
        <v>470</v>
      </c>
      <c r="C84" s="109" t="s">
        <v>188</v>
      </c>
      <c r="D84" s="48">
        <v>2</v>
      </c>
      <c r="E84" s="48">
        <v>10</v>
      </c>
      <c r="F84" s="48">
        <v>2.222</v>
      </c>
      <c r="G84" s="110">
        <f>+VLOOKUP(Tabla1103453454455456479108133140154[[#This Row],[Ingrediente]],Tabla34[#All],3,0)</f>
        <v>8</v>
      </c>
      <c r="H84" s="111">
        <f>+Tabla1103453454455456479108133140154[[#This Row],[Costo]]*Tabla1103453454455456479108133140154[[#This Row],[Unidades]]</f>
        <v>17.776</v>
      </c>
      <c r="I84" s="4"/>
      <c r="J84" s="5" t="s">
        <v>113</v>
      </c>
      <c r="K84" s="6">
        <f>+K83*5%</f>
        <v>440.34156698500004</v>
      </c>
    </row>
    <row r="85" spans="2:12" x14ac:dyDescent="0.3">
      <c r="B85" s="21" t="s">
        <v>480</v>
      </c>
      <c r="C85" s="109" t="s">
        <v>188</v>
      </c>
      <c r="D85" s="48">
        <v>1</v>
      </c>
      <c r="E85" s="48">
        <v>0</v>
      </c>
      <c r="F85" s="48">
        <v>1</v>
      </c>
      <c r="G85" s="110">
        <f>+VLOOKUP(Tabla1103453454455456479108133140154[[#This Row],[Ingrediente]],Tabla34[#All],3,0)</f>
        <v>328.34</v>
      </c>
      <c r="H85" s="111">
        <f>+Tabla1103453454455456479108133140154[[#This Row],[Costo]]*Tabla1103453454455456479108133140154[[#This Row],[Unidades]]</f>
        <v>328.34</v>
      </c>
      <c r="I85" s="4"/>
      <c r="J85" s="5" t="s">
        <v>9</v>
      </c>
      <c r="K85" s="6">
        <f>+K83+K84</f>
        <v>9247.1729066850003</v>
      </c>
    </row>
    <row r="86" spans="2:12" x14ac:dyDescent="0.3">
      <c r="B86" s="7" t="s">
        <v>398</v>
      </c>
      <c r="C86" s="109" t="s">
        <v>188</v>
      </c>
      <c r="D86" s="48">
        <v>50</v>
      </c>
      <c r="E86" s="48">
        <v>27</v>
      </c>
      <c r="F86" s="48">
        <v>68.492999999999995</v>
      </c>
      <c r="G86" s="110">
        <f>+VLOOKUP(Tabla1103453454455456479108133140154[[#This Row],[Ingrediente]],Tabla34[#All],3,0)</f>
        <v>3.7999999999999994</v>
      </c>
      <c r="H86" s="111">
        <f>+Tabla1103453454455456479108133140154[[#This Row],[Costo]]*Tabla1103453454455456479108133140154[[#This Row],[Unidades]]</f>
        <v>260.27339999999992</v>
      </c>
      <c r="I86" s="4"/>
      <c r="J86" s="17" t="s">
        <v>10</v>
      </c>
      <c r="K86" s="112">
        <v>39900</v>
      </c>
    </row>
    <row r="87" spans="2:12" x14ac:dyDescent="0.3">
      <c r="B87" s="7" t="s">
        <v>446</v>
      </c>
      <c r="C87" s="109" t="s">
        <v>188</v>
      </c>
      <c r="D87" s="48">
        <v>2</v>
      </c>
      <c r="E87" s="48">
        <v>40</v>
      </c>
      <c r="F87" s="48">
        <v>3.3330000000000002</v>
      </c>
      <c r="G87" s="110">
        <f>+VLOOKUP(Tabla1103453454455456479108133140154[[#This Row],[Ingrediente]],Tabla34[#All],3,0)</f>
        <v>5.5</v>
      </c>
      <c r="H87" s="111">
        <f>+Tabla1103453454455456479108133140154[[#This Row],[Costo]]*Tabla1103453454455456479108133140154[[#This Row],[Unidades]]</f>
        <v>18.331500000000002</v>
      </c>
      <c r="I87" s="4"/>
      <c r="J87" s="5" t="s">
        <v>11</v>
      </c>
      <c r="K87" s="6">
        <f>+K86/1.08*0.08</f>
        <v>2955.5555555555557</v>
      </c>
    </row>
    <row r="88" spans="2:12" x14ac:dyDescent="0.3">
      <c r="B88" s="7" t="s">
        <v>456</v>
      </c>
      <c r="C88" s="109" t="s">
        <v>188</v>
      </c>
      <c r="D88" s="48">
        <v>4</v>
      </c>
      <c r="E88" s="48">
        <v>5</v>
      </c>
      <c r="F88" s="48">
        <v>4.2110000000000003</v>
      </c>
      <c r="G88" s="110">
        <f>+VLOOKUP(Tabla1103453454455456479108133140154[[#This Row],[Ingrediente]],Tabla34[#All],3,0)</f>
        <v>24</v>
      </c>
      <c r="H88" s="111">
        <f>+Tabla1103453454455456479108133140154[[#This Row],[Costo]]*Tabla1103453454455456479108133140154[[#This Row],[Unidades]]</f>
        <v>101.06400000000001</v>
      </c>
      <c r="I88" s="4"/>
      <c r="J88" s="5" t="s">
        <v>12</v>
      </c>
      <c r="K88" s="6">
        <f>+K86-K87</f>
        <v>36944.444444444445</v>
      </c>
    </row>
    <row r="89" spans="2:12" x14ac:dyDescent="0.3">
      <c r="B89" s="21" t="s">
        <v>368</v>
      </c>
      <c r="C89" s="109" t="s">
        <v>188</v>
      </c>
      <c r="D89" s="48">
        <v>150</v>
      </c>
      <c r="E89" s="48">
        <v>10</v>
      </c>
      <c r="F89" s="48">
        <v>166.667</v>
      </c>
      <c r="G89" s="110">
        <f>+VLOOKUP(Tabla1103453454455456479108133140154[[#This Row],[Ingrediente]],Tabla34[#All],3,0)</f>
        <v>37</v>
      </c>
      <c r="H89" s="111">
        <f>+Tabla1103453454455456479108133140154[[#This Row],[Costo]]*Tabla1103453454455456479108133140154[[#This Row],[Unidades]]</f>
        <v>6166.6790000000001</v>
      </c>
      <c r="I89" s="4"/>
      <c r="J89" s="5" t="s">
        <v>13</v>
      </c>
      <c r="K89" s="113">
        <f>+K85/K88</f>
        <v>0.25029941702305264</v>
      </c>
    </row>
    <row r="90" spans="2:12" x14ac:dyDescent="0.3">
      <c r="B90" s="7" t="s">
        <v>394</v>
      </c>
      <c r="C90" s="109" t="s">
        <v>188</v>
      </c>
      <c r="D90" s="48">
        <v>20</v>
      </c>
      <c r="E90" s="48">
        <v>78</v>
      </c>
      <c r="F90" s="48">
        <v>90.909000000000006</v>
      </c>
      <c r="G90" s="110">
        <f>+VLOOKUP(Tabla1103453454455456479108133140154[[#This Row],[Ingrediente]],Tabla34[#All],3,0)</f>
        <v>4.5</v>
      </c>
      <c r="H90" s="111">
        <f>+Tabla1103453454455456479108133140154[[#This Row],[Costo]]*Tabla1103453454455456479108133140154[[#This Row],[Unidades]]</f>
        <v>409.09050000000002</v>
      </c>
      <c r="J90" s="5" t="s">
        <v>14</v>
      </c>
      <c r="K90" s="20">
        <f>+K88-K85</f>
        <v>27697.271537759443</v>
      </c>
    </row>
    <row r="91" spans="2:12" x14ac:dyDescent="0.3">
      <c r="B91" s="21" t="s">
        <v>226</v>
      </c>
      <c r="C91" s="109" t="s">
        <v>188</v>
      </c>
      <c r="D91" s="48">
        <v>80</v>
      </c>
      <c r="E91" s="48">
        <v>0</v>
      </c>
      <c r="F91" s="48">
        <v>80</v>
      </c>
      <c r="G91" s="110">
        <f>+VLOOKUP(Tabla1103453454455456479108133140154[[#This Row],[Ingrediente]],Tabla34[#All],3,0)</f>
        <v>10.179495380000001</v>
      </c>
      <c r="H91" s="111">
        <f>+Tabla1103453454455456479108133140154[[#This Row],[Costo]]*Tabla1103453454455456479108133140154[[#This Row],[Unidades]]</f>
        <v>814.35963040000001</v>
      </c>
      <c r="J91" s="5" t="s">
        <v>15</v>
      </c>
      <c r="K91" s="22">
        <f>+K90/K85</f>
        <v>2.9952150584030313</v>
      </c>
    </row>
    <row r="92" spans="2:12" x14ac:dyDescent="0.3">
      <c r="B92" s="21" t="s">
        <v>662</v>
      </c>
      <c r="C92" s="109" t="s">
        <v>188</v>
      </c>
      <c r="D92" s="48">
        <v>30</v>
      </c>
      <c r="E92" s="48">
        <v>0</v>
      </c>
      <c r="F92" s="48">
        <v>30</v>
      </c>
      <c r="G92" s="110">
        <f>+VLOOKUP(Tabla1103453454455456479108133140154[[#This Row],[Ingrediente]],Tabla34[#All],3,0)</f>
        <v>11.90893019</v>
      </c>
      <c r="H92" s="111">
        <f>+Tabla1103453454455456479108133140154[[#This Row],[Costo]]*Tabla1103453454455456479108133140154[[#This Row],[Unidades]]</f>
        <v>357.26790569999997</v>
      </c>
      <c r="J92" s="4"/>
      <c r="K92" s="29"/>
      <c r="L92" s="44"/>
    </row>
    <row r="93" spans="2:12" x14ac:dyDescent="0.3">
      <c r="B93" s="7" t="s">
        <v>593</v>
      </c>
      <c r="C93" s="109" t="s">
        <v>188</v>
      </c>
      <c r="D93" s="48">
        <v>20</v>
      </c>
      <c r="E93" s="48">
        <v>0</v>
      </c>
      <c r="F93" s="48">
        <v>20</v>
      </c>
      <c r="G93" s="110">
        <f>+VLOOKUP(Tabla1103453454455456479108133140154[[#This Row],[Ingrediente]],Tabla34[#All],3,0)</f>
        <v>16.682470179999999</v>
      </c>
      <c r="H93" s="111">
        <f>+Tabla1103453454455456479108133140154[[#This Row],[Costo]]*Tabla1103453454455456479108133140154[[#This Row],[Unidades]]</f>
        <v>333.64940359999997</v>
      </c>
      <c r="I93" s="4"/>
      <c r="J93" s="4"/>
      <c r="K93" s="114"/>
    </row>
    <row r="94" spans="2:12" x14ac:dyDescent="0.3">
      <c r="B94" s="13"/>
      <c r="C94" s="14"/>
      <c r="D94" s="14"/>
      <c r="E94" s="14"/>
      <c r="F94" s="14"/>
      <c r="G94" s="15"/>
      <c r="H94" s="15">
        <f>SUBTOTAL(109,Tabla1103453454455456479108133140154[Total costo])</f>
        <v>8806.8313397000002</v>
      </c>
      <c r="I94" s="4"/>
    </row>
    <row r="95" spans="2:12" x14ac:dyDescent="0.3">
      <c r="I95" s="4"/>
    </row>
    <row r="96" spans="2:12" x14ac:dyDescent="0.3">
      <c r="B96" s="89" t="s">
        <v>333</v>
      </c>
      <c r="C96" s="90"/>
      <c r="D96" s="90"/>
      <c r="E96" s="90"/>
      <c r="F96" s="90"/>
      <c r="G96" s="90"/>
      <c r="H96" s="90"/>
      <c r="I96" s="4"/>
      <c r="J96" s="277" t="s">
        <v>0</v>
      </c>
      <c r="K96" s="277"/>
    </row>
    <row r="97" spans="2:11" x14ac:dyDescent="0.3">
      <c r="B97" s="91" t="s">
        <v>1</v>
      </c>
      <c r="C97" s="14" t="s">
        <v>2</v>
      </c>
      <c r="D97" s="14" t="s">
        <v>571</v>
      </c>
      <c r="E97" s="14" t="s">
        <v>572</v>
      </c>
      <c r="F97" s="14" t="s">
        <v>573</v>
      </c>
      <c r="G97" s="92" t="s">
        <v>4</v>
      </c>
      <c r="H97" s="92" t="s">
        <v>5</v>
      </c>
      <c r="I97" s="4"/>
      <c r="J97" s="5" t="s">
        <v>6</v>
      </c>
      <c r="K97" s="6">
        <f>+Tabla1103453454455456479108133140154333431[[#Totals],[Total costo]]</f>
        <v>12313.492051799996</v>
      </c>
    </row>
    <row r="98" spans="2:11" x14ac:dyDescent="0.3">
      <c r="B98" s="21" t="s">
        <v>470</v>
      </c>
      <c r="C98" s="109" t="s">
        <v>188</v>
      </c>
      <c r="D98" s="48">
        <v>2</v>
      </c>
      <c r="E98" s="48">
        <v>0</v>
      </c>
      <c r="F98" s="48">
        <v>2</v>
      </c>
      <c r="G98" s="110">
        <f>+VLOOKUP(Tabla1103453454455456479108133140154333431[[#This Row],[Ingrediente]],Tabla34[#All],3,0)</f>
        <v>8</v>
      </c>
      <c r="H98" s="111">
        <f>+Tabla1103453454455456479108133140154333431[[#This Row],[Costo]]*Tabla1103453454455456479108133140154333431[[#This Row],[Unidades]]</f>
        <v>16</v>
      </c>
      <c r="I98" s="4"/>
      <c r="J98" s="5" t="s">
        <v>113</v>
      </c>
      <c r="K98" s="6">
        <f>+K97*5%</f>
        <v>615.67460258999984</v>
      </c>
    </row>
    <row r="99" spans="2:11" x14ac:dyDescent="0.3">
      <c r="B99" s="7" t="s">
        <v>475</v>
      </c>
      <c r="C99" s="109" t="s">
        <v>188</v>
      </c>
      <c r="D99" s="48">
        <v>50</v>
      </c>
      <c r="E99" s="48">
        <v>0</v>
      </c>
      <c r="F99" s="48">
        <v>50</v>
      </c>
      <c r="G99" s="110">
        <f>+VLOOKUP(Tabla1103453454455456479108133140154333431[[#This Row],[Ingrediente]],Tabla34[#All],3,0)</f>
        <v>14</v>
      </c>
      <c r="H99" s="111">
        <f>+Tabla1103453454455456479108133140154333431[[#This Row],[Costo]]*Tabla1103453454455456479108133140154333431[[#This Row],[Unidades]]</f>
        <v>700</v>
      </c>
      <c r="I99" s="4"/>
      <c r="J99" s="5" t="s">
        <v>9</v>
      </c>
      <c r="K99" s="6">
        <f>+K97+K98</f>
        <v>12929.166654389996</v>
      </c>
    </row>
    <row r="100" spans="2:11" x14ac:dyDescent="0.3">
      <c r="B100" s="7" t="s">
        <v>480</v>
      </c>
      <c r="C100" s="109" t="s">
        <v>188</v>
      </c>
      <c r="D100" s="48">
        <v>1</v>
      </c>
      <c r="E100" s="48">
        <v>10</v>
      </c>
      <c r="F100" s="48">
        <v>1.111</v>
      </c>
      <c r="G100" s="110">
        <f>+VLOOKUP(Tabla1103453454455456479108133140154333431[[#This Row],[Ingrediente]],Tabla34[#All],3,0)</f>
        <v>328.34</v>
      </c>
      <c r="H100" s="111">
        <f>+Tabla1103453454455456479108133140154333431[[#This Row],[Costo]]*Tabla1103453454455456479108133140154333431[[#This Row],[Unidades]]</f>
        <v>364.78573999999998</v>
      </c>
      <c r="I100" s="4"/>
      <c r="J100" s="17" t="s">
        <v>10</v>
      </c>
      <c r="K100" s="112">
        <v>49900</v>
      </c>
    </row>
    <row r="101" spans="2:11" x14ac:dyDescent="0.3">
      <c r="B101" s="21" t="s">
        <v>398</v>
      </c>
      <c r="C101" s="109" t="s">
        <v>188</v>
      </c>
      <c r="D101" s="48">
        <v>80</v>
      </c>
      <c r="E101" s="48">
        <v>27</v>
      </c>
      <c r="F101" s="48">
        <v>109.589</v>
      </c>
      <c r="G101" s="110">
        <f>+VLOOKUP(Tabla1103453454455456479108133140154333431[[#This Row],[Ingrediente]],Tabla34[#All],3,0)</f>
        <v>3.7999999999999994</v>
      </c>
      <c r="H101" s="111">
        <f>+Tabla1103453454455456479108133140154333431[[#This Row],[Costo]]*Tabla1103453454455456479108133140154333431[[#This Row],[Unidades]]</f>
        <v>416.43819999999994</v>
      </c>
      <c r="I101" s="4"/>
      <c r="J101" s="5" t="s">
        <v>11</v>
      </c>
      <c r="K101" s="6">
        <f>+K100/1.08*0.08</f>
        <v>3696.2962962962961</v>
      </c>
    </row>
    <row r="102" spans="2:11" x14ac:dyDescent="0.3">
      <c r="B102" s="21" t="s">
        <v>446</v>
      </c>
      <c r="C102" s="109" t="s">
        <v>188</v>
      </c>
      <c r="D102" s="48">
        <v>3</v>
      </c>
      <c r="E102" s="48">
        <v>40</v>
      </c>
      <c r="F102" s="48">
        <v>5</v>
      </c>
      <c r="G102" s="110">
        <f>+VLOOKUP(Tabla1103453454455456479108133140154333431[[#This Row],[Ingrediente]],Tabla34[#All],3,0)</f>
        <v>5.5</v>
      </c>
      <c r="H102" s="111">
        <f>+Tabla1103453454455456479108133140154333431[[#This Row],[Costo]]*Tabla1103453454455456479108133140154333431[[#This Row],[Unidades]]</f>
        <v>27.5</v>
      </c>
      <c r="I102" s="4"/>
      <c r="J102" s="5" t="s">
        <v>12</v>
      </c>
      <c r="K102" s="6">
        <f>+K100-K101</f>
        <v>46203.703703703701</v>
      </c>
    </row>
    <row r="103" spans="2:11" x14ac:dyDescent="0.3">
      <c r="B103" s="7" t="s">
        <v>456</v>
      </c>
      <c r="C103" s="109" t="s">
        <v>188</v>
      </c>
      <c r="D103" s="48">
        <v>5</v>
      </c>
      <c r="E103" s="48">
        <v>10</v>
      </c>
      <c r="F103" s="48">
        <v>5.556</v>
      </c>
      <c r="G103" s="110">
        <f>+VLOOKUP(Tabla1103453454455456479108133140154333431[[#This Row],[Ingrediente]],Tabla34[#All],3,0)</f>
        <v>24</v>
      </c>
      <c r="H103" s="111">
        <f>+Tabla1103453454455456479108133140154333431[[#This Row],[Costo]]*Tabla1103453454455456479108133140154333431[[#This Row],[Unidades]]</f>
        <v>133.34399999999999</v>
      </c>
      <c r="I103" s="4"/>
      <c r="J103" s="5" t="s">
        <v>13</v>
      </c>
      <c r="K103" s="113">
        <f>+K99/K102</f>
        <v>0.27982965905292978</v>
      </c>
    </row>
    <row r="104" spans="2:11" x14ac:dyDescent="0.3">
      <c r="B104" s="21" t="s">
        <v>368</v>
      </c>
      <c r="C104" s="109" t="s">
        <v>188</v>
      </c>
      <c r="D104" s="48">
        <v>100</v>
      </c>
      <c r="E104" s="48">
        <v>10</v>
      </c>
      <c r="F104" s="48">
        <v>111.111</v>
      </c>
      <c r="G104" s="110">
        <f>+VLOOKUP(Tabla1103453454455456479108133140154333431[[#This Row],[Ingrediente]],Tabla34[#All],3,0)</f>
        <v>37</v>
      </c>
      <c r="H104" s="111">
        <f>+Tabla1103453454455456479108133140154333431[[#This Row],[Costo]]*Tabla1103453454455456479108133140154333431[[#This Row],[Unidades]]</f>
        <v>4111.107</v>
      </c>
      <c r="J104" s="5" t="s">
        <v>14</v>
      </c>
      <c r="K104" s="20">
        <f>+K102-K99</f>
        <v>33274.537049313702</v>
      </c>
    </row>
    <row r="105" spans="2:11" x14ac:dyDescent="0.3">
      <c r="B105" s="21" t="s">
        <v>35</v>
      </c>
      <c r="C105" s="109" t="s">
        <v>188</v>
      </c>
      <c r="D105" s="48">
        <v>20</v>
      </c>
      <c r="E105" s="48">
        <v>0</v>
      </c>
      <c r="F105" s="48">
        <v>20</v>
      </c>
      <c r="G105" s="110">
        <f>+VLOOKUP(Tabla1103453454455456479108133140154333431[[#This Row],[Ingrediente]],Tabla34[#All],3,0)</f>
        <v>4.7460000000000004</v>
      </c>
      <c r="H105" s="111">
        <f>+Tabla1103453454455456479108133140154333431[[#This Row],[Costo]]*Tabla1103453454455456479108133140154333431[[#This Row],[Unidades]]</f>
        <v>94.920000000000016</v>
      </c>
      <c r="J105" s="5" t="s">
        <v>15</v>
      </c>
      <c r="K105" s="22">
        <f>+K104/K99</f>
        <v>2.5736026101895435</v>
      </c>
    </row>
    <row r="106" spans="2:11" x14ac:dyDescent="0.3">
      <c r="B106" s="21" t="s">
        <v>394</v>
      </c>
      <c r="C106" s="109" t="s">
        <v>188</v>
      </c>
      <c r="D106" s="48">
        <v>40</v>
      </c>
      <c r="E106" s="48">
        <v>78</v>
      </c>
      <c r="F106" s="48">
        <v>181.81800000000001</v>
      </c>
      <c r="G106" s="110">
        <f>+VLOOKUP(Tabla1103453454455456479108133140154333431[[#This Row],[Ingrediente]],Tabla34[#All],3,0)</f>
        <v>4.5</v>
      </c>
      <c r="H106" s="111">
        <f>+Tabla1103453454455456479108133140154333431[[#This Row],[Costo]]*Tabla1103453454455456479108133140154333431[[#This Row],[Unidades]]</f>
        <v>818.18100000000004</v>
      </c>
      <c r="J106" s="4"/>
      <c r="K106" s="29"/>
    </row>
    <row r="107" spans="2:11" x14ac:dyDescent="0.3">
      <c r="B107" s="21" t="s">
        <v>226</v>
      </c>
      <c r="C107" s="109" t="s">
        <v>188</v>
      </c>
      <c r="D107" s="48">
        <v>150</v>
      </c>
      <c r="E107" s="48">
        <v>0</v>
      </c>
      <c r="F107" s="48">
        <v>150</v>
      </c>
      <c r="G107" s="110">
        <f>+VLOOKUP(Tabla1103453454455456479108133140154333431[[#This Row],[Ingrediente]],Tabla34[#All],3,0)</f>
        <v>10.179495380000001</v>
      </c>
      <c r="H107" s="111">
        <f>+Tabla1103453454455456479108133140154333431[[#This Row],[Costo]]*Tabla1103453454455456479108133140154333431[[#This Row],[Unidades]]</f>
        <v>1526.924307</v>
      </c>
      <c r="J107" s="4"/>
      <c r="K107" s="114"/>
    </row>
    <row r="108" spans="2:11" x14ac:dyDescent="0.3">
      <c r="B108" s="7" t="s">
        <v>556</v>
      </c>
      <c r="C108" s="109" t="s">
        <v>188</v>
      </c>
      <c r="D108" s="48">
        <v>40</v>
      </c>
      <c r="E108" s="48">
        <v>0</v>
      </c>
      <c r="F108" s="48">
        <v>40</v>
      </c>
      <c r="G108" s="110">
        <f>+VLOOKUP(Tabla1103453454455456479108133140154333431[[#This Row],[Ingrediente]],Tabla34[#All],3,0)</f>
        <v>76.437956069999998</v>
      </c>
      <c r="H108" s="111">
        <f>+Tabla1103453454455456479108133140154333431[[#This Row],[Costo]]*Tabla1103453454455456479108133140154333431[[#This Row],[Unidades]]</f>
        <v>3057.5182427999998</v>
      </c>
    </row>
    <row r="109" spans="2:11" s="26" customFormat="1" x14ac:dyDescent="0.3">
      <c r="B109" s="7" t="s">
        <v>662</v>
      </c>
      <c r="C109" s="109" t="s">
        <v>188</v>
      </c>
      <c r="D109" s="48">
        <v>20</v>
      </c>
      <c r="E109" s="48">
        <v>0</v>
      </c>
      <c r="F109" s="48">
        <v>20</v>
      </c>
      <c r="G109" s="110">
        <f>+VLOOKUP(Tabla1103453454455456479108133140154333431[[#This Row],[Ingrediente]],Tabla34[#All],3,0)</f>
        <v>11.90893019</v>
      </c>
      <c r="H109" s="111">
        <f>+Tabla1103453454455456479108133140154333431[[#This Row],[Costo]]*Tabla1103453454455456479108133140154333431[[#This Row],[Unidades]]</f>
        <v>238.17860379999999</v>
      </c>
      <c r="J109"/>
      <c r="K109"/>
    </row>
    <row r="110" spans="2:11" x14ac:dyDescent="0.3">
      <c r="B110" s="7" t="s">
        <v>593</v>
      </c>
      <c r="C110" s="109" t="s">
        <v>188</v>
      </c>
      <c r="D110" s="48">
        <v>20</v>
      </c>
      <c r="E110" s="48">
        <v>0</v>
      </c>
      <c r="F110" s="48">
        <v>20</v>
      </c>
      <c r="G110" s="110">
        <f>+VLOOKUP(Tabla1103453454455456479108133140154333431[[#This Row],[Ingrediente]],Tabla34[#All],3,0)</f>
        <v>16.682470179999999</v>
      </c>
      <c r="H110" s="111">
        <f>+Tabla1103453454455456479108133140154333431[[#This Row],[Costo]]*Tabla1103453454455456479108133140154333431[[#This Row],[Unidades]]</f>
        <v>333.64940359999997</v>
      </c>
      <c r="I110" s="4"/>
    </row>
    <row r="111" spans="2:11" x14ac:dyDescent="0.3">
      <c r="B111" s="7" t="s">
        <v>526</v>
      </c>
      <c r="C111" s="109" t="s">
        <v>188</v>
      </c>
      <c r="D111" s="48">
        <v>20</v>
      </c>
      <c r="E111" s="48">
        <v>0</v>
      </c>
      <c r="F111" s="48">
        <v>20</v>
      </c>
      <c r="G111" s="110">
        <f>+VLOOKUP(Tabla1103453454455456479108133140154333431[[#This Row],[Ingrediente]],Tabla34[#All],3,0)</f>
        <v>23.747277729999997</v>
      </c>
      <c r="H111" s="111">
        <f>+Tabla1103453454455456479108133140154333431[[#This Row],[Costo]]*Tabla1103453454455456479108133140154333431[[#This Row],[Unidades]]</f>
        <v>474.94555459999992</v>
      </c>
      <c r="I111" s="4"/>
    </row>
    <row r="112" spans="2:11" x14ac:dyDescent="0.3">
      <c r="B112" s="13"/>
      <c r="C112" s="14"/>
      <c r="D112" s="14"/>
      <c r="E112" s="14"/>
      <c r="F112" s="14"/>
      <c r="G112" s="15"/>
      <c r="H112" s="15">
        <f>SUBTOTAL(109,Tabla1103453454455456479108133140154333431[Total costo])</f>
        <v>12313.492051799996</v>
      </c>
      <c r="I112" s="4"/>
    </row>
    <row r="113" spans="2:11" x14ac:dyDescent="0.3">
      <c r="B113" s="45"/>
      <c r="C113" s="46"/>
      <c r="D113" s="46"/>
      <c r="E113" s="46"/>
      <c r="F113" s="46"/>
      <c r="G113" s="47"/>
      <c r="H113" s="47"/>
      <c r="I113" s="4"/>
      <c r="J113" s="26"/>
      <c r="K113" s="26"/>
    </row>
    <row r="114" spans="2:11" x14ac:dyDescent="0.3">
      <c r="B114" s="1" t="s">
        <v>1306</v>
      </c>
      <c r="C114" s="2"/>
      <c r="D114" s="2"/>
      <c r="E114" s="3"/>
      <c r="F114" s="3"/>
      <c r="G114" s="3"/>
      <c r="H114" s="3"/>
      <c r="I114" s="4"/>
      <c r="J114" s="26"/>
      <c r="K114" s="26"/>
    </row>
    <row r="115" spans="2:11" x14ac:dyDescent="0.3">
      <c r="B115" s="13" t="s">
        <v>1</v>
      </c>
      <c r="C115" s="14" t="s">
        <v>2</v>
      </c>
      <c r="D115" s="14" t="s">
        <v>3</v>
      </c>
      <c r="E115" s="14" t="s">
        <v>343</v>
      </c>
      <c r="F115" s="14" t="s">
        <v>585</v>
      </c>
      <c r="G115" s="28" t="s">
        <v>4</v>
      </c>
      <c r="H115" s="28" t="s">
        <v>5</v>
      </c>
      <c r="I115" s="4"/>
      <c r="J115" s="277" t="s">
        <v>0</v>
      </c>
      <c r="K115" s="277"/>
    </row>
    <row r="116" spans="2:11" x14ac:dyDescent="0.3">
      <c r="B116" s="7" t="s">
        <v>362</v>
      </c>
      <c r="C116" s="109" t="s">
        <v>188</v>
      </c>
      <c r="D116" s="48">
        <v>10</v>
      </c>
      <c r="E116" s="48">
        <v>0</v>
      </c>
      <c r="F116" s="48">
        <v>10</v>
      </c>
      <c r="G116" s="110">
        <f>+VLOOKUP(Tabla11034534544554564791081351121722991461472[[#This Row],[Ingrediente]],Tabla34[#All],3,0)</f>
        <v>8.2499666699999992</v>
      </c>
      <c r="H116" s="111">
        <f>+Tabla11034534544554564791081351121722991461472[[#This Row],[Costo]]*Tabla11034534544554564791081351121722991461472[[#This Row],[Columna2]]</f>
        <v>82.499666699999992</v>
      </c>
      <c r="I116" s="4"/>
      <c r="J116" s="5" t="s">
        <v>6</v>
      </c>
      <c r="K116" s="6">
        <f>SUM(Tabla11034534544554564791081351121722991461472[Total costo])</f>
        <v>8574.7084000499999</v>
      </c>
    </row>
    <row r="117" spans="2:11" x14ac:dyDescent="0.3">
      <c r="B117" s="21" t="s">
        <v>406</v>
      </c>
      <c r="C117" s="109" t="s">
        <v>188</v>
      </c>
      <c r="D117" s="48">
        <v>60</v>
      </c>
      <c r="E117" s="48">
        <v>25</v>
      </c>
      <c r="F117" s="48">
        <v>80</v>
      </c>
      <c r="G117" s="110">
        <f>+VLOOKUP(Tabla11034534544554564791081351121722991461472[[#This Row],[Ingrediente]],Tabla34[#All],3,0)</f>
        <v>14</v>
      </c>
      <c r="H117" s="111">
        <f>+Tabla11034534544554564791081351121722991461472[[#This Row],[Costo]]*Tabla11034534544554564791081351121722991461472[[#This Row],[Columna2]]</f>
        <v>1120</v>
      </c>
      <c r="I117" s="4"/>
      <c r="J117" s="5" t="s">
        <v>113</v>
      </c>
      <c r="K117" s="6">
        <f>+K116*5%</f>
        <v>428.73542000250001</v>
      </c>
    </row>
    <row r="118" spans="2:11" x14ac:dyDescent="0.3">
      <c r="B118" s="7" t="s">
        <v>470</v>
      </c>
      <c r="C118" s="109" t="s">
        <v>188</v>
      </c>
      <c r="D118" s="48">
        <v>2</v>
      </c>
      <c r="E118" s="48">
        <v>5</v>
      </c>
      <c r="F118" s="48">
        <v>2.105</v>
      </c>
      <c r="G118" s="110">
        <f>+VLOOKUP(Tabla11034534544554564791081351121722991461472[[#This Row],[Ingrediente]],Tabla34[#All],3,0)</f>
        <v>8</v>
      </c>
      <c r="H118" s="111">
        <f>+Tabla11034534544554564791081351121722991461472[[#This Row],[Costo]]*Tabla11034534544554564791081351121722991461472[[#This Row],[Columna2]]</f>
        <v>16.84</v>
      </c>
      <c r="I118" s="4"/>
      <c r="J118" s="5" t="s">
        <v>9</v>
      </c>
      <c r="K118" s="6">
        <f>+K116+K117</f>
        <v>9003.4438200525001</v>
      </c>
    </row>
    <row r="119" spans="2:11" x14ac:dyDescent="0.3">
      <c r="B119" s="7" t="s">
        <v>480</v>
      </c>
      <c r="C119" s="109" t="s">
        <v>188</v>
      </c>
      <c r="D119" s="48">
        <v>1</v>
      </c>
      <c r="E119" s="48">
        <v>0</v>
      </c>
      <c r="F119" s="48">
        <v>1</v>
      </c>
      <c r="G119" s="110">
        <f>+VLOOKUP(Tabla11034534544554564791081351121722991461472[[#This Row],[Ingrediente]],Tabla34[#All],3,0)</f>
        <v>328.34</v>
      </c>
      <c r="H119" s="111">
        <f>+Tabla11034534544554564791081351121722991461472[[#This Row],[Costo]]*Tabla11034534544554564791081351121722991461472[[#This Row],[Columna2]]</f>
        <v>328.34</v>
      </c>
      <c r="I119" s="4"/>
      <c r="J119" s="17" t="s">
        <v>10</v>
      </c>
      <c r="K119" s="112">
        <v>39000</v>
      </c>
    </row>
    <row r="120" spans="2:11" x14ac:dyDescent="0.3">
      <c r="B120" s="7" t="s">
        <v>398</v>
      </c>
      <c r="C120" s="109" t="s">
        <v>188</v>
      </c>
      <c r="D120" s="48">
        <v>30</v>
      </c>
      <c r="E120" s="48">
        <v>15</v>
      </c>
      <c r="F120" s="48">
        <v>35.293999999999997</v>
      </c>
      <c r="G120" s="110">
        <f>+VLOOKUP(Tabla11034534544554564791081351121722991461472[[#This Row],[Ingrediente]],Tabla34[#All],3,0)</f>
        <v>3.7999999999999994</v>
      </c>
      <c r="H120" s="111">
        <f>+Tabla11034534544554564791081351121722991461472[[#This Row],[Costo]]*Tabla11034534544554564791081351121722991461472[[#This Row],[Columna2]]</f>
        <v>134.11719999999997</v>
      </c>
      <c r="I120" s="4"/>
      <c r="J120" s="5" t="s">
        <v>11</v>
      </c>
      <c r="K120" s="6">
        <f>+K119/1.08*0.08</f>
        <v>2888.8888888888887</v>
      </c>
    </row>
    <row r="121" spans="2:11" x14ac:dyDescent="0.3">
      <c r="B121" s="7" t="s">
        <v>1063</v>
      </c>
      <c r="C121" s="109" t="s">
        <v>188</v>
      </c>
      <c r="D121" s="48">
        <v>150</v>
      </c>
      <c r="E121" s="48">
        <v>0</v>
      </c>
      <c r="F121" s="48">
        <v>150</v>
      </c>
      <c r="G121" s="110">
        <f>+VLOOKUP(Tabla11034534544554564791081351121722991461472[[#This Row],[Ingrediente]],Tabla34[#All],3,0)</f>
        <v>26</v>
      </c>
      <c r="H121" s="111">
        <f>+Tabla11034534544554564791081351121722991461472[[#This Row],[Costo]]*Tabla11034534544554564791081351121722991461472[[#This Row],[Columna2]]</f>
        <v>3900</v>
      </c>
      <c r="J121" s="5" t="s">
        <v>12</v>
      </c>
      <c r="K121" s="6">
        <f>+K119-K120</f>
        <v>36111.111111111109</v>
      </c>
    </row>
    <row r="122" spans="2:11" x14ac:dyDescent="0.3">
      <c r="B122" s="7" t="s">
        <v>446</v>
      </c>
      <c r="C122" s="109" t="s">
        <v>188</v>
      </c>
      <c r="D122" s="48">
        <v>1</v>
      </c>
      <c r="E122" s="48">
        <v>40</v>
      </c>
      <c r="F122" s="48">
        <v>1.667</v>
      </c>
      <c r="G122" s="110">
        <f>+VLOOKUP(Tabla11034534544554564791081351121722991461472[[#This Row],[Ingrediente]],Tabla34[#All],3,0)</f>
        <v>5.5</v>
      </c>
      <c r="H122" s="111">
        <f>+Tabla11034534544554564791081351121722991461472[[#This Row],[Costo]]*Tabla11034534544554564791081351121722991461472[[#This Row],[Columna2]]</f>
        <v>9.1684999999999999</v>
      </c>
      <c r="J122" s="5" t="s">
        <v>13</v>
      </c>
      <c r="K122" s="113">
        <f>+K118/K121</f>
        <v>0.2493261365553</v>
      </c>
    </row>
    <row r="123" spans="2:11" x14ac:dyDescent="0.3">
      <c r="B123" s="7" t="s">
        <v>420</v>
      </c>
      <c r="C123" s="109" t="s">
        <v>188</v>
      </c>
      <c r="D123" s="48">
        <v>10</v>
      </c>
      <c r="E123" s="48">
        <v>0</v>
      </c>
      <c r="F123" s="48">
        <v>10</v>
      </c>
      <c r="G123" s="110">
        <f>+VLOOKUP(Tabla11034534544554564791081351121722991461472[[#This Row],[Ingrediente]],Tabla34[#All],3,0)</f>
        <v>8.9250000000000007</v>
      </c>
      <c r="H123" s="111">
        <f>+Tabla11034534544554564791081351121722991461472[[#This Row],[Costo]]*Tabla11034534544554564791081351121722991461472[[#This Row],[Columna2]]</f>
        <v>89.25</v>
      </c>
      <c r="J123" s="5" t="s">
        <v>14</v>
      </c>
      <c r="K123" s="20">
        <f>+K121-K118</f>
        <v>27107.667291058609</v>
      </c>
    </row>
    <row r="124" spans="2:11" x14ac:dyDescent="0.3">
      <c r="B124" s="21" t="s">
        <v>228</v>
      </c>
      <c r="C124" s="109" t="s">
        <v>188</v>
      </c>
      <c r="D124" s="48">
        <v>5</v>
      </c>
      <c r="E124" s="48">
        <v>0</v>
      </c>
      <c r="F124" s="48">
        <v>5</v>
      </c>
      <c r="G124" s="110">
        <f>+VLOOKUP(Tabla11034534544554564791081351121722991461472[[#This Row],[Ingrediente]],Tabla34[#All],3,0)</f>
        <v>16.11097131</v>
      </c>
      <c r="H124" s="111">
        <f>+Tabla11034534544554564791081351121722991461472[[#This Row],[Costo]]*Tabla11034534544554564791081351121722991461472[[#This Row],[Columna2]]</f>
        <v>80.554856549999997</v>
      </c>
      <c r="J124" s="5" t="s">
        <v>15</v>
      </c>
      <c r="K124" s="22">
        <f>+K123/K118</f>
        <v>3.0108109555461793</v>
      </c>
    </row>
    <row r="125" spans="2:11" x14ac:dyDescent="0.3">
      <c r="B125" s="7" t="s">
        <v>1169</v>
      </c>
      <c r="C125" s="109" t="s">
        <v>188</v>
      </c>
      <c r="D125" s="48">
        <v>80</v>
      </c>
      <c r="E125" s="48">
        <v>0</v>
      </c>
      <c r="F125" s="48">
        <v>80</v>
      </c>
      <c r="G125" s="110">
        <f>+VLOOKUP(Tabla11034534544554564791081351121722991461472[[#This Row],[Ingrediente]],Tabla34[#All],3,0)</f>
        <v>19.03640103</v>
      </c>
      <c r="H125" s="111">
        <f>+Tabla11034534544554564791081351121722991461472[[#This Row],[Costo]]*Tabla11034534544554564791081351121722991461472[[#This Row],[Columna2]]</f>
        <v>1522.9120824000001</v>
      </c>
      <c r="J125" s="4"/>
      <c r="K125" s="114"/>
    </row>
    <row r="126" spans="2:11" x14ac:dyDescent="0.3">
      <c r="B126" s="21" t="s">
        <v>226</v>
      </c>
      <c r="C126" s="109" t="s">
        <v>188</v>
      </c>
      <c r="D126" s="48">
        <v>100</v>
      </c>
      <c r="E126" s="48">
        <v>0</v>
      </c>
      <c r="F126" s="48">
        <v>100</v>
      </c>
      <c r="G126" s="110">
        <f>+VLOOKUP(Tabla11034534544554564791081351121722991461472[[#This Row],[Ingrediente]],Tabla34[#All],3,0)</f>
        <v>10.179495380000001</v>
      </c>
      <c r="H126" s="111">
        <f>+Tabla11034534544554564791081351121722991461472[[#This Row],[Costo]]*Tabla11034534544554564791081351121722991461472[[#This Row],[Columna2]]</f>
        <v>1017.9495380000001</v>
      </c>
    </row>
    <row r="127" spans="2:11" x14ac:dyDescent="0.3">
      <c r="B127" s="7" t="s">
        <v>593</v>
      </c>
      <c r="C127" s="109" t="s">
        <v>188</v>
      </c>
      <c r="D127" s="48">
        <v>10</v>
      </c>
      <c r="E127" s="48">
        <v>0</v>
      </c>
      <c r="F127" s="48">
        <v>10</v>
      </c>
      <c r="G127" s="110">
        <f>+VLOOKUP(Tabla11034534544554564791081351121722991461472[[#This Row],[Ingrediente]],Tabla34[#All],3,0)</f>
        <v>16.682470179999999</v>
      </c>
      <c r="H127" s="111">
        <f>+Tabla11034534544554564791081351121722991461472[[#This Row],[Costo]]*Tabla11034534544554564791081351121722991461472[[#This Row],[Columna2]]</f>
        <v>166.82470179999999</v>
      </c>
    </row>
    <row r="128" spans="2:11" x14ac:dyDescent="0.3">
      <c r="B128" s="21" t="s">
        <v>92</v>
      </c>
      <c r="C128" s="109" t="s">
        <v>188</v>
      </c>
      <c r="D128" s="48">
        <v>10</v>
      </c>
      <c r="E128" s="48">
        <v>0</v>
      </c>
      <c r="F128" s="48">
        <v>10</v>
      </c>
      <c r="G128" s="110">
        <f>+VLOOKUP(Tabla11034534544554564791081351121722991461472[[#This Row],[Ingrediente]],Tabla34[#All],3,0)</f>
        <v>10.625185460000001</v>
      </c>
      <c r="H128" s="111">
        <f>+Tabla11034534544554564791081351121722991461472[[#This Row],[Costo]]*Tabla11034534544554564791081351121722991461472[[#This Row],[Columna2]]</f>
        <v>106.2518546</v>
      </c>
    </row>
    <row r="129" spans="2:11" x14ac:dyDescent="0.3">
      <c r="B129" s="13"/>
      <c r="C129" s="14"/>
      <c r="D129" s="14"/>
      <c r="E129" s="14"/>
      <c r="F129" s="14"/>
      <c r="G129" s="15"/>
      <c r="H129" s="15">
        <f>SUBTOTAL(109,Tabla11034534544554564791081351121722991461472[Total costo])</f>
        <v>8574.7084000499999</v>
      </c>
      <c r="I129" s="4"/>
    </row>
    <row r="130" spans="2:11" x14ac:dyDescent="0.3">
      <c r="I130" s="4"/>
    </row>
    <row r="131" spans="2:11" x14ac:dyDescent="0.3">
      <c r="I131" s="4"/>
    </row>
    <row r="132" spans="2:11" x14ac:dyDescent="0.3">
      <c r="B132" s="1" t="s">
        <v>247</v>
      </c>
      <c r="C132" s="2"/>
      <c r="D132" s="2"/>
      <c r="E132" s="3"/>
      <c r="F132" s="3"/>
      <c r="G132" s="3"/>
      <c r="H132" s="3"/>
      <c r="I132" s="4"/>
      <c r="J132" s="277" t="s">
        <v>0</v>
      </c>
      <c r="K132" s="277"/>
    </row>
    <row r="133" spans="2:11" x14ac:dyDescent="0.3">
      <c r="B133" s="13" t="s">
        <v>1</v>
      </c>
      <c r="C133" s="14" t="s">
        <v>2</v>
      </c>
      <c r="D133" s="14" t="s">
        <v>3</v>
      </c>
      <c r="E133" s="14" t="s">
        <v>343</v>
      </c>
      <c r="F133" s="14" t="s">
        <v>585</v>
      </c>
      <c r="G133" s="28" t="s">
        <v>4</v>
      </c>
      <c r="H133" s="28" t="s">
        <v>5</v>
      </c>
      <c r="I133" s="4"/>
      <c r="J133" s="5" t="s">
        <v>6</v>
      </c>
      <c r="K133" s="6">
        <f>SUM(Tabla11034534544554564791081351121722991461472145[Total costo])</f>
        <v>9405.9473441400005</v>
      </c>
    </row>
    <row r="134" spans="2:11" x14ac:dyDescent="0.3">
      <c r="B134" s="7" t="s">
        <v>446</v>
      </c>
      <c r="C134" s="109" t="s">
        <v>188</v>
      </c>
      <c r="D134" s="48">
        <v>2</v>
      </c>
      <c r="E134" s="48">
        <v>40</v>
      </c>
      <c r="F134" s="48">
        <v>3.3330000000000002</v>
      </c>
      <c r="G134" s="110">
        <f>+VLOOKUP(Tabla11034534544554564791081351121722991461472145[[#This Row],[Ingrediente]],Tabla34[#All],3,0)</f>
        <v>5.5</v>
      </c>
      <c r="H134" s="111">
        <f>+Tabla11034534544554564791081351121722991461472145[[#This Row],[Costo]]*Tabla11034534544554564791081351121722991461472145[[#This Row],[Columna2]]</f>
        <v>18.331500000000002</v>
      </c>
      <c r="I134" s="4"/>
      <c r="J134" s="5" t="s">
        <v>113</v>
      </c>
      <c r="K134" s="6">
        <f>+K133*5%</f>
        <v>470.29736720700004</v>
      </c>
    </row>
    <row r="135" spans="2:11" x14ac:dyDescent="0.3">
      <c r="B135" s="21" t="s">
        <v>398</v>
      </c>
      <c r="C135" s="109" t="s">
        <v>188</v>
      </c>
      <c r="D135" s="48">
        <v>30</v>
      </c>
      <c r="E135" s="48">
        <v>27</v>
      </c>
      <c r="F135" s="48">
        <v>41.095999999999997</v>
      </c>
      <c r="G135" s="110">
        <f>+VLOOKUP(Tabla11034534544554564791081351121722991461472145[[#This Row],[Ingrediente]],Tabla34[#All],3,0)</f>
        <v>3.7999999999999994</v>
      </c>
      <c r="H135" s="111">
        <f>+Tabla11034534544554564791081351121722991461472145[[#This Row],[Costo]]*Tabla11034534544554564791081351121722991461472145[[#This Row],[Columna2]]</f>
        <v>156.16479999999996</v>
      </c>
      <c r="I135" s="4"/>
      <c r="J135" s="5" t="s">
        <v>9</v>
      </c>
      <c r="K135" s="6">
        <f>+K133+K134</f>
        <v>9876.2447113470007</v>
      </c>
    </row>
    <row r="136" spans="2:11" x14ac:dyDescent="0.3">
      <c r="B136" s="7" t="s">
        <v>430</v>
      </c>
      <c r="C136" s="109" t="s">
        <v>188</v>
      </c>
      <c r="D136" s="48">
        <v>30</v>
      </c>
      <c r="E136" s="48">
        <v>10</v>
      </c>
      <c r="F136" s="48">
        <v>33.332999999999998</v>
      </c>
      <c r="G136" s="110">
        <f>+VLOOKUP(Tabla11034534544554564791081351121722991461472145[[#This Row],[Ingrediente]],Tabla34[#All],3,0)</f>
        <v>4.8</v>
      </c>
      <c r="H136" s="111">
        <f>+Tabla11034534544554564791081351121722991461472145[[#This Row],[Costo]]*Tabla11034534544554564791081351121722991461472145[[#This Row],[Columna2]]</f>
        <v>159.99839999999998</v>
      </c>
      <c r="I136" s="4"/>
      <c r="J136" s="17" t="s">
        <v>10</v>
      </c>
      <c r="K136" s="112">
        <v>39000</v>
      </c>
    </row>
    <row r="137" spans="2:11" x14ac:dyDescent="0.3">
      <c r="B137" s="7" t="s">
        <v>84</v>
      </c>
      <c r="C137" s="109" t="s">
        <v>188</v>
      </c>
      <c r="D137" s="48">
        <v>20</v>
      </c>
      <c r="E137" s="48">
        <v>0</v>
      </c>
      <c r="F137" s="48">
        <v>20</v>
      </c>
      <c r="G137" s="110">
        <f>+VLOOKUP(Tabla11034534544554564791081351121722991461472145[[#This Row],[Ingrediente]],Tabla34[#All],3,0)</f>
        <v>15</v>
      </c>
      <c r="H137" s="111">
        <f>+Tabla11034534544554564791081351121722991461472145[[#This Row],[Costo]]*Tabla11034534544554564791081351121722991461472145[[#This Row],[Columna2]]</f>
        <v>300</v>
      </c>
      <c r="I137" s="4"/>
      <c r="J137" s="5" t="s">
        <v>11</v>
      </c>
      <c r="K137" s="6">
        <f>+K136/1.08*0.08</f>
        <v>2888.8888888888887</v>
      </c>
    </row>
    <row r="138" spans="2:11" x14ac:dyDescent="0.3">
      <c r="B138" s="7" t="s">
        <v>39</v>
      </c>
      <c r="C138" s="109" t="s">
        <v>188</v>
      </c>
      <c r="D138" s="48">
        <v>20</v>
      </c>
      <c r="E138" s="48">
        <v>0</v>
      </c>
      <c r="F138" s="48">
        <v>20</v>
      </c>
      <c r="G138" s="110">
        <f>+VLOOKUP(Tabla11034534544554564791081351121722991461472145[[#This Row],[Ingrediente]],Tabla34[#All],3,0)</f>
        <v>21.754385959999997</v>
      </c>
      <c r="H138" s="111">
        <f>+Tabla11034534544554564791081351121722991461472145[[#This Row],[Costo]]*Tabla11034534544554564791081351121722991461472145[[#This Row],[Columna2]]</f>
        <v>435.08771919999992</v>
      </c>
      <c r="J138" s="5" t="s">
        <v>12</v>
      </c>
      <c r="K138" s="6">
        <f>+K136-K137</f>
        <v>36111.111111111109</v>
      </c>
    </row>
    <row r="139" spans="2:11" x14ac:dyDescent="0.3">
      <c r="B139" s="7" t="s">
        <v>394</v>
      </c>
      <c r="C139" s="109" t="s">
        <v>188</v>
      </c>
      <c r="D139" s="48">
        <v>20</v>
      </c>
      <c r="E139" s="48">
        <v>78</v>
      </c>
      <c r="F139" s="48">
        <v>90.909000000000006</v>
      </c>
      <c r="G139" s="110">
        <f>+VLOOKUP(Tabla11034534544554564791081351121722991461472145[[#This Row],[Ingrediente]],Tabla34[#All],3,0)</f>
        <v>4.5</v>
      </c>
      <c r="H139" s="111">
        <f>+Tabla11034534544554564791081351121722991461472145[[#This Row],[Costo]]*Tabla11034534544554564791081351121722991461472145[[#This Row],[Columna2]]</f>
        <v>409.09050000000002</v>
      </c>
      <c r="J139" s="5" t="s">
        <v>13</v>
      </c>
      <c r="K139" s="113">
        <f>+K135/K138</f>
        <v>0.27349600739114771</v>
      </c>
    </row>
    <row r="140" spans="2:11" x14ac:dyDescent="0.3">
      <c r="B140" s="7" t="s">
        <v>681</v>
      </c>
      <c r="C140" s="109" t="s">
        <v>188</v>
      </c>
      <c r="D140" s="48">
        <v>50</v>
      </c>
      <c r="E140" s="48">
        <v>0</v>
      </c>
      <c r="F140" s="48">
        <v>50</v>
      </c>
      <c r="G140" s="110">
        <f>+VLOOKUP(Tabla11034534544554564791081351121722991461472145[[#This Row],[Ingrediente]],Tabla34[#All],3,0)</f>
        <v>22.545488500000001</v>
      </c>
      <c r="H140" s="111">
        <f>+Tabla11034534544554564791081351121722991461472145[[#This Row],[Costo]]*Tabla11034534544554564791081351121722991461472145[[#This Row],[Columna2]]</f>
        <v>1127.2744250000001</v>
      </c>
      <c r="J140" s="5" t="s">
        <v>14</v>
      </c>
      <c r="K140" s="20">
        <f>+K138-K135</f>
        <v>26234.866399764109</v>
      </c>
    </row>
    <row r="141" spans="2:11" x14ac:dyDescent="0.3">
      <c r="B141" s="7" t="s">
        <v>373</v>
      </c>
      <c r="C141" s="109" t="s">
        <v>570</v>
      </c>
      <c r="D141" s="48">
        <v>14</v>
      </c>
      <c r="E141" s="48">
        <v>0</v>
      </c>
      <c r="F141" s="48">
        <v>14</v>
      </c>
      <c r="G141" s="110">
        <f>+VLOOKUP(Tabla11034534544554564791081351121722991461472145[[#This Row],[Ingrediente]],Tabla34[#All],3,0)</f>
        <v>485.71428571000001</v>
      </c>
      <c r="H141" s="111">
        <f>+Tabla11034534544554564791081351121722991461472145[[#This Row],[Costo]]*Tabla11034534544554564791081351121722991461472145[[#This Row],[Columna2]]</f>
        <v>6799.9999999400006</v>
      </c>
      <c r="J141" s="5" t="s">
        <v>15</v>
      </c>
      <c r="K141" s="22">
        <f>+K140/K135</f>
        <v>2.6563605060962479</v>
      </c>
    </row>
    <row r="142" spans="2:11" x14ac:dyDescent="0.3">
      <c r="B142" s="13"/>
      <c r="C142" s="14"/>
      <c r="D142" s="14"/>
      <c r="E142" s="14"/>
      <c r="F142" s="14"/>
      <c r="G142" s="15"/>
      <c r="H142" s="15">
        <f>SUBTOTAL(109,Tabla11034534544554564791081351121722991461472145[Total costo])</f>
        <v>9405.9473441400005</v>
      </c>
      <c r="J142" s="4"/>
      <c r="K142" s="114"/>
    </row>
    <row r="145" spans="2:11" x14ac:dyDescent="0.3">
      <c r="B145" s="1" t="s">
        <v>1004</v>
      </c>
      <c r="C145" s="2"/>
      <c r="D145" s="2"/>
      <c r="E145" s="3"/>
      <c r="F145" s="3"/>
      <c r="G145" s="3"/>
      <c r="H145" s="3"/>
      <c r="I145" s="4"/>
      <c r="J145" s="277" t="s">
        <v>0</v>
      </c>
      <c r="K145" s="277"/>
    </row>
    <row r="146" spans="2:11" x14ac:dyDescent="0.3">
      <c r="B146" s="13" t="s">
        <v>1</v>
      </c>
      <c r="C146" s="14" t="s">
        <v>2</v>
      </c>
      <c r="D146" s="14" t="s">
        <v>3</v>
      </c>
      <c r="E146" s="14" t="s">
        <v>343</v>
      </c>
      <c r="F146" s="14" t="s">
        <v>585</v>
      </c>
      <c r="G146" s="28" t="s">
        <v>4</v>
      </c>
      <c r="H146" s="28" t="s">
        <v>5</v>
      </c>
      <c r="I146" s="4"/>
      <c r="J146" s="5" t="s">
        <v>6</v>
      </c>
      <c r="K146" s="6" t="e">
        <f>SUM(Tabla11034534544554564791081351121722991461472145208[Total costo])</f>
        <v>#N/A</v>
      </c>
    </row>
    <row r="147" spans="2:11" x14ac:dyDescent="0.3">
      <c r="B147" s="7" t="s">
        <v>368</v>
      </c>
      <c r="C147" s="109" t="s">
        <v>188</v>
      </c>
      <c r="D147" s="48">
        <v>240</v>
      </c>
      <c r="E147" s="48">
        <v>10</v>
      </c>
      <c r="F147" s="48">
        <v>266.66699999999997</v>
      </c>
      <c r="G147" s="110">
        <f>+VLOOKUP(Tabla11034534544554564791081351121722991461472145208[[#This Row],[Ingrediente]],Tabla34[#All],3,0)</f>
        <v>37</v>
      </c>
      <c r="H147" s="111">
        <f>+Tabla11034534544554564791081351121722991461472145208[[#This Row],[Costo]]*Tabla11034534544554564791081351121722991461472145208[[#This Row],[Columna2]]</f>
        <v>9866.6789999999983</v>
      </c>
      <c r="I147" s="4"/>
      <c r="J147" s="5" t="s">
        <v>113</v>
      </c>
      <c r="K147" s="6" t="e">
        <f>+K146*5%</f>
        <v>#N/A</v>
      </c>
    </row>
    <row r="148" spans="2:11" x14ac:dyDescent="0.3">
      <c r="B148" s="21" t="s">
        <v>398</v>
      </c>
      <c r="C148" s="109" t="s">
        <v>188</v>
      </c>
      <c r="D148" s="48">
        <v>75</v>
      </c>
      <c r="E148" s="48">
        <v>10</v>
      </c>
      <c r="F148" s="48">
        <v>83.332999999999998</v>
      </c>
      <c r="G148" s="110">
        <f>+VLOOKUP(Tabla11034534544554564791081351121722991461472145208[[#This Row],[Ingrediente]],Tabla34[#All],3,0)</f>
        <v>3.7999999999999994</v>
      </c>
      <c r="H148" s="111">
        <f>+Tabla11034534544554564791081351121722991461472145208[[#This Row],[Costo]]*Tabla11034534544554564791081351121722991461472145208[[#This Row],[Columna2]]</f>
        <v>316.66539999999992</v>
      </c>
      <c r="I148" s="4"/>
      <c r="J148" s="5" t="s">
        <v>9</v>
      </c>
      <c r="K148" s="6" t="e">
        <f>+K146+K147</f>
        <v>#N/A</v>
      </c>
    </row>
    <row r="149" spans="2:11" x14ac:dyDescent="0.3">
      <c r="B149" s="7" t="s">
        <v>446</v>
      </c>
      <c r="C149" s="109" t="s">
        <v>188</v>
      </c>
      <c r="D149" s="48">
        <v>2</v>
      </c>
      <c r="E149" s="48">
        <v>40</v>
      </c>
      <c r="F149" s="48">
        <v>3.3330000000000002</v>
      </c>
      <c r="G149" s="110">
        <f>+VLOOKUP(Tabla11034534544554564791081351121722991461472145208[[#This Row],[Ingrediente]],Tabla34[#All],3,0)</f>
        <v>5.5</v>
      </c>
      <c r="H149" s="111">
        <f>+Tabla11034534544554564791081351121722991461472145208[[#This Row],[Costo]]*Tabla11034534544554564791081351121722991461472145208[[#This Row],[Columna2]]</f>
        <v>18.331500000000002</v>
      </c>
      <c r="I149" s="4"/>
      <c r="J149" s="17" t="s">
        <v>10</v>
      </c>
      <c r="K149" s="112">
        <v>39000</v>
      </c>
    </row>
    <row r="150" spans="2:11" x14ac:dyDescent="0.3">
      <c r="B150" s="7" t="s">
        <v>470</v>
      </c>
      <c r="C150" s="109" t="s">
        <v>188</v>
      </c>
      <c r="D150" s="48">
        <v>2</v>
      </c>
      <c r="E150" s="48">
        <v>10</v>
      </c>
      <c r="F150" s="48">
        <v>2.222</v>
      </c>
      <c r="G150" s="110">
        <f>+VLOOKUP(Tabla11034534544554564791081351121722991461472145208[[#This Row],[Ingrediente]],Tabla34[#All],3,0)</f>
        <v>8</v>
      </c>
      <c r="H150" s="111">
        <f>+Tabla11034534544554564791081351121722991461472145208[[#This Row],[Costo]]*Tabla11034534544554564791081351121722991461472145208[[#This Row],[Columna2]]</f>
        <v>17.776</v>
      </c>
      <c r="I150" s="4"/>
      <c r="J150" s="5" t="s">
        <v>11</v>
      </c>
      <c r="K150" s="6">
        <f>+K149/1.08*0.08</f>
        <v>2888.8888888888887</v>
      </c>
    </row>
    <row r="151" spans="2:11" x14ac:dyDescent="0.3">
      <c r="B151" s="7" t="s">
        <v>556</v>
      </c>
      <c r="C151" s="109" t="s">
        <v>188</v>
      </c>
      <c r="D151" s="48">
        <v>30</v>
      </c>
      <c r="E151" s="48">
        <v>0</v>
      </c>
      <c r="F151" s="48">
        <v>30</v>
      </c>
      <c r="G151" s="110">
        <f>+VLOOKUP(Tabla11034534544554564791081351121722991461472145208[[#This Row],[Ingrediente]],Tabla34[#All],3,0)</f>
        <v>76.437956069999998</v>
      </c>
      <c r="H151" s="111">
        <f>+Tabla11034534544554564791081351121722991461472145208[[#This Row],[Costo]]*Tabla11034534544554564791081351121722991461472145208[[#This Row],[Columna2]]</f>
        <v>2293.1386821000001</v>
      </c>
      <c r="J151" s="5" t="s">
        <v>12</v>
      </c>
      <c r="K151" s="6">
        <f>+K149-K150</f>
        <v>36111.111111111109</v>
      </c>
    </row>
    <row r="152" spans="2:11" x14ac:dyDescent="0.3">
      <c r="B152" s="7" t="s">
        <v>373</v>
      </c>
      <c r="C152" s="109" t="s">
        <v>570</v>
      </c>
      <c r="D152" s="48">
        <v>3</v>
      </c>
      <c r="E152" s="48">
        <v>0</v>
      </c>
      <c r="F152" s="48">
        <v>3</v>
      </c>
      <c r="G152" s="110">
        <f>+VLOOKUP(Tabla11034534544554564791081351121722991461472145208[[#This Row],[Ingrediente]],Tabla34[#All],3,0)</f>
        <v>485.71428571000001</v>
      </c>
      <c r="H152" s="111">
        <f>+Tabla11034534544554564791081351121722991461472145208[[#This Row],[Costo]]*Tabla11034534544554564791081351121722991461472145208[[#This Row],[Columna2]]</f>
        <v>1457.14285713</v>
      </c>
      <c r="J152" s="5" t="s">
        <v>13</v>
      </c>
      <c r="K152" s="113" t="e">
        <f>+K148/K151</f>
        <v>#N/A</v>
      </c>
    </row>
    <row r="153" spans="2:11" x14ac:dyDescent="0.3">
      <c r="B153" s="7" t="s">
        <v>555</v>
      </c>
      <c r="C153" s="109" t="s">
        <v>188</v>
      </c>
      <c r="D153" s="48">
        <v>25</v>
      </c>
      <c r="E153" s="48">
        <v>0</v>
      </c>
      <c r="F153" s="48">
        <v>25</v>
      </c>
      <c r="G153" s="110">
        <f>+VLOOKUP(Tabla11034534544554564791081351121722991461472145208[[#This Row],[Ingrediente]],Tabla34[#All],3,0)</f>
        <v>12.444477940000001</v>
      </c>
      <c r="H153" s="111">
        <f>+Tabla11034534544554564791081351121722991461472145208[[#This Row],[Costo]]*Tabla11034534544554564791081351121722991461472145208[[#This Row],[Columna2]]</f>
        <v>311.11194850000004</v>
      </c>
      <c r="J153" s="5" t="s">
        <v>14</v>
      </c>
      <c r="K153" s="20" t="e">
        <f>+K151-K148</f>
        <v>#N/A</v>
      </c>
    </row>
    <row r="154" spans="2:11" x14ac:dyDescent="0.3">
      <c r="B154" s="7" t="s">
        <v>449</v>
      </c>
      <c r="C154" s="109" t="s">
        <v>188</v>
      </c>
      <c r="D154" s="48">
        <v>25</v>
      </c>
      <c r="E154" s="48">
        <v>0</v>
      </c>
      <c r="F154" s="48">
        <v>25</v>
      </c>
      <c r="G154" s="110">
        <f>+VLOOKUP(Tabla11034534544554564791081351121722991461472145208[[#This Row],[Ingrediente]],Tabla34[#All],3,0)</f>
        <v>23.317903900000001</v>
      </c>
      <c r="H154" s="111">
        <f>+Tabla11034534544554564791081351121722991461472145208[[#This Row],[Costo]]*Tabla11034534544554564791081351121722991461472145208[[#This Row],[Columna2]]</f>
        <v>582.94759750000003</v>
      </c>
      <c r="J154" s="5" t="s">
        <v>15</v>
      </c>
      <c r="K154" s="22" t="e">
        <f>+K153/K148</f>
        <v>#N/A</v>
      </c>
    </row>
    <row r="155" spans="2:11" x14ac:dyDescent="0.3">
      <c r="B155" s="7" t="s">
        <v>476</v>
      </c>
      <c r="C155" s="109" t="s">
        <v>188</v>
      </c>
      <c r="D155" s="270">
        <v>20</v>
      </c>
      <c r="E155" s="48">
        <v>10</v>
      </c>
      <c r="F155" s="48">
        <v>22.222000000000001</v>
      </c>
      <c r="G155" s="110">
        <f>+VLOOKUP(Tabla11034534544554564791081351121722991461472145208[[#This Row],[Ingrediente]],Tabla34[#All],3,0)</f>
        <v>2.5</v>
      </c>
      <c r="H155" s="111">
        <f>+Tabla11034534544554564791081351121722991461472145208[[#This Row],[Costo]]*Tabla11034534544554564791081351121722991461472145208[[#This Row],[Columna2]]</f>
        <v>55.555000000000007</v>
      </c>
      <c r="J155" s="4"/>
      <c r="K155" s="114"/>
    </row>
    <row r="156" spans="2:11" x14ac:dyDescent="0.3">
      <c r="B156" s="7" t="s">
        <v>406</v>
      </c>
      <c r="C156" s="109" t="s">
        <v>188</v>
      </c>
      <c r="D156" s="270">
        <v>50</v>
      </c>
      <c r="E156" s="48">
        <v>25</v>
      </c>
      <c r="F156" s="48">
        <v>66.667000000000002</v>
      </c>
      <c r="G156" s="110">
        <f>+VLOOKUP(Tabla11034534544554564791081351121722991461472145208[[#This Row],[Ingrediente]],Tabla34[#All],3,0)</f>
        <v>14</v>
      </c>
      <c r="H156" s="111">
        <f>+Tabla11034534544554564791081351121722991461472145208[[#This Row],[Costo]]*Tabla11034534544554564791081351121722991461472145208[[#This Row],[Columna2]]</f>
        <v>933.33799999999997</v>
      </c>
    </row>
    <row r="157" spans="2:11" x14ac:dyDescent="0.3">
      <c r="B157" s="7" t="s">
        <v>480</v>
      </c>
      <c r="C157" s="109" t="s">
        <v>188</v>
      </c>
      <c r="D157" s="270">
        <v>2</v>
      </c>
      <c r="E157" s="48">
        <v>0</v>
      </c>
      <c r="F157" s="48">
        <v>2</v>
      </c>
      <c r="G157" s="110">
        <f>+VLOOKUP(Tabla11034534544554564791081351121722991461472145208[[#This Row],[Ingrediente]],Tabla34[#All],3,0)</f>
        <v>328.34</v>
      </c>
      <c r="H157" s="111">
        <f>+Tabla11034534544554564791081351121722991461472145208[[#This Row],[Costo]]*Tabla11034534544554564791081351121722991461472145208[[#This Row],[Columna2]]</f>
        <v>656.68</v>
      </c>
    </row>
    <row r="158" spans="2:11" x14ac:dyDescent="0.3">
      <c r="B158" s="7" t="s">
        <v>35</v>
      </c>
      <c r="C158" s="109" t="s">
        <v>188</v>
      </c>
      <c r="D158" s="270">
        <v>10</v>
      </c>
      <c r="E158" s="48">
        <v>0</v>
      </c>
      <c r="F158" s="48">
        <v>10</v>
      </c>
      <c r="G158" s="110">
        <f>+VLOOKUP(Tabla11034534544554564791081351121722991461472145208[[#This Row],[Ingrediente]],Tabla34[#All],3,0)</f>
        <v>4.7460000000000004</v>
      </c>
      <c r="H158" s="111">
        <f>+Tabla11034534544554564791081351121722991461472145208[[#This Row],[Costo]]*Tabla11034534544554564791081351121722991461472145208[[#This Row],[Columna2]]</f>
        <v>47.460000000000008</v>
      </c>
    </row>
    <row r="159" spans="2:11" x14ac:dyDescent="0.3">
      <c r="B159" s="7" t="s">
        <v>360</v>
      </c>
      <c r="C159" s="109" t="s">
        <v>570</v>
      </c>
      <c r="D159" s="270">
        <v>0.5</v>
      </c>
      <c r="E159" s="48">
        <v>0</v>
      </c>
      <c r="F159" s="48">
        <v>0.5</v>
      </c>
      <c r="G159" s="110" t="e">
        <f>+VLOOKUP(Tabla11034534544554564791081351121722991461472145208[[#This Row],[Ingrediente]],Tabla34[#All],3,0)</f>
        <v>#N/A</v>
      </c>
      <c r="H159" s="111" t="e">
        <f>+Tabla11034534544554564791081351121722991461472145208[[#This Row],[Costo]]*Tabla11034534544554564791081351121722991461472145208[[#This Row],[Columna2]]</f>
        <v>#N/A</v>
      </c>
    </row>
    <row r="160" spans="2:11" x14ac:dyDescent="0.3">
      <c r="B160" s="7" t="s">
        <v>226</v>
      </c>
      <c r="C160" s="109" t="s">
        <v>188</v>
      </c>
      <c r="D160" s="270">
        <v>90</v>
      </c>
      <c r="E160" s="48">
        <v>0</v>
      </c>
      <c r="F160" s="48">
        <v>90</v>
      </c>
      <c r="G160" s="110">
        <f>+VLOOKUP(Tabla11034534544554564791081351121722991461472145208[[#This Row],[Ingrediente]],Tabla34[#All],3,0)</f>
        <v>10.179495380000001</v>
      </c>
      <c r="H160" s="111">
        <f>+Tabla11034534544554564791081351121722991461472145208[[#This Row],[Costo]]*Tabla11034534544554564791081351121722991461472145208[[#This Row],[Columna2]]</f>
        <v>916.15458420000004</v>
      </c>
    </row>
    <row r="161" spans="2:8" x14ac:dyDescent="0.3">
      <c r="B161" s="7" t="s">
        <v>593</v>
      </c>
      <c r="C161" s="109" t="s">
        <v>188</v>
      </c>
      <c r="D161" s="270">
        <v>10</v>
      </c>
      <c r="E161" s="48">
        <v>0</v>
      </c>
      <c r="F161" s="48">
        <v>10</v>
      </c>
      <c r="G161" s="110">
        <f>+VLOOKUP(Tabla11034534544554564791081351121722991461472145208[[#This Row],[Ingrediente]],Tabla34[#All],3,0)</f>
        <v>16.682470179999999</v>
      </c>
      <c r="H161" s="111">
        <f>+Tabla11034534544554564791081351121722991461472145208[[#This Row],[Costo]]*Tabla11034534544554564791081351121722991461472145208[[#This Row],[Columna2]]</f>
        <v>166.82470179999999</v>
      </c>
    </row>
    <row r="162" spans="2:8" x14ac:dyDescent="0.3">
      <c r="B162" s="13"/>
      <c r="C162" s="14"/>
      <c r="D162" s="14"/>
      <c r="E162" s="14"/>
      <c r="F162" s="14"/>
      <c r="G162" s="15"/>
      <c r="H162" s="15" t="e">
        <f>SUBTOTAL(109,Tabla11034534544554564791081351121722991461472145208[Total costo])</f>
        <v>#N/A</v>
      </c>
    </row>
  </sheetData>
  <mergeCells count="9">
    <mergeCell ref="J145:K145"/>
    <mergeCell ref="J132:K132"/>
    <mergeCell ref="J6:K6"/>
    <mergeCell ref="J21:K21"/>
    <mergeCell ref="J45:K45"/>
    <mergeCell ref="J115:K115"/>
    <mergeCell ref="J96:K96"/>
    <mergeCell ref="J61:K61"/>
    <mergeCell ref="J82:K82"/>
  </mergeCells>
  <phoneticPr fontId="20" type="noConversion"/>
  <conditionalFormatting sqref="K13">
    <cfRule type="cellIs" dxfId="617" priority="25" operator="lessThan">
      <formula>0.3</formula>
    </cfRule>
    <cfRule type="cellIs" dxfId="616" priority="26" operator="greaterThan">
      <formula>0.3</formula>
    </cfRule>
  </conditionalFormatting>
  <conditionalFormatting sqref="K28">
    <cfRule type="cellIs" dxfId="615" priority="21" operator="lessThan">
      <formula>0.3</formula>
    </cfRule>
    <cfRule type="cellIs" dxfId="614" priority="22" operator="greaterThan">
      <formula>0.3</formula>
    </cfRule>
  </conditionalFormatting>
  <conditionalFormatting sqref="K52">
    <cfRule type="cellIs" dxfId="613" priority="19" operator="lessThan">
      <formula>0.3</formula>
    </cfRule>
    <cfRule type="cellIs" dxfId="612" priority="20" operator="greaterThan">
      <formula>0.3</formula>
    </cfRule>
  </conditionalFormatting>
  <conditionalFormatting sqref="K68">
    <cfRule type="cellIs" dxfId="611" priority="17" operator="lessThan">
      <formula>0.3</formula>
    </cfRule>
    <cfRule type="cellIs" dxfId="610" priority="18" operator="greaterThan">
      <formula>0.3</formula>
    </cfRule>
  </conditionalFormatting>
  <conditionalFormatting sqref="K89">
    <cfRule type="cellIs" dxfId="609" priority="15" operator="lessThan">
      <formula>0.3</formula>
    </cfRule>
    <cfRule type="cellIs" dxfId="608" priority="16" operator="greaterThan">
      <formula>0.3</formula>
    </cfRule>
  </conditionalFormatting>
  <conditionalFormatting sqref="K103">
    <cfRule type="cellIs" dxfId="607" priority="7" operator="lessThan">
      <formula>0.3</formula>
    </cfRule>
    <cfRule type="cellIs" dxfId="606" priority="8" operator="greaterThan">
      <formula>0.3</formula>
    </cfRule>
  </conditionalFormatting>
  <conditionalFormatting sqref="K122">
    <cfRule type="cellIs" dxfId="605" priority="5" operator="lessThan">
      <formula>0.3</formula>
    </cfRule>
    <cfRule type="cellIs" dxfId="604" priority="6" operator="greaterThan">
      <formula>0.3</formula>
    </cfRule>
  </conditionalFormatting>
  <conditionalFormatting sqref="K139">
    <cfRule type="cellIs" dxfId="603" priority="3" operator="lessThan">
      <formula>0.3</formula>
    </cfRule>
    <cfRule type="cellIs" dxfId="602" priority="4" operator="greaterThan">
      <formula>0.3</formula>
    </cfRule>
  </conditionalFormatting>
  <conditionalFormatting sqref="K152">
    <cfRule type="cellIs" dxfId="601" priority="1" operator="lessThan">
      <formula>0.3</formula>
    </cfRule>
    <cfRule type="cellIs" dxfId="600" priority="2" operator="greaterThan">
      <formula>0.3</formula>
    </cfRule>
  </conditionalFormatting>
  <pageMargins left="0.7" right="0.7" top="0.75" bottom="0.75" header="0.3" footer="0.3"/>
  <pageSetup orientation="portrait" horizontalDpi="360" verticalDpi="360" r:id="rId1"/>
  <drawing r:id="rId2"/>
  <tableParts count="9"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374CC-B27B-4559-914D-2A25FEA564D5}">
  <sheetPr>
    <tabColor theme="4" tint="0.39997558519241921"/>
  </sheetPr>
  <dimension ref="A1:C707"/>
  <sheetViews>
    <sheetView showGridLines="0" zoomScale="80" zoomScaleNormal="80" workbookViewId="0">
      <pane ySplit="1" topLeftCell="A2" activePane="bottomLeft" state="frozen"/>
      <selection activeCell="D233" sqref="D233"/>
      <selection pane="bottomLeft" activeCell="C707" sqref="C707"/>
    </sheetView>
  </sheetViews>
  <sheetFormatPr baseColWidth="10" defaultRowHeight="13.8" x14ac:dyDescent="0.25"/>
  <cols>
    <col min="1" max="1" width="78.44140625" style="75" bestFit="1" customWidth="1"/>
    <col min="2" max="3" width="17.33203125" style="76" customWidth="1"/>
    <col min="4" max="16384" width="11.5546875" style="70"/>
  </cols>
  <sheetData>
    <row r="1" spans="1:3" x14ac:dyDescent="0.25">
      <c r="A1" s="68" t="s">
        <v>582</v>
      </c>
      <c r="B1" s="69" t="s">
        <v>583</v>
      </c>
      <c r="C1" s="69" t="s">
        <v>683</v>
      </c>
    </row>
    <row r="2" spans="1:3" hidden="1" x14ac:dyDescent="0.25">
      <c r="A2" s="61" t="s">
        <v>607</v>
      </c>
      <c r="B2" s="77" t="s">
        <v>266</v>
      </c>
      <c r="C2" s="77">
        <v>0</v>
      </c>
    </row>
    <row r="3" spans="1:3" hidden="1" x14ac:dyDescent="0.25">
      <c r="A3" s="61" t="s">
        <v>310</v>
      </c>
      <c r="B3" s="77" t="s">
        <v>365</v>
      </c>
      <c r="C3" s="77">
        <v>3500</v>
      </c>
    </row>
    <row r="4" spans="1:3" hidden="1" x14ac:dyDescent="0.25">
      <c r="A4" s="61" t="s">
        <v>687</v>
      </c>
      <c r="B4" s="77" t="s">
        <v>265</v>
      </c>
      <c r="C4" s="77">
        <v>84.475308639999994</v>
      </c>
    </row>
    <row r="5" spans="1:3" hidden="1" x14ac:dyDescent="0.25">
      <c r="A5" s="61" t="s">
        <v>1000</v>
      </c>
      <c r="B5" s="77" t="s">
        <v>265</v>
      </c>
      <c r="C5" s="77">
        <v>43.443000000000005</v>
      </c>
    </row>
    <row r="6" spans="1:3" hidden="1" x14ac:dyDescent="0.25">
      <c r="A6" s="61" t="s">
        <v>38</v>
      </c>
      <c r="B6" s="77" t="s">
        <v>265</v>
      </c>
      <c r="C6" s="77">
        <v>18.859000000000002</v>
      </c>
    </row>
    <row r="7" spans="1:3" hidden="1" x14ac:dyDescent="0.25">
      <c r="A7" s="61" t="s">
        <v>362</v>
      </c>
      <c r="B7" s="71" t="s">
        <v>265</v>
      </c>
      <c r="C7" s="71">
        <v>8.2499666699999992</v>
      </c>
    </row>
    <row r="8" spans="1:3" hidden="1" x14ac:dyDescent="0.25">
      <c r="A8" s="61" t="s">
        <v>1022</v>
      </c>
      <c r="B8" s="77" t="s">
        <v>265</v>
      </c>
      <c r="C8" s="77">
        <v>50.792000000000002</v>
      </c>
    </row>
    <row r="9" spans="1:3" ht="15.75" hidden="1" customHeight="1" x14ac:dyDescent="0.25">
      <c r="A9" s="61" t="s">
        <v>445</v>
      </c>
      <c r="B9" s="71" t="s">
        <v>265</v>
      </c>
      <c r="C9" s="71">
        <v>39.472999999999999</v>
      </c>
    </row>
    <row r="10" spans="1:3" hidden="1" x14ac:dyDescent="0.25">
      <c r="A10" s="61" t="s">
        <v>1246</v>
      </c>
      <c r="B10" s="77" t="s">
        <v>265</v>
      </c>
      <c r="C10" s="77">
        <v>0</v>
      </c>
    </row>
    <row r="11" spans="1:3" hidden="1" x14ac:dyDescent="0.25">
      <c r="A11" s="61" t="s">
        <v>56</v>
      </c>
      <c r="B11" s="77" t="s">
        <v>266</v>
      </c>
      <c r="C11" s="77">
        <v>8377.1428571399993</v>
      </c>
    </row>
    <row r="12" spans="1:3" hidden="1" x14ac:dyDescent="0.25">
      <c r="A12" s="61" t="s">
        <v>1023</v>
      </c>
      <c r="B12" s="77" t="s">
        <v>265</v>
      </c>
      <c r="C12" s="77">
        <v>0</v>
      </c>
    </row>
    <row r="13" spans="1:3" hidden="1" x14ac:dyDescent="0.25">
      <c r="A13" s="61" t="s">
        <v>608</v>
      </c>
      <c r="B13" s="77" t="s">
        <v>265</v>
      </c>
      <c r="C13" s="77">
        <v>45</v>
      </c>
    </row>
    <row r="14" spans="1:3" ht="15.75" hidden="1" customHeight="1" x14ac:dyDescent="0.25">
      <c r="A14" s="61" t="s">
        <v>1024</v>
      </c>
      <c r="B14" s="77" t="s">
        <v>266</v>
      </c>
      <c r="C14" s="77">
        <v>0</v>
      </c>
    </row>
    <row r="15" spans="1:3" hidden="1" x14ac:dyDescent="0.25">
      <c r="A15" s="61" t="s">
        <v>1025</v>
      </c>
      <c r="B15" s="77" t="s">
        <v>266</v>
      </c>
      <c r="C15" s="77">
        <v>938.88888888666668</v>
      </c>
    </row>
    <row r="16" spans="1:3" hidden="1" x14ac:dyDescent="0.25">
      <c r="A16" s="61" t="s">
        <v>379</v>
      </c>
      <c r="B16" s="77" t="s">
        <v>266</v>
      </c>
      <c r="C16" s="77">
        <v>7857</v>
      </c>
    </row>
    <row r="17" spans="1:3" hidden="1" x14ac:dyDescent="0.25">
      <c r="A17" s="61" t="s">
        <v>407</v>
      </c>
      <c r="B17" s="77" t="s">
        <v>266</v>
      </c>
      <c r="C17" s="77">
        <v>5132.6785714099997</v>
      </c>
    </row>
    <row r="18" spans="1:3" hidden="1" x14ac:dyDescent="0.25">
      <c r="A18" s="61" t="s">
        <v>406</v>
      </c>
      <c r="B18" s="77" t="s">
        <v>265</v>
      </c>
      <c r="C18" s="77">
        <v>14</v>
      </c>
    </row>
    <row r="19" spans="1:3" hidden="1" x14ac:dyDescent="0.25">
      <c r="A19" s="61" t="s">
        <v>477</v>
      </c>
      <c r="B19" s="77" t="s">
        <v>266</v>
      </c>
      <c r="C19" s="77">
        <v>24403</v>
      </c>
    </row>
    <row r="20" spans="1:3" hidden="1" x14ac:dyDescent="0.25">
      <c r="A20" s="61" t="s">
        <v>609</v>
      </c>
      <c r="B20" s="71" t="s">
        <v>365</v>
      </c>
      <c r="C20" s="71">
        <v>1898.20833333</v>
      </c>
    </row>
    <row r="21" spans="1:3" hidden="1" x14ac:dyDescent="0.25">
      <c r="A21" s="61" t="s">
        <v>461</v>
      </c>
      <c r="B21" s="71" t="s">
        <v>266</v>
      </c>
      <c r="C21" s="71">
        <v>22770</v>
      </c>
    </row>
    <row r="22" spans="1:3" hidden="1" x14ac:dyDescent="0.25">
      <c r="A22" s="61" t="s">
        <v>610</v>
      </c>
      <c r="B22" s="71" t="s">
        <v>365</v>
      </c>
      <c r="C22" s="71">
        <v>1729.16666667</v>
      </c>
    </row>
    <row r="23" spans="1:3" hidden="1" x14ac:dyDescent="0.25">
      <c r="A23" s="61" t="s">
        <v>941</v>
      </c>
      <c r="B23" s="71" t="s">
        <v>266</v>
      </c>
      <c r="C23" s="71">
        <v>21478</v>
      </c>
    </row>
    <row r="24" spans="1:3" hidden="1" x14ac:dyDescent="0.25">
      <c r="A24" s="61" t="s">
        <v>688</v>
      </c>
      <c r="B24" s="71" t="s">
        <v>365</v>
      </c>
      <c r="C24" s="71">
        <v>1658.625</v>
      </c>
    </row>
    <row r="25" spans="1:3" hidden="1" x14ac:dyDescent="0.25">
      <c r="A25" s="61" t="s">
        <v>1026</v>
      </c>
      <c r="B25" s="77" t="s">
        <v>265</v>
      </c>
      <c r="C25" s="77">
        <v>0</v>
      </c>
    </row>
    <row r="26" spans="1:3" hidden="1" x14ac:dyDescent="0.25">
      <c r="A26" s="61" t="s">
        <v>438</v>
      </c>
      <c r="B26" s="77" t="s">
        <v>265</v>
      </c>
      <c r="C26" s="77">
        <v>13</v>
      </c>
    </row>
    <row r="27" spans="1:3" hidden="1" x14ac:dyDescent="0.25">
      <c r="A27" s="61" t="s">
        <v>1027</v>
      </c>
      <c r="B27" s="77" t="s">
        <v>265</v>
      </c>
      <c r="C27" s="77">
        <v>0</v>
      </c>
    </row>
    <row r="28" spans="1:3" hidden="1" x14ac:dyDescent="0.25">
      <c r="A28" s="61" t="s">
        <v>470</v>
      </c>
      <c r="B28" s="77" t="s">
        <v>265</v>
      </c>
      <c r="C28" s="77">
        <v>8</v>
      </c>
    </row>
    <row r="29" spans="1:3" hidden="1" x14ac:dyDescent="0.25">
      <c r="A29" s="61" t="s">
        <v>1028</v>
      </c>
      <c r="B29" s="71" t="s">
        <v>265</v>
      </c>
      <c r="C29" s="71">
        <v>3.9333333333333336</v>
      </c>
    </row>
    <row r="30" spans="1:3" hidden="1" x14ac:dyDescent="0.25">
      <c r="A30" s="61" t="s">
        <v>611</v>
      </c>
      <c r="B30" s="77" t="s">
        <v>265</v>
      </c>
      <c r="C30" s="77">
        <v>19</v>
      </c>
    </row>
    <row r="31" spans="1:3" hidden="1" x14ac:dyDescent="0.25">
      <c r="A31" s="61" t="s">
        <v>516</v>
      </c>
      <c r="B31" s="77" t="s">
        <v>265</v>
      </c>
      <c r="C31" s="77">
        <v>13.333333333333334</v>
      </c>
    </row>
    <row r="32" spans="1:3" hidden="1" x14ac:dyDescent="0.25">
      <c r="A32" s="61" t="s">
        <v>475</v>
      </c>
      <c r="B32" s="77" t="s">
        <v>265</v>
      </c>
      <c r="C32" s="77">
        <v>14</v>
      </c>
    </row>
    <row r="33" spans="1:3" hidden="1" x14ac:dyDescent="0.25">
      <c r="A33" s="61" t="s">
        <v>442</v>
      </c>
      <c r="B33" s="77" t="s">
        <v>265</v>
      </c>
      <c r="C33" s="77">
        <v>20.111000000000001</v>
      </c>
    </row>
    <row r="34" spans="1:3" ht="15.75" hidden="1" customHeight="1" x14ac:dyDescent="0.25">
      <c r="A34" s="61" t="s">
        <v>1029</v>
      </c>
      <c r="B34" s="77" t="s">
        <v>265</v>
      </c>
      <c r="C34" s="77">
        <v>0</v>
      </c>
    </row>
    <row r="35" spans="1:3" ht="15.75" hidden="1" customHeight="1" x14ac:dyDescent="0.25">
      <c r="A35" s="61" t="s">
        <v>452</v>
      </c>
      <c r="B35" s="71" t="s">
        <v>265</v>
      </c>
      <c r="C35" s="71">
        <v>18</v>
      </c>
    </row>
    <row r="36" spans="1:3" hidden="1" x14ac:dyDescent="0.25">
      <c r="A36" s="61" t="s">
        <v>557</v>
      </c>
      <c r="B36" s="77" t="s">
        <v>265</v>
      </c>
      <c r="C36" s="77">
        <v>18.138999999999999</v>
      </c>
    </row>
    <row r="37" spans="1:3" hidden="1" x14ac:dyDescent="0.25">
      <c r="A37" s="61" t="s">
        <v>689</v>
      </c>
      <c r="B37" s="77" t="s">
        <v>265</v>
      </c>
      <c r="C37" s="77">
        <v>40.97</v>
      </c>
    </row>
    <row r="38" spans="1:3" hidden="1" x14ac:dyDescent="0.25">
      <c r="A38" s="61" t="s">
        <v>1030</v>
      </c>
      <c r="B38" s="77" t="s">
        <v>266</v>
      </c>
      <c r="C38" s="77">
        <v>499.56</v>
      </c>
    </row>
    <row r="39" spans="1:3" ht="15.75" hidden="1" customHeight="1" x14ac:dyDescent="0.25">
      <c r="A39" s="61" t="s">
        <v>1031</v>
      </c>
      <c r="B39" s="77" t="s">
        <v>266</v>
      </c>
      <c r="C39" s="77">
        <v>0</v>
      </c>
    </row>
    <row r="40" spans="1:3" hidden="1" x14ac:dyDescent="0.25">
      <c r="A40" s="61" t="s">
        <v>612</v>
      </c>
      <c r="B40" s="77" t="s">
        <v>266</v>
      </c>
      <c r="C40" s="77">
        <v>0</v>
      </c>
    </row>
    <row r="41" spans="1:3" hidden="1" x14ac:dyDescent="0.25">
      <c r="A41" s="61" t="s">
        <v>613</v>
      </c>
      <c r="B41" s="71" t="s">
        <v>266</v>
      </c>
      <c r="C41" s="71">
        <v>595</v>
      </c>
    </row>
    <row r="42" spans="1:3" hidden="1" x14ac:dyDescent="0.25">
      <c r="A42" s="61" t="s">
        <v>551</v>
      </c>
      <c r="B42" s="71" t="s">
        <v>266</v>
      </c>
      <c r="C42" s="71">
        <v>413.33333333333331</v>
      </c>
    </row>
    <row r="43" spans="1:3" hidden="1" x14ac:dyDescent="0.25">
      <c r="A43" s="61" t="s">
        <v>498</v>
      </c>
      <c r="B43" s="77" t="s">
        <v>265</v>
      </c>
      <c r="C43" s="77">
        <v>13</v>
      </c>
    </row>
    <row r="44" spans="1:3" hidden="1" x14ac:dyDescent="0.25">
      <c r="A44" s="61" t="s">
        <v>614</v>
      </c>
      <c r="B44" s="77" t="s">
        <v>266</v>
      </c>
      <c r="C44" s="77">
        <v>125043.5</v>
      </c>
    </row>
    <row r="45" spans="1:3" hidden="1" x14ac:dyDescent="0.25">
      <c r="A45" s="61" t="s">
        <v>356</v>
      </c>
      <c r="B45" s="77" t="s">
        <v>265</v>
      </c>
      <c r="C45" s="77">
        <v>13.63944444</v>
      </c>
    </row>
    <row r="46" spans="1:3" hidden="1" x14ac:dyDescent="0.25">
      <c r="A46" s="61" t="s">
        <v>158</v>
      </c>
      <c r="B46" s="77" t="s">
        <v>365</v>
      </c>
      <c r="C46" s="77">
        <v>5524.2083333299997</v>
      </c>
    </row>
    <row r="47" spans="1:3" hidden="1" x14ac:dyDescent="0.25">
      <c r="A47" s="61" t="s">
        <v>1032</v>
      </c>
      <c r="B47" s="77" t="s">
        <v>265</v>
      </c>
      <c r="C47" s="77">
        <v>0</v>
      </c>
    </row>
    <row r="48" spans="1:3" hidden="1" x14ac:dyDescent="0.25">
      <c r="A48" s="61" t="s">
        <v>435</v>
      </c>
      <c r="B48" s="77" t="s">
        <v>365</v>
      </c>
      <c r="C48" s="77">
        <v>3416.6666666699998</v>
      </c>
    </row>
    <row r="49" spans="1:3" hidden="1" x14ac:dyDescent="0.25">
      <c r="A49" s="61" t="s">
        <v>494</v>
      </c>
      <c r="B49" s="71" t="s">
        <v>265</v>
      </c>
      <c r="C49" s="71">
        <v>2.2000000000000002</v>
      </c>
    </row>
    <row r="50" spans="1:3" hidden="1" x14ac:dyDescent="0.25">
      <c r="A50" s="61" t="s">
        <v>433</v>
      </c>
      <c r="B50" s="77" t="s">
        <v>265</v>
      </c>
      <c r="C50" s="77">
        <v>17.834</v>
      </c>
    </row>
    <row r="51" spans="1:3" hidden="1" x14ac:dyDescent="0.25">
      <c r="A51" s="61" t="s">
        <v>450</v>
      </c>
      <c r="B51" s="77" t="s">
        <v>265</v>
      </c>
      <c r="C51" s="77">
        <v>202.10400000000001</v>
      </c>
    </row>
    <row r="52" spans="1:3" hidden="1" x14ac:dyDescent="0.25">
      <c r="A52" s="61" t="s">
        <v>615</v>
      </c>
      <c r="B52" s="77" t="s">
        <v>266</v>
      </c>
      <c r="C52" s="77">
        <v>533.33333333333337</v>
      </c>
    </row>
    <row r="53" spans="1:3" hidden="1" x14ac:dyDescent="0.25">
      <c r="A53" s="61" t="s">
        <v>372</v>
      </c>
      <c r="B53" s="77" t="s">
        <v>265</v>
      </c>
      <c r="C53" s="77">
        <v>10.616</v>
      </c>
    </row>
    <row r="54" spans="1:3" hidden="1" x14ac:dyDescent="0.25">
      <c r="A54" s="61" t="s">
        <v>1033</v>
      </c>
      <c r="B54" s="77" t="s">
        <v>265</v>
      </c>
      <c r="C54" s="77">
        <v>3.9933333333333336</v>
      </c>
    </row>
    <row r="55" spans="1:3" hidden="1" x14ac:dyDescent="0.25">
      <c r="A55" s="61" t="s">
        <v>616</v>
      </c>
      <c r="B55" s="77" t="s">
        <v>265</v>
      </c>
      <c r="C55" s="77">
        <v>18.245000000000001</v>
      </c>
    </row>
    <row r="56" spans="1:3" hidden="1" x14ac:dyDescent="0.25">
      <c r="A56" s="65" t="s">
        <v>258</v>
      </c>
      <c r="B56" s="77" t="s">
        <v>266</v>
      </c>
      <c r="C56" s="77">
        <v>0</v>
      </c>
    </row>
    <row r="57" spans="1:3" hidden="1" x14ac:dyDescent="0.25">
      <c r="A57" s="61" t="s">
        <v>400</v>
      </c>
      <c r="B57" s="77" t="s">
        <v>265</v>
      </c>
      <c r="C57" s="77">
        <v>4.8815999999999997</v>
      </c>
    </row>
    <row r="58" spans="1:3" hidden="1" x14ac:dyDescent="0.25">
      <c r="A58" s="61" t="s">
        <v>1034</v>
      </c>
      <c r="B58" s="77" t="s">
        <v>265</v>
      </c>
      <c r="C58" s="77">
        <v>0</v>
      </c>
    </row>
    <row r="59" spans="1:3" hidden="1" x14ac:dyDescent="0.25">
      <c r="A59" s="61" t="s">
        <v>502</v>
      </c>
      <c r="B59" s="77" t="s">
        <v>266</v>
      </c>
      <c r="C59" s="77">
        <v>21.958888886666667</v>
      </c>
    </row>
    <row r="60" spans="1:3" hidden="1" x14ac:dyDescent="0.25">
      <c r="A60" s="61" t="s">
        <v>1260</v>
      </c>
      <c r="B60" s="77" t="s">
        <v>266</v>
      </c>
      <c r="C60" s="77">
        <v>2500</v>
      </c>
    </row>
    <row r="61" spans="1:3" hidden="1" x14ac:dyDescent="0.25">
      <c r="A61" s="61" t="s">
        <v>192</v>
      </c>
      <c r="B61" s="77" t="s">
        <v>365</v>
      </c>
      <c r="C61" s="77">
        <v>3066</v>
      </c>
    </row>
    <row r="62" spans="1:3" hidden="1" x14ac:dyDescent="0.25">
      <c r="A62" s="61" t="s">
        <v>1035</v>
      </c>
      <c r="B62" s="77" t="s">
        <v>265</v>
      </c>
      <c r="C62" s="77">
        <v>0</v>
      </c>
    </row>
    <row r="63" spans="1:3" ht="15.75" hidden="1" customHeight="1" x14ac:dyDescent="0.25">
      <c r="A63" s="61" t="s">
        <v>617</v>
      </c>
      <c r="B63" s="77" t="s">
        <v>265</v>
      </c>
      <c r="C63" s="77">
        <v>4.333333333333333</v>
      </c>
    </row>
    <row r="64" spans="1:3" hidden="1" x14ac:dyDescent="0.25">
      <c r="A64" s="61" t="s">
        <v>483</v>
      </c>
      <c r="B64" s="77" t="s">
        <v>265</v>
      </c>
      <c r="C64" s="77">
        <v>7</v>
      </c>
    </row>
    <row r="65" spans="1:3" ht="15.75" hidden="1" customHeight="1" x14ac:dyDescent="0.25">
      <c r="A65" s="61" t="s">
        <v>1036</v>
      </c>
      <c r="B65" s="77" t="s">
        <v>266</v>
      </c>
      <c r="C65" s="77">
        <v>208845</v>
      </c>
    </row>
    <row r="66" spans="1:3" hidden="1" x14ac:dyDescent="0.25">
      <c r="A66" s="61" t="s">
        <v>1037</v>
      </c>
      <c r="B66" s="77" t="s">
        <v>266</v>
      </c>
      <c r="C66" s="77">
        <v>566.66666666666663</v>
      </c>
    </row>
    <row r="67" spans="1:3" hidden="1" x14ac:dyDescent="0.25">
      <c r="A67" s="61" t="s">
        <v>942</v>
      </c>
      <c r="B67" s="77" t="s">
        <v>266</v>
      </c>
      <c r="C67" s="77">
        <v>315</v>
      </c>
    </row>
    <row r="68" spans="1:3" hidden="1" x14ac:dyDescent="0.25">
      <c r="A68" s="61" t="s">
        <v>618</v>
      </c>
      <c r="B68" s="71" t="s">
        <v>266</v>
      </c>
      <c r="C68" s="71">
        <v>67.227999999999994</v>
      </c>
    </row>
    <row r="69" spans="1:3" hidden="1" x14ac:dyDescent="0.25">
      <c r="A69" s="61" t="s">
        <v>1038</v>
      </c>
      <c r="B69" s="77" t="s">
        <v>266</v>
      </c>
      <c r="C69" s="77">
        <v>1550</v>
      </c>
    </row>
    <row r="70" spans="1:3" hidden="1" x14ac:dyDescent="0.25">
      <c r="A70" s="61" t="s">
        <v>421</v>
      </c>
      <c r="B70" s="71" t="s">
        <v>266</v>
      </c>
      <c r="C70" s="71">
        <v>800</v>
      </c>
    </row>
    <row r="71" spans="1:3" hidden="1" x14ac:dyDescent="0.25">
      <c r="A71" s="61" t="s">
        <v>619</v>
      </c>
      <c r="B71" s="77" t="s">
        <v>266</v>
      </c>
      <c r="C71" s="77">
        <v>26.02</v>
      </c>
    </row>
    <row r="72" spans="1:3" hidden="1" x14ac:dyDescent="0.25">
      <c r="A72" s="61" t="s">
        <v>620</v>
      </c>
      <c r="B72" s="71" t="s">
        <v>266</v>
      </c>
      <c r="C72" s="71">
        <v>19531</v>
      </c>
    </row>
    <row r="73" spans="1:3" hidden="1" x14ac:dyDescent="0.25">
      <c r="A73" s="61" t="s">
        <v>1039</v>
      </c>
      <c r="B73" s="71" t="s">
        <v>266</v>
      </c>
      <c r="C73" s="71">
        <v>385.44</v>
      </c>
    </row>
    <row r="74" spans="1:3" ht="15.75" hidden="1" customHeight="1" x14ac:dyDescent="0.25">
      <c r="A74" s="61" t="s">
        <v>1040</v>
      </c>
      <c r="B74" s="77" t="s">
        <v>266</v>
      </c>
      <c r="C74" s="77">
        <v>43.196666666666665</v>
      </c>
    </row>
    <row r="75" spans="1:3" ht="15.75" hidden="1" customHeight="1" x14ac:dyDescent="0.25">
      <c r="A75" s="61" t="s">
        <v>621</v>
      </c>
      <c r="B75" s="77" t="s">
        <v>266</v>
      </c>
      <c r="C75" s="77">
        <v>35522</v>
      </c>
    </row>
    <row r="76" spans="1:3" hidden="1" x14ac:dyDescent="0.25">
      <c r="A76" s="65" t="s">
        <v>409</v>
      </c>
      <c r="B76" s="77" t="s">
        <v>266</v>
      </c>
      <c r="C76" s="77">
        <v>364.15000000000003</v>
      </c>
    </row>
    <row r="77" spans="1:3" hidden="1" x14ac:dyDescent="0.25">
      <c r="A77" s="61" t="s">
        <v>622</v>
      </c>
      <c r="B77" s="77" t="s">
        <v>266</v>
      </c>
      <c r="C77" s="77">
        <v>0</v>
      </c>
    </row>
    <row r="78" spans="1:3" ht="15.75" hidden="1" customHeight="1" x14ac:dyDescent="0.25">
      <c r="A78" s="61" t="s">
        <v>473</v>
      </c>
      <c r="B78" s="77" t="s">
        <v>266</v>
      </c>
      <c r="C78" s="77">
        <v>17</v>
      </c>
    </row>
    <row r="79" spans="1:3" ht="15.75" hidden="1" customHeight="1" x14ac:dyDescent="0.25">
      <c r="A79" s="61" t="s">
        <v>623</v>
      </c>
      <c r="B79" s="77" t="s">
        <v>266</v>
      </c>
      <c r="C79" s="77">
        <v>7.333333333333333</v>
      </c>
    </row>
    <row r="80" spans="1:3" hidden="1" x14ac:dyDescent="0.25">
      <c r="A80" s="61" t="s">
        <v>1041</v>
      </c>
      <c r="B80" s="77" t="s">
        <v>266</v>
      </c>
      <c r="C80" s="77">
        <v>0</v>
      </c>
    </row>
    <row r="81" spans="1:3" hidden="1" x14ac:dyDescent="0.25">
      <c r="A81" s="61" t="s">
        <v>1042</v>
      </c>
      <c r="B81" s="77" t="s">
        <v>266</v>
      </c>
      <c r="C81" s="77">
        <v>0</v>
      </c>
    </row>
    <row r="82" spans="1:3" ht="15.75" hidden="1" customHeight="1" x14ac:dyDescent="0.25">
      <c r="A82" s="61" t="s">
        <v>1043</v>
      </c>
      <c r="B82" s="77" t="s">
        <v>266</v>
      </c>
      <c r="C82" s="77">
        <v>433.33333333333331</v>
      </c>
    </row>
    <row r="83" spans="1:3" hidden="1" x14ac:dyDescent="0.25">
      <c r="A83" s="61" t="s">
        <v>1044</v>
      </c>
      <c r="B83" s="71" t="s">
        <v>266</v>
      </c>
      <c r="C83" s="71">
        <v>3.2333333333333329</v>
      </c>
    </row>
    <row r="84" spans="1:3" hidden="1" x14ac:dyDescent="0.25">
      <c r="A84" s="61" t="s">
        <v>690</v>
      </c>
      <c r="B84" s="77" t="s">
        <v>266</v>
      </c>
      <c r="C84" s="77">
        <v>14.666666666666666</v>
      </c>
    </row>
    <row r="85" spans="1:3" hidden="1" x14ac:dyDescent="0.25">
      <c r="A85" s="61" t="s">
        <v>425</v>
      </c>
      <c r="B85" s="77" t="s">
        <v>266</v>
      </c>
      <c r="C85" s="77">
        <v>890</v>
      </c>
    </row>
    <row r="86" spans="1:3" hidden="1" x14ac:dyDescent="0.25">
      <c r="A86" s="61" t="s">
        <v>1045</v>
      </c>
      <c r="B86" s="77" t="s">
        <v>266</v>
      </c>
      <c r="C86" s="77">
        <v>30932.666666666668</v>
      </c>
    </row>
    <row r="87" spans="1:3" hidden="1" x14ac:dyDescent="0.25">
      <c r="A87" s="61" t="s">
        <v>1261</v>
      </c>
      <c r="B87" s="77" t="s">
        <v>365</v>
      </c>
      <c r="C87" s="77">
        <v>0</v>
      </c>
    </row>
    <row r="88" spans="1:3" hidden="1" x14ac:dyDescent="0.25">
      <c r="A88" s="61" t="s">
        <v>190</v>
      </c>
      <c r="B88" s="77" t="s">
        <v>265</v>
      </c>
      <c r="C88" s="77">
        <v>0</v>
      </c>
    </row>
    <row r="89" spans="1:3" hidden="1" x14ac:dyDescent="0.25">
      <c r="A89" s="61" t="s">
        <v>1046</v>
      </c>
      <c r="B89" s="77" t="s">
        <v>265</v>
      </c>
      <c r="C89" s="77">
        <v>8.3638666666666666</v>
      </c>
    </row>
    <row r="90" spans="1:3" hidden="1" x14ac:dyDescent="0.25">
      <c r="A90" s="61" t="s">
        <v>1047</v>
      </c>
      <c r="B90" s="77" t="s">
        <v>266</v>
      </c>
      <c r="C90" s="77">
        <v>0</v>
      </c>
    </row>
    <row r="91" spans="1:3" hidden="1" x14ac:dyDescent="0.25">
      <c r="A91" s="61" t="s">
        <v>347</v>
      </c>
      <c r="B91" s="77" t="s">
        <v>265</v>
      </c>
      <c r="C91" s="77">
        <v>7.8</v>
      </c>
    </row>
    <row r="92" spans="1:3" hidden="1" x14ac:dyDescent="0.25">
      <c r="A92" s="65" t="s">
        <v>480</v>
      </c>
      <c r="B92" s="77" t="s">
        <v>265</v>
      </c>
      <c r="C92" s="77">
        <v>328.34</v>
      </c>
    </row>
    <row r="93" spans="1:3" hidden="1" x14ac:dyDescent="0.25">
      <c r="A93" s="61" t="s">
        <v>624</v>
      </c>
      <c r="B93" s="71" t="s">
        <v>365</v>
      </c>
      <c r="C93" s="71">
        <v>14896.958333330002</v>
      </c>
    </row>
    <row r="94" spans="1:3" hidden="1" x14ac:dyDescent="0.25">
      <c r="A94" s="61" t="s">
        <v>300</v>
      </c>
      <c r="B94" s="71" t="s">
        <v>266</v>
      </c>
      <c r="C94" s="71">
        <v>86744</v>
      </c>
    </row>
    <row r="95" spans="1:3" hidden="1" x14ac:dyDescent="0.25">
      <c r="A95" s="61" t="s">
        <v>301</v>
      </c>
      <c r="B95" s="77" t="s">
        <v>365</v>
      </c>
      <c r="C95" s="77">
        <v>6154.6666666700003</v>
      </c>
    </row>
    <row r="96" spans="1:3" hidden="1" x14ac:dyDescent="0.25">
      <c r="A96" s="61" t="s">
        <v>1262</v>
      </c>
      <c r="B96" s="77" t="s">
        <v>365</v>
      </c>
      <c r="C96" s="77">
        <v>7147.1666666700003</v>
      </c>
    </row>
    <row r="97" spans="1:3" ht="16.5" hidden="1" customHeight="1" x14ac:dyDescent="0.25">
      <c r="A97" s="61" t="s">
        <v>1048</v>
      </c>
      <c r="B97" s="71" t="s">
        <v>365</v>
      </c>
      <c r="C97" s="71">
        <v>0</v>
      </c>
    </row>
    <row r="98" spans="1:3" ht="16.5" hidden="1" customHeight="1" x14ac:dyDescent="0.25">
      <c r="A98" s="61" t="s">
        <v>454</v>
      </c>
      <c r="B98" s="77" t="s">
        <v>365</v>
      </c>
      <c r="C98" s="77">
        <v>6245.5833333299997</v>
      </c>
    </row>
    <row r="99" spans="1:3" ht="16.5" hidden="1" customHeight="1" x14ac:dyDescent="0.25">
      <c r="A99" s="61" t="s">
        <v>1049</v>
      </c>
      <c r="B99" s="77" t="s">
        <v>265</v>
      </c>
      <c r="C99" s="77">
        <v>0</v>
      </c>
    </row>
    <row r="100" spans="1:3" ht="16.5" hidden="1" customHeight="1" x14ac:dyDescent="0.25">
      <c r="A100" s="61" t="s">
        <v>1050</v>
      </c>
      <c r="B100" s="77" t="s">
        <v>265</v>
      </c>
      <c r="C100" s="77">
        <v>0</v>
      </c>
    </row>
    <row r="101" spans="1:3" ht="16.5" hidden="1" customHeight="1" x14ac:dyDescent="0.25">
      <c r="A101" s="61" t="s">
        <v>1051</v>
      </c>
      <c r="B101" s="77" t="s">
        <v>365</v>
      </c>
      <c r="C101" s="77">
        <v>0</v>
      </c>
    </row>
    <row r="102" spans="1:3" ht="16.5" hidden="1" customHeight="1" x14ac:dyDescent="0.25">
      <c r="A102" s="61" t="s">
        <v>350</v>
      </c>
      <c r="B102" s="77" t="s">
        <v>265</v>
      </c>
      <c r="C102" s="77">
        <v>68.432671080000006</v>
      </c>
    </row>
    <row r="103" spans="1:3" ht="16.5" hidden="1" customHeight="1" x14ac:dyDescent="0.25">
      <c r="A103" s="61" t="s">
        <v>685</v>
      </c>
      <c r="B103" s="77" t="s">
        <v>265</v>
      </c>
      <c r="C103" s="77">
        <v>8.2561999999999998</v>
      </c>
    </row>
    <row r="104" spans="1:3" ht="16.5" hidden="1" customHeight="1" x14ac:dyDescent="0.25">
      <c r="A104" s="61" t="s">
        <v>595</v>
      </c>
      <c r="B104" s="77" t="s">
        <v>265</v>
      </c>
      <c r="C104" s="77">
        <v>9.5350288066666664</v>
      </c>
    </row>
    <row r="105" spans="1:3" ht="16.5" hidden="1" customHeight="1" x14ac:dyDescent="0.25">
      <c r="A105" s="61" t="s">
        <v>373</v>
      </c>
      <c r="B105" s="77" t="s">
        <v>266</v>
      </c>
      <c r="C105" s="77">
        <v>485.71428571000001</v>
      </c>
    </row>
    <row r="106" spans="1:3" ht="16.5" hidden="1" customHeight="1" x14ac:dyDescent="0.25">
      <c r="A106" s="61" t="s">
        <v>430</v>
      </c>
      <c r="B106" s="77" t="s">
        <v>265</v>
      </c>
      <c r="C106" s="77">
        <v>4.8</v>
      </c>
    </row>
    <row r="107" spans="1:3" ht="16.5" hidden="1" customHeight="1" x14ac:dyDescent="0.25">
      <c r="A107" s="61" t="s">
        <v>162</v>
      </c>
      <c r="B107" s="77" t="s">
        <v>365</v>
      </c>
      <c r="C107" s="77">
        <v>4089.5833333300002</v>
      </c>
    </row>
    <row r="108" spans="1:3" ht="16.5" hidden="1" customHeight="1" x14ac:dyDescent="0.25">
      <c r="A108" s="62" t="s">
        <v>1052</v>
      </c>
      <c r="B108" s="77" t="s">
        <v>266</v>
      </c>
      <c r="C108" s="77">
        <v>0</v>
      </c>
    </row>
    <row r="109" spans="1:3" ht="16.5" hidden="1" customHeight="1" x14ac:dyDescent="0.25">
      <c r="A109" s="61" t="s">
        <v>592</v>
      </c>
      <c r="B109" s="77" t="s">
        <v>265</v>
      </c>
      <c r="C109" s="77">
        <v>240.62114536999999</v>
      </c>
    </row>
    <row r="110" spans="1:3" ht="16.5" hidden="1" customHeight="1" x14ac:dyDescent="0.25">
      <c r="A110" s="61" t="s">
        <v>1053</v>
      </c>
      <c r="B110" s="77" t="s">
        <v>265</v>
      </c>
      <c r="C110" s="77">
        <v>0</v>
      </c>
    </row>
    <row r="111" spans="1:3" hidden="1" x14ac:dyDescent="0.25">
      <c r="A111" s="61" t="s">
        <v>1054</v>
      </c>
      <c r="B111" s="77" t="s">
        <v>265</v>
      </c>
      <c r="C111" s="77">
        <v>2.4870758900000003</v>
      </c>
    </row>
    <row r="112" spans="1:3" hidden="1" x14ac:dyDescent="0.25">
      <c r="A112" s="61" t="s">
        <v>1055</v>
      </c>
      <c r="B112" s="77" t="s">
        <v>265</v>
      </c>
      <c r="C112" s="77">
        <v>0</v>
      </c>
    </row>
    <row r="113" spans="1:3" hidden="1" x14ac:dyDescent="0.25">
      <c r="A113" s="61" t="s">
        <v>1255</v>
      </c>
      <c r="B113" s="77" t="s">
        <v>265</v>
      </c>
      <c r="C113" s="77">
        <v>0</v>
      </c>
    </row>
    <row r="114" spans="1:3" hidden="1" x14ac:dyDescent="0.25">
      <c r="A114" s="61" t="s">
        <v>1242</v>
      </c>
      <c r="B114" s="77" t="s">
        <v>265</v>
      </c>
      <c r="C114" s="77">
        <v>0</v>
      </c>
    </row>
    <row r="115" spans="1:3" hidden="1" x14ac:dyDescent="0.25">
      <c r="A115" s="65" t="s">
        <v>1056</v>
      </c>
      <c r="B115" s="77" t="s">
        <v>265</v>
      </c>
      <c r="C115" s="77">
        <v>0</v>
      </c>
    </row>
    <row r="116" spans="1:3" hidden="1" x14ac:dyDescent="0.25">
      <c r="A116" s="61" t="s">
        <v>1057</v>
      </c>
      <c r="B116" s="71" t="s">
        <v>265</v>
      </c>
      <c r="C116" s="71">
        <v>5</v>
      </c>
    </row>
    <row r="117" spans="1:3" hidden="1" x14ac:dyDescent="0.25">
      <c r="A117" s="61" t="s">
        <v>1058</v>
      </c>
      <c r="B117" s="77" t="s">
        <v>265</v>
      </c>
      <c r="C117" s="77">
        <v>0</v>
      </c>
    </row>
    <row r="118" spans="1:3" hidden="1" x14ac:dyDescent="0.25">
      <c r="A118" s="61" t="s">
        <v>398</v>
      </c>
      <c r="B118" s="77" t="s">
        <v>265</v>
      </c>
      <c r="C118" s="77">
        <v>3.7999999999999994</v>
      </c>
    </row>
    <row r="119" spans="1:3" hidden="1" x14ac:dyDescent="0.25">
      <c r="A119" s="61" t="s">
        <v>1059</v>
      </c>
      <c r="B119" s="77" t="s">
        <v>265</v>
      </c>
      <c r="C119" s="77">
        <v>4.5</v>
      </c>
    </row>
    <row r="120" spans="1:3" hidden="1" x14ac:dyDescent="0.25">
      <c r="A120" s="61" t="s">
        <v>490</v>
      </c>
      <c r="B120" s="77" t="s">
        <v>265</v>
      </c>
      <c r="C120" s="77">
        <v>5</v>
      </c>
    </row>
    <row r="121" spans="1:3" hidden="1" x14ac:dyDescent="0.25">
      <c r="A121" s="61" t="s">
        <v>691</v>
      </c>
      <c r="B121" s="71" t="s">
        <v>265</v>
      </c>
      <c r="C121" s="71">
        <v>16</v>
      </c>
    </row>
    <row r="122" spans="1:3" hidden="1" x14ac:dyDescent="0.25">
      <c r="A122" s="61" t="s">
        <v>414</v>
      </c>
      <c r="B122" s="71" t="s">
        <v>265</v>
      </c>
      <c r="C122" s="71">
        <v>31.81697479</v>
      </c>
    </row>
    <row r="123" spans="1:3" hidden="1" x14ac:dyDescent="0.25">
      <c r="A123" s="61" t="s">
        <v>468</v>
      </c>
      <c r="B123" s="77" t="s">
        <v>266</v>
      </c>
      <c r="C123" s="77">
        <v>2335.0666666699999</v>
      </c>
    </row>
    <row r="124" spans="1:3" hidden="1" x14ac:dyDescent="0.25">
      <c r="A124" s="61" t="s">
        <v>43</v>
      </c>
      <c r="B124" s="77" t="s">
        <v>266</v>
      </c>
      <c r="C124" s="77">
        <v>2183</v>
      </c>
    </row>
    <row r="125" spans="1:3" hidden="1" x14ac:dyDescent="0.25">
      <c r="A125" s="61" t="s">
        <v>431</v>
      </c>
      <c r="B125" s="77" t="s">
        <v>266</v>
      </c>
      <c r="C125" s="77">
        <v>3121.375</v>
      </c>
    </row>
    <row r="126" spans="1:3" hidden="1" x14ac:dyDescent="0.25">
      <c r="A126" s="61" t="s">
        <v>467</v>
      </c>
      <c r="B126" s="77" t="s">
        <v>266</v>
      </c>
      <c r="C126" s="77">
        <v>0</v>
      </c>
    </row>
    <row r="127" spans="1:3" hidden="1" x14ac:dyDescent="0.25">
      <c r="A127" s="61" t="s">
        <v>510</v>
      </c>
      <c r="B127" s="77" t="s">
        <v>266</v>
      </c>
      <c r="C127" s="77">
        <v>2966</v>
      </c>
    </row>
    <row r="128" spans="1:3" hidden="1" x14ac:dyDescent="0.25">
      <c r="A128" s="61" t="s">
        <v>259</v>
      </c>
      <c r="B128" s="77" t="s">
        <v>266</v>
      </c>
      <c r="C128" s="77">
        <v>3465.2083333300002</v>
      </c>
    </row>
    <row r="129" spans="1:3" hidden="1" x14ac:dyDescent="0.25">
      <c r="A129" s="61" t="s">
        <v>625</v>
      </c>
      <c r="B129" s="77" t="s">
        <v>266</v>
      </c>
      <c r="C129" s="77">
        <v>2735.2222222199998</v>
      </c>
    </row>
    <row r="130" spans="1:3" hidden="1" x14ac:dyDescent="0.25">
      <c r="A130" s="61" t="s">
        <v>1060</v>
      </c>
      <c r="B130" s="77" t="s">
        <v>266</v>
      </c>
      <c r="C130" s="77">
        <v>3261.8333333300002</v>
      </c>
    </row>
    <row r="131" spans="1:3" hidden="1" x14ac:dyDescent="0.25">
      <c r="A131" s="61" t="s">
        <v>552</v>
      </c>
      <c r="B131" s="71" t="s">
        <v>266</v>
      </c>
      <c r="C131" s="71">
        <v>1266.6666666666667</v>
      </c>
    </row>
    <row r="132" spans="1:3" hidden="1" x14ac:dyDescent="0.25">
      <c r="A132" s="61" t="s">
        <v>1061</v>
      </c>
      <c r="B132" s="77" t="s">
        <v>266</v>
      </c>
      <c r="C132" s="77">
        <v>0</v>
      </c>
    </row>
    <row r="133" spans="1:3" hidden="1" x14ac:dyDescent="0.25">
      <c r="A133" s="63" t="s">
        <v>46</v>
      </c>
      <c r="B133" s="77" t="s">
        <v>266</v>
      </c>
      <c r="C133" s="77">
        <v>3101.9166666699998</v>
      </c>
    </row>
    <row r="134" spans="1:3" hidden="1" x14ac:dyDescent="0.25">
      <c r="A134" s="61" t="s">
        <v>626</v>
      </c>
      <c r="B134" s="77" t="s">
        <v>266</v>
      </c>
      <c r="C134" s="77">
        <v>11200</v>
      </c>
    </row>
    <row r="135" spans="1:3" hidden="1" x14ac:dyDescent="0.25">
      <c r="A135" s="61" t="s">
        <v>1062</v>
      </c>
      <c r="B135" s="77" t="s">
        <v>265</v>
      </c>
      <c r="C135" s="77">
        <v>0</v>
      </c>
    </row>
    <row r="136" spans="1:3" hidden="1" x14ac:dyDescent="0.25">
      <c r="A136" s="61" t="s">
        <v>1063</v>
      </c>
      <c r="B136" s="77" t="s">
        <v>265</v>
      </c>
      <c r="C136" s="77">
        <v>26</v>
      </c>
    </row>
    <row r="137" spans="1:3" hidden="1" x14ac:dyDescent="0.25">
      <c r="A137" s="61" t="s">
        <v>417</v>
      </c>
      <c r="B137" s="77" t="s">
        <v>265</v>
      </c>
      <c r="C137" s="77">
        <v>27</v>
      </c>
    </row>
    <row r="138" spans="1:3" hidden="1" x14ac:dyDescent="0.25">
      <c r="A138" s="61" t="s">
        <v>561</v>
      </c>
      <c r="B138" s="77" t="s">
        <v>265</v>
      </c>
      <c r="C138" s="77">
        <v>32.5</v>
      </c>
    </row>
    <row r="139" spans="1:3" hidden="1" x14ac:dyDescent="0.25">
      <c r="A139" s="61" t="s">
        <v>387</v>
      </c>
      <c r="B139" s="77" t="s">
        <v>266</v>
      </c>
      <c r="C139" s="77">
        <v>8755</v>
      </c>
    </row>
    <row r="140" spans="1:3" hidden="1" x14ac:dyDescent="0.25">
      <c r="A140" s="61" t="s">
        <v>1064</v>
      </c>
      <c r="B140" s="77" t="s">
        <v>265</v>
      </c>
      <c r="C140" s="77">
        <v>0</v>
      </c>
    </row>
    <row r="141" spans="1:3" hidden="1" x14ac:dyDescent="0.25">
      <c r="A141" s="61" t="s">
        <v>1238</v>
      </c>
      <c r="B141" s="77" t="s">
        <v>265</v>
      </c>
      <c r="C141" s="77">
        <v>0</v>
      </c>
    </row>
    <row r="142" spans="1:3" hidden="1" x14ac:dyDescent="0.25">
      <c r="A142" s="61" t="s">
        <v>383</v>
      </c>
      <c r="B142" s="77" t="s">
        <v>266</v>
      </c>
      <c r="C142" s="77">
        <v>4986.0833333299997</v>
      </c>
    </row>
    <row r="143" spans="1:3" hidden="1" x14ac:dyDescent="0.25">
      <c r="A143" s="61" t="s">
        <v>446</v>
      </c>
      <c r="B143" s="77" t="s">
        <v>265</v>
      </c>
      <c r="C143" s="77">
        <v>5.5</v>
      </c>
    </row>
    <row r="144" spans="1:3" hidden="1" x14ac:dyDescent="0.25">
      <c r="A144" s="61" t="s">
        <v>344</v>
      </c>
      <c r="B144" s="77" t="s">
        <v>365</v>
      </c>
      <c r="C144" s="77">
        <v>2036.91666667</v>
      </c>
    </row>
    <row r="145" spans="1:3" hidden="1" x14ac:dyDescent="0.25">
      <c r="A145" s="61" t="s">
        <v>429</v>
      </c>
      <c r="B145" s="71" t="s">
        <v>365</v>
      </c>
      <c r="C145" s="71">
        <v>2627.6875</v>
      </c>
    </row>
    <row r="146" spans="1:3" hidden="1" x14ac:dyDescent="0.25">
      <c r="A146" s="61" t="s">
        <v>1065</v>
      </c>
      <c r="B146" s="77" t="s">
        <v>265</v>
      </c>
      <c r="C146" s="77">
        <v>0</v>
      </c>
    </row>
    <row r="147" spans="1:3" hidden="1" x14ac:dyDescent="0.25">
      <c r="A147" s="61" t="s">
        <v>943</v>
      </c>
      <c r="B147" s="77" t="s">
        <v>265</v>
      </c>
      <c r="C147" s="77">
        <v>82.471081679999998</v>
      </c>
    </row>
    <row r="148" spans="1:3" hidden="1" x14ac:dyDescent="0.25">
      <c r="A148" s="61" t="s">
        <v>1066</v>
      </c>
      <c r="B148" s="77" t="s">
        <v>266</v>
      </c>
      <c r="C148" s="77">
        <v>0</v>
      </c>
    </row>
    <row r="149" spans="1:3" hidden="1" x14ac:dyDescent="0.25">
      <c r="A149" s="61" t="s">
        <v>270</v>
      </c>
      <c r="B149" s="77" t="s">
        <v>266</v>
      </c>
      <c r="C149" s="77">
        <v>2284.1416666700002</v>
      </c>
    </row>
    <row r="150" spans="1:3" hidden="1" x14ac:dyDescent="0.25">
      <c r="A150" s="61" t="s">
        <v>271</v>
      </c>
      <c r="B150" s="71" t="s">
        <v>266</v>
      </c>
      <c r="C150" s="71">
        <v>2119.6875</v>
      </c>
    </row>
    <row r="151" spans="1:3" hidden="1" x14ac:dyDescent="0.25">
      <c r="A151" s="61" t="s">
        <v>423</v>
      </c>
      <c r="B151" s="77" t="s">
        <v>265</v>
      </c>
      <c r="C151" s="77">
        <v>40.594999999999999</v>
      </c>
    </row>
    <row r="152" spans="1:3" hidden="1" x14ac:dyDescent="0.25">
      <c r="A152" s="61" t="s">
        <v>474</v>
      </c>
      <c r="B152" s="77" t="s">
        <v>265</v>
      </c>
      <c r="C152" s="77">
        <v>40.594999999999999</v>
      </c>
    </row>
    <row r="153" spans="1:3" hidden="1" x14ac:dyDescent="0.25">
      <c r="A153" s="61" t="s">
        <v>1067</v>
      </c>
      <c r="B153" s="77" t="s">
        <v>265</v>
      </c>
      <c r="C153" s="77">
        <v>8.5</v>
      </c>
    </row>
    <row r="154" spans="1:3" hidden="1" x14ac:dyDescent="0.25">
      <c r="A154" s="61" t="s">
        <v>385</v>
      </c>
      <c r="B154" s="77" t="s">
        <v>266</v>
      </c>
      <c r="C154" s="77">
        <v>4986.0833333299997</v>
      </c>
    </row>
    <row r="155" spans="1:3" hidden="1" x14ac:dyDescent="0.25">
      <c r="A155" s="61" t="s">
        <v>456</v>
      </c>
      <c r="B155" s="77" t="s">
        <v>265</v>
      </c>
      <c r="C155" s="77">
        <v>24</v>
      </c>
    </row>
    <row r="156" spans="1:3" hidden="1" x14ac:dyDescent="0.25">
      <c r="A156" s="61" t="s">
        <v>370</v>
      </c>
      <c r="B156" s="77" t="s">
        <v>266</v>
      </c>
      <c r="C156" s="77">
        <v>17250</v>
      </c>
    </row>
    <row r="157" spans="1:3" hidden="1" x14ac:dyDescent="0.25">
      <c r="A157" s="61" t="s">
        <v>1068</v>
      </c>
      <c r="B157" s="77" t="s">
        <v>266</v>
      </c>
      <c r="C157" s="77">
        <v>17473.5</v>
      </c>
    </row>
    <row r="158" spans="1:3" hidden="1" x14ac:dyDescent="0.25">
      <c r="A158" s="61" t="s">
        <v>1069</v>
      </c>
      <c r="B158" s="77" t="s">
        <v>266</v>
      </c>
      <c r="C158" s="77">
        <v>27922.1</v>
      </c>
    </row>
    <row r="159" spans="1:3" hidden="1" x14ac:dyDescent="0.25">
      <c r="A159" s="61" t="s">
        <v>520</v>
      </c>
      <c r="B159" s="71" t="s">
        <v>265</v>
      </c>
      <c r="C159" s="71">
        <v>99.393333333333331</v>
      </c>
    </row>
    <row r="160" spans="1:3" hidden="1" x14ac:dyDescent="0.25">
      <c r="A160" s="61" t="s">
        <v>1070</v>
      </c>
      <c r="B160" s="77" t="s">
        <v>265</v>
      </c>
      <c r="C160" s="77">
        <v>0</v>
      </c>
    </row>
    <row r="161" spans="1:3" hidden="1" x14ac:dyDescent="0.25">
      <c r="A161" s="61" t="s">
        <v>1263</v>
      </c>
      <c r="B161" s="71" t="s">
        <v>266</v>
      </c>
      <c r="C161" s="71">
        <v>1975</v>
      </c>
    </row>
    <row r="162" spans="1:3" hidden="1" x14ac:dyDescent="0.25">
      <c r="A162" s="61" t="s">
        <v>459</v>
      </c>
      <c r="B162" s="77" t="s">
        <v>265</v>
      </c>
      <c r="C162" s="77">
        <v>58.140352939999993</v>
      </c>
    </row>
    <row r="163" spans="1:3" hidden="1" x14ac:dyDescent="0.25">
      <c r="A163" s="61" t="s">
        <v>1071</v>
      </c>
      <c r="B163" s="77" t="s">
        <v>266</v>
      </c>
      <c r="C163" s="77">
        <v>128614.2</v>
      </c>
    </row>
    <row r="164" spans="1:3" hidden="1" x14ac:dyDescent="0.25">
      <c r="A164" s="61" t="s">
        <v>1072</v>
      </c>
      <c r="B164" s="77" t="s">
        <v>266</v>
      </c>
      <c r="C164" s="77">
        <v>43617.333333333336</v>
      </c>
    </row>
    <row r="165" spans="1:3" hidden="1" x14ac:dyDescent="0.25">
      <c r="A165" s="61" t="s">
        <v>1073</v>
      </c>
      <c r="B165" s="77" t="s">
        <v>266</v>
      </c>
      <c r="C165" s="77">
        <v>0</v>
      </c>
    </row>
    <row r="166" spans="1:3" hidden="1" x14ac:dyDescent="0.25">
      <c r="A166" s="61" t="s">
        <v>500</v>
      </c>
      <c r="B166" s="77" t="s">
        <v>266</v>
      </c>
      <c r="C166" s="77">
        <v>81.81</v>
      </c>
    </row>
    <row r="167" spans="1:3" hidden="1" x14ac:dyDescent="0.25">
      <c r="A167" s="61" t="s">
        <v>1074</v>
      </c>
      <c r="B167" s="77" t="s">
        <v>266</v>
      </c>
      <c r="C167" s="77">
        <v>0</v>
      </c>
    </row>
    <row r="168" spans="1:3" hidden="1" x14ac:dyDescent="0.25">
      <c r="A168" s="61" t="s">
        <v>584</v>
      </c>
      <c r="B168" s="77" t="s">
        <v>265</v>
      </c>
      <c r="C168" s="77">
        <v>83.555338939999999</v>
      </c>
    </row>
    <row r="169" spans="1:3" hidden="1" x14ac:dyDescent="0.25">
      <c r="A169" s="61" t="s">
        <v>1075</v>
      </c>
      <c r="B169" s="77" t="s">
        <v>265</v>
      </c>
      <c r="C169" s="77">
        <v>0</v>
      </c>
    </row>
    <row r="170" spans="1:3" hidden="1" x14ac:dyDescent="0.25">
      <c r="A170" s="61" t="s">
        <v>1076</v>
      </c>
      <c r="B170" s="77" t="s">
        <v>265</v>
      </c>
      <c r="C170" s="77">
        <v>0</v>
      </c>
    </row>
    <row r="171" spans="1:3" hidden="1" x14ac:dyDescent="0.25">
      <c r="A171" s="61" t="s">
        <v>413</v>
      </c>
      <c r="B171" s="77" t="s">
        <v>265</v>
      </c>
      <c r="C171" s="77">
        <v>17.00824742</v>
      </c>
    </row>
    <row r="172" spans="1:3" hidden="1" x14ac:dyDescent="0.25">
      <c r="A172" s="61" t="s">
        <v>1077</v>
      </c>
      <c r="B172" s="77" t="s">
        <v>265</v>
      </c>
      <c r="C172" s="77">
        <v>27.34</v>
      </c>
    </row>
    <row r="173" spans="1:3" hidden="1" x14ac:dyDescent="0.25">
      <c r="A173" s="61" t="s">
        <v>627</v>
      </c>
      <c r="B173" s="77" t="s">
        <v>266</v>
      </c>
      <c r="C173" s="77">
        <v>136.71235293999999</v>
      </c>
    </row>
    <row r="174" spans="1:3" hidden="1" x14ac:dyDescent="0.25">
      <c r="A174" s="61" t="s">
        <v>1078</v>
      </c>
      <c r="B174" s="77" t="s">
        <v>266</v>
      </c>
      <c r="C174" s="77">
        <v>90.56</v>
      </c>
    </row>
    <row r="175" spans="1:3" hidden="1" x14ac:dyDescent="0.25">
      <c r="A175" s="65" t="s">
        <v>1079</v>
      </c>
      <c r="B175" s="77" t="s">
        <v>265</v>
      </c>
      <c r="C175" s="77">
        <v>0</v>
      </c>
    </row>
    <row r="176" spans="1:3" hidden="1" x14ac:dyDescent="0.25">
      <c r="A176" s="61" t="s">
        <v>1080</v>
      </c>
      <c r="B176" s="77" t="s">
        <v>266</v>
      </c>
      <c r="C176" s="77">
        <v>0</v>
      </c>
    </row>
    <row r="177" spans="1:3" hidden="1" x14ac:dyDescent="0.25">
      <c r="A177" s="61" t="s">
        <v>381</v>
      </c>
      <c r="B177" s="71" t="s">
        <v>266</v>
      </c>
      <c r="C177" s="71">
        <v>895.4</v>
      </c>
    </row>
    <row r="178" spans="1:3" hidden="1" x14ac:dyDescent="0.25">
      <c r="A178" s="61" t="s">
        <v>1081</v>
      </c>
      <c r="B178" s="77" t="s">
        <v>265</v>
      </c>
      <c r="C178" s="77">
        <v>28.306684870000002</v>
      </c>
    </row>
    <row r="179" spans="1:3" hidden="1" x14ac:dyDescent="0.25">
      <c r="A179" s="65" t="s">
        <v>1082</v>
      </c>
      <c r="B179" s="77" t="s">
        <v>265</v>
      </c>
      <c r="C179" s="77">
        <v>55.874666666666663</v>
      </c>
    </row>
    <row r="180" spans="1:3" hidden="1" x14ac:dyDescent="0.25">
      <c r="A180" s="61" t="s">
        <v>1083</v>
      </c>
      <c r="B180" s="71" t="s">
        <v>266</v>
      </c>
      <c r="C180" s="71">
        <v>0</v>
      </c>
    </row>
    <row r="181" spans="1:3" hidden="1" x14ac:dyDescent="0.25">
      <c r="A181" s="61" t="s">
        <v>628</v>
      </c>
      <c r="B181" s="77" t="s">
        <v>266</v>
      </c>
      <c r="C181" s="77">
        <v>1696.4444444433332</v>
      </c>
    </row>
    <row r="182" spans="1:3" hidden="1" x14ac:dyDescent="0.25">
      <c r="A182" s="61" t="s">
        <v>629</v>
      </c>
      <c r="B182" s="77" t="s">
        <v>365</v>
      </c>
      <c r="C182" s="77">
        <v>4277.7777777766669</v>
      </c>
    </row>
    <row r="183" spans="1:3" hidden="1" x14ac:dyDescent="0.25">
      <c r="A183" s="61" t="s">
        <v>630</v>
      </c>
      <c r="B183" s="77" t="s">
        <v>365</v>
      </c>
      <c r="C183" s="77">
        <v>15769.5</v>
      </c>
    </row>
    <row r="184" spans="1:3" hidden="1" x14ac:dyDescent="0.25">
      <c r="A184" s="61" t="s">
        <v>631</v>
      </c>
      <c r="B184" s="77" t="s">
        <v>365</v>
      </c>
      <c r="C184" s="77">
        <v>13020.86363636</v>
      </c>
    </row>
    <row r="185" spans="1:3" hidden="1" x14ac:dyDescent="0.25">
      <c r="A185" s="61" t="s">
        <v>1084</v>
      </c>
      <c r="B185" s="77" t="s">
        <v>365</v>
      </c>
      <c r="C185" s="77">
        <v>11532.86363636</v>
      </c>
    </row>
    <row r="186" spans="1:3" hidden="1" x14ac:dyDescent="0.25">
      <c r="A186" s="61" t="s">
        <v>546</v>
      </c>
      <c r="B186" s="77" t="s">
        <v>265</v>
      </c>
      <c r="C186" s="77">
        <v>0</v>
      </c>
    </row>
    <row r="187" spans="1:3" hidden="1" x14ac:dyDescent="0.25">
      <c r="A187" s="61" t="s">
        <v>198</v>
      </c>
      <c r="B187" s="77" t="s">
        <v>266</v>
      </c>
      <c r="C187" s="77">
        <v>4986.0833333299997</v>
      </c>
    </row>
    <row r="188" spans="1:3" hidden="1" x14ac:dyDescent="0.25">
      <c r="A188" s="61" t="s">
        <v>1085</v>
      </c>
      <c r="B188" s="77" t="s">
        <v>266</v>
      </c>
      <c r="C188" s="77">
        <v>4196.666666666667</v>
      </c>
    </row>
    <row r="189" spans="1:3" hidden="1" x14ac:dyDescent="0.25">
      <c r="A189" s="61" t="s">
        <v>1086</v>
      </c>
      <c r="B189" s="77" t="s">
        <v>266</v>
      </c>
      <c r="C189" s="77">
        <v>81616</v>
      </c>
    </row>
    <row r="190" spans="1:3" hidden="1" x14ac:dyDescent="0.25">
      <c r="A190" s="61" t="s">
        <v>944</v>
      </c>
      <c r="B190" s="77" t="s">
        <v>265</v>
      </c>
      <c r="C190" s="77">
        <v>0</v>
      </c>
    </row>
    <row r="191" spans="1:3" hidden="1" x14ac:dyDescent="0.25">
      <c r="A191" s="61" t="s">
        <v>1087</v>
      </c>
      <c r="B191" s="77" t="s">
        <v>265</v>
      </c>
      <c r="C191" s="77">
        <v>4</v>
      </c>
    </row>
    <row r="192" spans="1:3" hidden="1" x14ac:dyDescent="0.25">
      <c r="A192" s="61" t="s">
        <v>1088</v>
      </c>
      <c r="B192" s="77" t="s">
        <v>266</v>
      </c>
      <c r="C192" s="77">
        <v>0</v>
      </c>
    </row>
    <row r="193" spans="1:3" hidden="1" x14ac:dyDescent="0.25">
      <c r="A193" s="61" t="s">
        <v>1089</v>
      </c>
      <c r="B193" s="71" t="s">
        <v>266</v>
      </c>
      <c r="C193" s="71">
        <v>3454.9333333333329</v>
      </c>
    </row>
    <row r="194" spans="1:3" hidden="1" x14ac:dyDescent="0.25">
      <c r="A194" s="61" t="s">
        <v>1090</v>
      </c>
      <c r="B194" s="77" t="s">
        <v>266</v>
      </c>
      <c r="C194" s="77">
        <v>3413</v>
      </c>
    </row>
    <row r="195" spans="1:3" hidden="1" x14ac:dyDescent="0.25">
      <c r="A195" s="61" t="s">
        <v>1264</v>
      </c>
      <c r="B195" s="77" t="s">
        <v>266</v>
      </c>
      <c r="C195" s="77">
        <v>17726</v>
      </c>
    </row>
    <row r="196" spans="1:3" hidden="1" x14ac:dyDescent="0.25">
      <c r="A196" s="61" t="s">
        <v>492</v>
      </c>
      <c r="B196" s="77" t="s">
        <v>266</v>
      </c>
      <c r="C196" s="77">
        <v>5182.3333333299997</v>
      </c>
    </row>
    <row r="197" spans="1:3" hidden="1" x14ac:dyDescent="0.25">
      <c r="A197" s="61" t="s">
        <v>1091</v>
      </c>
      <c r="B197" s="77" t="s">
        <v>266</v>
      </c>
      <c r="C197" s="77">
        <v>984.77777778000006</v>
      </c>
    </row>
    <row r="198" spans="1:3" hidden="1" x14ac:dyDescent="0.25">
      <c r="A198" s="61" t="s">
        <v>632</v>
      </c>
      <c r="B198" s="77" t="s">
        <v>266</v>
      </c>
      <c r="C198" s="77">
        <v>22425</v>
      </c>
    </row>
    <row r="199" spans="1:3" hidden="1" x14ac:dyDescent="0.25">
      <c r="A199" s="61" t="s">
        <v>692</v>
      </c>
      <c r="B199" s="77" t="s">
        <v>266</v>
      </c>
      <c r="C199" s="77">
        <v>71318</v>
      </c>
    </row>
    <row r="200" spans="1:3" hidden="1" x14ac:dyDescent="0.25">
      <c r="A200" s="64" t="s">
        <v>1092</v>
      </c>
      <c r="B200" s="78" t="s">
        <v>365</v>
      </c>
      <c r="C200" s="79">
        <v>0</v>
      </c>
    </row>
    <row r="201" spans="1:3" hidden="1" x14ac:dyDescent="0.25">
      <c r="A201" s="64" t="s">
        <v>1093</v>
      </c>
      <c r="B201" s="78" t="s">
        <v>266</v>
      </c>
      <c r="C201" s="79">
        <v>0</v>
      </c>
    </row>
    <row r="202" spans="1:3" hidden="1" x14ac:dyDescent="0.25">
      <c r="A202" s="64" t="s">
        <v>1094</v>
      </c>
      <c r="B202" s="72" t="s">
        <v>265</v>
      </c>
      <c r="C202" s="73">
        <v>0</v>
      </c>
    </row>
    <row r="203" spans="1:3" hidden="1" x14ac:dyDescent="0.25">
      <c r="A203" s="64" t="s">
        <v>415</v>
      </c>
      <c r="B203" s="78" t="s">
        <v>265</v>
      </c>
      <c r="C203" s="79">
        <v>15.154000000000002</v>
      </c>
    </row>
    <row r="204" spans="1:3" hidden="1" x14ac:dyDescent="0.25">
      <c r="A204" s="64" t="s">
        <v>53</v>
      </c>
      <c r="B204" s="78" t="s">
        <v>265</v>
      </c>
      <c r="C204" s="79">
        <v>51.296296300000002</v>
      </c>
    </row>
    <row r="205" spans="1:3" hidden="1" x14ac:dyDescent="0.25">
      <c r="A205" s="64" t="s">
        <v>1095</v>
      </c>
      <c r="B205" s="72" t="s">
        <v>266</v>
      </c>
      <c r="C205" s="73">
        <v>0</v>
      </c>
    </row>
    <row r="206" spans="1:3" hidden="1" x14ac:dyDescent="0.25">
      <c r="A206" s="64" t="s">
        <v>1096</v>
      </c>
      <c r="B206" s="78" t="s">
        <v>266</v>
      </c>
      <c r="C206" s="79">
        <v>2600</v>
      </c>
    </row>
    <row r="207" spans="1:3" hidden="1" x14ac:dyDescent="0.25">
      <c r="A207" s="64" t="s">
        <v>1005</v>
      </c>
      <c r="B207" s="78" t="s">
        <v>266</v>
      </c>
      <c r="C207" s="79">
        <v>4680</v>
      </c>
    </row>
    <row r="208" spans="1:3" hidden="1" x14ac:dyDescent="0.25">
      <c r="A208" s="64" t="s">
        <v>377</v>
      </c>
      <c r="B208" s="78" t="s">
        <v>266</v>
      </c>
      <c r="C208" s="79">
        <v>0</v>
      </c>
    </row>
    <row r="209" spans="1:3" hidden="1" x14ac:dyDescent="0.25">
      <c r="A209" s="64" t="s">
        <v>368</v>
      </c>
      <c r="B209" s="78" t="s">
        <v>265</v>
      </c>
      <c r="C209" s="79">
        <v>37</v>
      </c>
    </row>
    <row r="210" spans="1:3" hidden="1" x14ac:dyDescent="0.25">
      <c r="A210" s="64" t="s">
        <v>693</v>
      </c>
      <c r="B210" s="78" t="s">
        <v>266</v>
      </c>
      <c r="C210" s="79">
        <v>98175</v>
      </c>
    </row>
    <row r="211" spans="1:3" hidden="1" x14ac:dyDescent="0.25">
      <c r="A211" s="64" t="s">
        <v>523</v>
      </c>
      <c r="B211" s="78" t="s">
        <v>265</v>
      </c>
      <c r="C211" s="79">
        <v>98.429500000000004</v>
      </c>
    </row>
    <row r="212" spans="1:3" hidden="1" x14ac:dyDescent="0.25">
      <c r="A212" s="64" t="s">
        <v>436</v>
      </c>
      <c r="B212" s="78" t="s">
        <v>265</v>
      </c>
      <c r="C212" s="79">
        <v>180</v>
      </c>
    </row>
    <row r="213" spans="1:3" hidden="1" x14ac:dyDescent="0.25">
      <c r="A213" s="64" t="s">
        <v>633</v>
      </c>
      <c r="B213" s="78" t="s">
        <v>266</v>
      </c>
      <c r="C213" s="79">
        <v>27250</v>
      </c>
    </row>
    <row r="214" spans="1:3" hidden="1" x14ac:dyDescent="0.25">
      <c r="A214" s="61" t="s">
        <v>634</v>
      </c>
      <c r="B214" s="77" t="s">
        <v>266</v>
      </c>
      <c r="C214" s="80">
        <v>87241.5</v>
      </c>
    </row>
    <row r="215" spans="1:3" hidden="1" x14ac:dyDescent="0.25">
      <c r="A215" s="61" t="s">
        <v>487</v>
      </c>
      <c r="B215" s="77" t="s">
        <v>265</v>
      </c>
      <c r="C215" s="80">
        <v>16</v>
      </c>
    </row>
    <row r="216" spans="1:3" hidden="1" x14ac:dyDescent="0.25">
      <c r="A216" s="61" t="s">
        <v>427</v>
      </c>
      <c r="B216" s="77" t="s">
        <v>265</v>
      </c>
      <c r="C216" s="80">
        <v>15.5</v>
      </c>
    </row>
    <row r="217" spans="1:3" hidden="1" x14ac:dyDescent="0.25">
      <c r="A217" s="61" t="s">
        <v>1097</v>
      </c>
      <c r="B217" s="77" t="s">
        <v>266</v>
      </c>
      <c r="C217" s="80">
        <f>1940.33333083/1500</f>
        <v>1.2935555538866668</v>
      </c>
    </row>
    <row r="218" spans="1:3" hidden="1" x14ac:dyDescent="0.25">
      <c r="A218" s="61" t="s">
        <v>340</v>
      </c>
      <c r="B218" s="77" t="s">
        <v>265</v>
      </c>
      <c r="C218" s="80">
        <v>13.333333333333334</v>
      </c>
    </row>
    <row r="219" spans="1:3" hidden="1" x14ac:dyDescent="0.25">
      <c r="A219" s="61" t="s">
        <v>1098</v>
      </c>
      <c r="B219" s="77" t="s">
        <v>265</v>
      </c>
      <c r="C219" s="80">
        <v>0</v>
      </c>
    </row>
    <row r="220" spans="1:3" hidden="1" x14ac:dyDescent="0.25">
      <c r="A220" s="61" t="s">
        <v>375</v>
      </c>
      <c r="B220" s="77" t="s">
        <v>365</v>
      </c>
      <c r="C220" s="80">
        <v>8980.25</v>
      </c>
    </row>
    <row r="221" spans="1:3" hidden="1" x14ac:dyDescent="0.25">
      <c r="A221" s="61" t="s">
        <v>191</v>
      </c>
      <c r="B221" s="77" t="s">
        <v>365</v>
      </c>
      <c r="C221" s="80">
        <v>4390</v>
      </c>
    </row>
    <row r="222" spans="1:3" hidden="1" x14ac:dyDescent="0.25">
      <c r="A222" s="61" t="s">
        <v>635</v>
      </c>
      <c r="B222" s="77" t="s">
        <v>365</v>
      </c>
      <c r="C222" s="80">
        <v>6227.3181818200001</v>
      </c>
    </row>
    <row r="223" spans="1:3" hidden="1" x14ac:dyDescent="0.25">
      <c r="A223" s="61" t="s">
        <v>254</v>
      </c>
      <c r="B223" s="71" t="s">
        <v>266</v>
      </c>
      <c r="C223" s="74">
        <v>1709.9658273299999</v>
      </c>
    </row>
    <row r="224" spans="1:3" hidden="1" x14ac:dyDescent="0.25">
      <c r="A224" s="61" t="s">
        <v>390</v>
      </c>
      <c r="B224" s="77" t="s">
        <v>266</v>
      </c>
      <c r="C224" s="80">
        <v>5133.6666666700003</v>
      </c>
    </row>
    <row r="225" spans="1:3" hidden="1" x14ac:dyDescent="0.25">
      <c r="A225" s="61" t="s">
        <v>432</v>
      </c>
      <c r="B225" s="77" t="s">
        <v>365</v>
      </c>
      <c r="C225" s="80">
        <v>3090.4545454499998</v>
      </c>
    </row>
    <row r="226" spans="1:3" hidden="1" x14ac:dyDescent="0.25">
      <c r="A226" s="61" t="s">
        <v>434</v>
      </c>
      <c r="B226" s="77" t="s">
        <v>266</v>
      </c>
      <c r="C226" s="80">
        <v>424.55</v>
      </c>
    </row>
    <row r="227" spans="1:3" hidden="1" x14ac:dyDescent="0.25">
      <c r="A227" s="61" t="s">
        <v>1099</v>
      </c>
      <c r="B227" s="71" t="s">
        <v>266</v>
      </c>
      <c r="C227" s="74">
        <v>4703</v>
      </c>
    </row>
    <row r="228" spans="1:3" hidden="1" x14ac:dyDescent="0.25">
      <c r="A228" s="61" t="s">
        <v>403</v>
      </c>
      <c r="B228" s="77" t="s">
        <v>265</v>
      </c>
      <c r="C228" s="80">
        <v>482.66183940000002</v>
      </c>
    </row>
    <row r="229" spans="1:3" hidden="1" x14ac:dyDescent="0.25">
      <c r="A229" s="61" t="s">
        <v>636</v>
      </c>
      <c r="B229" s="77" t="s">
        <v>365</v>
      </c>
      <c r="C229" s="80">
        <v>8727.2727272699995</v>
      </c>
    </row>
    <row r="230" spans="1:3" hidden="1" x14ac:dyDescent="0.25">
      <c r="A230" s="61" t="s">
        <v>515</v>
      </c>
      <c r="B230" s="77" t="s">
        <v>266</v>
      </c>
      <c r="C230" s="80">
        <v>119.25</v>
      </c>
    </row>
    <row r="231" spans="1:3" hidden="1" x14ac:dyDescent="0.25">
      <c r="A231" s="61" t="s">
        <v>439</v>
      </c>
      <c r="B231" s="77" t="s">
        <v>266</v>
      </c>
      <c r="C231" s="80">
        <v>21731.75</v>
      </c>
    </row>
    <row r="232" spans="1:3" hidden="1" x14ac:dyDescent="0.25">
      <c r="A232" s="61" t="s">
        <v>481</v>
      </c>
      <c r="B232" s="77" t="s">
        <v>266</v>
      </c>
      <c r="C232" s="80">
        <v>217.32000000000002</v>
      </c>
    </row>
    <row r="233" spans="1:3" hidden="1" x14ac:dyDescent="0.25">
      <c r="A233" s="61" t="s">
        <v>1100</v>
      </c>
      <c r="B233" s="77" t="s">
        <v>266</v>
      </c>
      <c r="C233" s="80">
        <v>21731.66666667</v>
      </c>
    </row>
    <row r="234" spans="1:3" hidden="1" x14ac:dyDescent="0.25">
      <c r="A234" s="61" t="s">
        <v>1101</v>
      </c>
      <c r="B234" s="77" t="s">
        <v>265</v>
      </c>
      <c r="C234" s="80">
        <v>1.6666666666666667</v>
      </c>
    </row>
    <row r="235" spans="1:3" hidden="1" x14ac:dyDescent="0.25">
      <c r="A235" s="61" t="s">
        <v>1102</v>
      </c>
      <c r="B235" s="77" t="s">
        <v>265</v>
      </c>
      <c r="C235" s="80">
        <v>9</v>
      </c>
    </row>
    <row r="236" spans="1:3" hidden="1" x14ac:dyDescent="0.25">
      <c r="A236" s="61" t="s">
        <v>85</v>
      </c>
      <c r="B236" s="77" t="s">
        <v>265</v>
      </c>
      <c r="C236" s="80">
        <v>3.5</v>
      </c>
    </row>
    <row r="237" spans="1:3" hidden="1" x14ac:dyDescent="0.25">
      <c r="A237" s="61" t="s">
        <v>35</v>
      </c>
      <c r="B237" s="71" t="s">
        <v>265</v>
      </c>
      <c r="C237" s="74">
        <v>4.7460000000000004</v>
      </c>
    </row>
    <row r="238" spans="1:3" hidden="1" x14ac:dyDescent="0.25">
      <c r="A238" s="61" t="s">
        <v>694</v>
      </c>
      <c r="B238" s="77" t="s">
        <v>266</v>
      </c>
      <c r="C238" s="80">
        <v>91.233333333333334</v>
      </c>
    </row>
    <row r="239" spans="1:3" hidden="1" x14ac:dyDescent="0.25">
      <c r="A239" s="61" t="s">
        <v>1010</v>
      </c>
      <c r="B239" s="77" t="s">
        <v>265</v>
      </c>
      <c r="C239" s="80">
        <v>36</v>
      </c>
    </row>
    <row r="240" spans="1:3" hidden="1" x14ac:dyDescent="0.25">
      <c r="A240" s="61" t="s">
        <v>553</v>
      </c>
      <c r="B240" s="77" t="s">
        <v>265</v>
      </c>
      <c r="C240" s="80">
        <v>16</v>
      </c>
    </row>
    <row r="241" spans="1:3" hidden="1" x14ac:dyDescent="0.25">
      <c r="A241" s="61" t="s">
        <v>469</v>
      </c>
      <c r="B241" s="77" t="s">
        <v>265</v>
      </c>
      <c r="C241" s="80">
        <v>4.4118000000000004</v>
      </c>
    </row>
    <row r="242" spans="1:3" hidden="1" x14ac:dyDescent="0.25">
      <c r="A242" s="61" t="s">
        <v>999</v>
      </c>
      <c r="B242" s="77" t="s">
        <v>266</v>
      </c>
      <c r="C242" s="80">
        <v>3500</v>
      </c>
    </row>
    <row r="243" spans="1:3" hidden="1" x14ac:dyDescent="0.25">
      <c r="A243" s="61" t="s">
        <v>1103</v>
      </c>
      <c r="B243" s="77" t="s">
        <v>265</v>
      </c>
      <c r="C243" s="80">
        <v>133.33333333333334</v>
      </c>
    </row>
    <row r="244" spans="1:3" hidden="1" x14ac:dyDescent="0.25">
      <c r="A244" s="61" t="s">
        <v>637</v>
      </c>
      <c r="B244" s="77" t="s">
        <v>265</v>
      </c>
      <c r="C244" s="80">
        <v>69.02</v>
      </c>
    </row>
    <row r="245" spans="1:3" hidden="1" x14ac:dyDescent="0.25">
      <c r="A245" s="61" t="s">
        <v>1104</v>
      </c>
      <c r="B245" s="77" t="s">
        <v>265</v>
      </c>
      <c r="C245" s="80">
        <v>0</v>
      </c>
    </row>
    <row r="246" spans="1:3" hidden="1" x14ac:dyDescent="0.25">
      <c r="A246" s="65" t="s">
        <v>1105</v>
      </c>
      <c r="B246" s="77" t="s">
        <v>265</v>
      </c>
      <c r="C246" s="80">
        <v>0</v>
      </c>
    </row>
    <row r="247" spans="1:3" hidden="1" x14ac:dyDescent="0.25">
      <c r="A247" s="61" t="s">
        <v>558</v>
      </c>
      <c r="B247" s="71" t="s">
        <v>266</v>
      </c>
      <c r="C247" s="74">
        <v>354.16666666999998</v>
      </c>
    </row>
    <row r="248" spans="1:3" hidden="1" x14ac:dyDescent="0.25">
      <c r="A248" s="61" t="s">
        <v>1106</v>
      </c>
      <c r="B248" s="77" t="s">
        <v>266</v>
      </c>
      <c r="C248" s="80">
        <v>726.66666666999993</v>
      </c>
    </row>
    <row r="249" spans="1:3" hidden="1" x14ac:dyDescent="0.25">
      <c r="A249" s="61" t="s">
        <v>428</v>
      </c>
      <c r="B249" s="71" t="s">
        <v>266</v>
      </c>
      <c r="C249" s="74">
        <v>68049</v>
      </c>
    </row>
    <row r="250" spans="1:3" hidden="1" x14ac:dyDescent="0.25">
      <c r="A250" s="61" t="s">
        <v>638</v>
      </c>
      <c r="B250" s="77" t="s">
        <v>266</v>
      </c>
      <c r="C250" s="80">
        <v>3271</v>
      </c>
    </row>
    <row r="251" spans="1:3" hidden="1" x14ac:dyDescent="0.25">
      <c r="A251" s="61" t="s">
        <v>491</v>
      </c>
      <c r="B251" s="71" t="s">
        <v>265</v>
      </c>
      <c r="C251" s="74">
        <v>9.8000000000000007</v>
      </c>
    </row>
    <row r="252" spans="1:3" hidden="1" x14ac:dyDescent="0.25">
      <c r="A252" s="61" t="s">
        <v>243</v>
      </c>
      <c r="B252" s="77" t="s">
        <v>365</v>
      </c>
      <c r="C252" s="80">
        <v>333</v>
      </c>
    </row>
    <row r="253" spans="1:3" hidden="1" x14ac:dyDescent="0.25">
      <c r="A253" s="61" t="s">
        <v>1107</v>
      </c>
      <c r="B253" s="77" t="s">
        <v>266</v>
      </c>
      <c r="C253" s="80">
        <v>0</v>
      </c>
    </row>
    <row r="254" spans="1:3" hidden="1" x14ac:dyDescent="0.25">
      <c r="A254" s="61" t="s">
        <v>240</v>
      </c>
      <c r="B254" s="77" t="s">
        <v>266</v>
      </c>
      <c r="C254" s="80">
        <v>5132.37184875</v>
      </c>
    </row>
    <row r="255" spans="1:3" hidden="1" x14ac:dyDescent="0.25">
      <c r="A255" s="61" t="s">
        <v>1258</v>
      </c>
      <c r="B255" s="77" t="s">
        <v>265</v>
      </c>
      <c r="C255" s="80">
        <v>799.99690009000005</v>
      </c>
    </row>
    <row r="256" spans="1:3" hidden="1" x14ac:dyDescent="0.25">
      <c r="A256" s="61" t="s">
        <v>424</v>
      </c>
      <c r="B256" s="71" t="s">
        <v>365</v>
      </c>
      <c r="C256" s="74">
        <v>2022.7272727299999</v>
      </c>
    </row>
    <row r="257" spans="1:3" hidden="1" x14ac:dyDescent="0.25">
      <c r="A257" s="61" t="s">
        <v>639</v>
      </c>
      <c r="B257" s="71" t="s">
        <v>266</v>
      </c>
      <c r="C257" s="74">
        <v>42598.666666666664</v>
      </c>
    </row>
    <row r="258" spans="1:3" hidden="1" x14ac:dyDescent="0.25">
      <c r="A258" s="61" t="s">
        <v>388</v>
      </c>
      <c r="B258" s="77" t="s">
        <v>266</v>
      </c>
      <c r="C258" s="80">
        <v>1300</v>
      </c>
    </row>
    <row r="259" spans="1:3" hidden="1" x14ac:dyDescent="0.25">
      <c r="A259" s="61" t="s">
        <v>1108</v>
      </c>
      <c r="B259" s="71" t="s">
        <v>265</v>
      </c>
      <c r="C259" s="74">
        <v>0</v>
      </c>
    </row>
    <row r="260" spans="1:3" hidden="1" x14ac:dyDescent="0.25">
      <c r="A260" s="61" t="s">
        <v>640</v>
      </c>
      <c r="B260" s="77" t="s">
        <v>265</v>
      </c>
      <c r="C260" s="80">
        <v>32</v>
      </c>
    </row>
    <row r="261" spans="1:3" hidden="1" x14ac:dyDescent="0.25">
      <c r="A261" s="61" t="s">
        <v>453</v>
      </c>
      <c r="B261" s="77" t="s">
        <v>265</v>
      </c>
      <c r="C261" s="80">
        <v>4.3780000000000001</v>
      </c>
    </row>
    <row r="262" spans="1:3" hidden="1" x14ac:dyDescent="0.25">
      <c r="A262" s="61" t="s">
        <v>531</v>
      </c>
      <c r="B262" s="77" t="s">
        <v>265</v>
      </c>
      <c r="C262" s="80">
        <v>3.5</v>
      </c>
    </row>
    <row r="263" spans="1:3" hidden="1" x14ac:dyDescent="0.25">
      <c r="A263" s="61" t="s">
        <v>1109</v>
      </c>
      <c r="B263" s="77" t="s">
        <v>266</v>
      </c>
      <c r="C263" s="80">
        <v>0</v>
      </c>
    </row>
    <row r="264" spans="1:3" hidden="1" x14ac:dyDescent="0.25">
      <c r="A264" s="61" t="s">
        <v>641</v>
      </c>
      <c r="B264" s="77" t="s">
        <v>365</v>
      </c>
      <c r="C264" s="80">
        <v>5465.0833333299997</v>
      </c>
    </row>
    <row r="265" spans="1:3" hidden="1" x14ac:dyDescent="0.25">
      <c r="A265" s="61" t="s">
        <v>642</v>
      </c>
      <c r="B265" s="77" t="s">
        <v>265</v>
      </c>
      <c r="C265" s="80">
        <v>91.174000000000021</v>
      </c>
    </row>
    <row r="266" spans="1:3" hidden="1" x14ac:dyDescent="0.25">
      <c r="A266" s="61" t="s">
        <v>1110</v>
      </c>
      <c r="B266" s="77" t="s">
        <v>265</v>
      </c>
      <c r="C266" s="80">
        <v>1.1666666666666667</v>
      </c>
    </row>
    <row r="267" spans="1:3" hidden="1" x14ac:dyDescent="0.25">
      <c r="A267" s="61" t="s">
        <v>536</v>
      </c>
      <c r="B267" s="71" t="s">
        <v>265</v>
      </c>
      <c r="C267" s="74">
        <v>4.5</v>
      </c>
    </row>
    <row r="268" spans="1:3" hidden="1" x14ac:dyDescent="0.25">
      <c r="A268" s="61" t="s">
        <v>394</v>
      </c>
      <c r="B268" s="77" t="s">
        <v>265</v>
      </c>
      <c r="C268" s="80">
        <v>4.5</v>
      </c>
    </row>
    <row r="269" spans="1:3" hidden="1" x14ac:dyDescent="0.25">
      <c r="A269" s="61" t="s">
        <v>1111</v>
      </c>
      <c r="B269" s="77" t="s">
        <v>265</v>
      </c>
      <c r="C269" s="80">
        <v>0</v>
      </c>
    </row>
    <row r="270" spans="1:3" hidden="1" x14ac:dyDescent="0.25">
      <c r="A270" s="61" t="s">
        <v>1112</v>
      </c>
      <c r="B270" s="77" t="s">
        <v>266</v>
      </c>
      <c r="C270" s="80">
        <v>32292</v>
      </c>
    </row>
    <row r="271" spans="1:3" hidden="1" x14ac:dyDescent="0.25">
      <c r="A271" s="61" t="s">
        <v>643</v>
      </c>
      <c r="B271" s="77" t="s">
        <v>266</v>
      </c>
      <c r="C271" s="80">
        <v>9341.3333333333339</v>
      </c>
    </row>
    <row r="272" spans="1:3" hidden="1" x14ac:dyDescent="0.25">
      <c r="A272" s="63" t="s">
        <v>1113</v>
      </c>
      <c r="B272" s="77" t="s">
        <v>266</v>
      </c>
      <c r="C272" s="80">
        <v>49575</v>
      </c>
    </row>
    <row r="273" spans="1:3" hidden="1" x14ac:dyDescent="0.25">
      <c r="A273" s="61" t="s">
        <v>945</v>
      </c>
      <c r="B273" s="77" t="s">
        <v>266</v>
      </c>
      <c r="C273" s="80">
        <v>83812</v>
      </c>
    </row>
    <row r="274" spans="1:3" hidden="1" x14ac:dyDescent="0.25">
      <c r="A274" s="61" t="s">
        <v>506</v>
      </c>
      <c r="B274" s="81" t="s">
        <v>265</v>
      </c>
      <c r="C274" s="80">
        <v>4.333333333333333</v>
      </c>
    </row>
    <row r="275" spans="1:3" hidden="1" x14ac:dyDescent="0.25">
      <c r="A275" s="61" t="s">
        <v>644</v>
      </c>
      <c r="B275" s="71" t="s">
        <v>265</v>
      </c>
      <c r="C275" s="74">
        <v>47.896666670000002</v>
      </c>
    </row>
    <row r="276" spans="1:3" hidden="1" x14ac:dyDescent="0.25">
      <c r="A276" s="61" t="s">
        <v>84</v>
      </c>
      <c r="B276" s="77" t="s">
        <v>265</v>
      </c>
      <c r="C276" s="80">
        <v>15</v>
      </c>
    </row>
    <row r="277" spans="1:3" hidden="1" x14ac:dyDescent="0.25">
      <c r="A277" s="61" t="s">
        <v>518</v>
      </c>
      <c r="B277" s="71" t="s">
        <v>265</v>
      </c>
      <c r="C277" s="74">
        <v>0</v>
      </c>
    </row>
    <row r="278" spans="1:3" hidden="1" x14ac:dyDescent="0.25">
      <c r="A278" s="61" t="s">
        <v>1114</v>
      </c>
      <c r="B278" s="77" t="s">
        <v>265</v>
      </c>
      <c r="C278" s="80">
        <v>0</v>
      </c>
    </row>
    <row r="279" spans="1:3" hidden="1" x14ac:dyDescent="0.25">
      <c r="A279" s="61" t="s">
        <v>39</v>
      </c>
      <c r="B279" s="77" t="s">
        <v>265</v>
      </c>
      <c r="C279" s="80">
        <v>21.754385959999997</v>
      </c>
    </row>
    <row r="280" spans="1:3" hidden="1" x14ac:dyDescent="0.25">
      <c r="A280" s="65" t="s">
        <v>1115</v>
      </c>
      <c r="B280" s="77" t="s">
        <v>265</v>
      </c>
      <c r="C280" s="80">
        <v>13.386666666666665</v>
      </c>
    </row>
    <row r="281" spans="1:3" hidden="1" x14ac:dyDescent="0.25">
      <c r="A281" s="61" t="s">
        <v>466</v>
      </c>
      <c r="B281" s="77" t="s">
        <v>266</v>
      </c>
      <c r="C281" s="80">
        <v>1234.3916666699999</v>
      </c>
    </row>
    <row r="282" spans="1:3" hidden="1" x14ac:dyDescent="0.25">
      <c r="A282" s="61" t="s">
        <v>405</v>
      </c>
      <c r="B282" s="77" t="s">
        <v>266</v>
      </c>
      <c r="C282" s="80">
        <v>1654.2166666700002</v>
      </c>
    </row>
    <row r="283" spans="1:3" hidden="1" x14ac:dyDescent="0.25">
      <c r="A283" s="61" t="s">
        <v>48</v>
      </c>
      <c r="B283" s="77" t="s">
        <v>266</v>
      </c>
      <c r="C283" s="80">
        <v>2571.4285714299999</v>
      </c>
    </row>
    <row r="284" spans="1:3" hidden="1" x14ac:dyDescent="0.25">
      <c r="A284" s="61" t="s">
        <v>1116</v>
      </c>
      <c r="B284" s="77" t="s">
        <v>265</v>
      </c>
      <c r="C284" s="80">
        <v>0</v>
      </c>
    </row>
    <row r="285" spans="1:3" hidden="1" x14ac:dyDescent="0.25">
      <c r="A285" s="61" t="s">
        <v>1117</v>
      </c>
      <c r="B285" s="77" t="s">
        <v>266</v>
      </c>
      <c r="C285" s="80">
        <v>14689.333333333334</v>
      </c>
    </row>
    <row r="286" spans="1:3" hidden="1" x14ac:dyDescent="0.25">
      <c r="A286" s="61" t="s">
        <v>437</v>
      </c>
      <c r="B286" s="77" t="s">
        <v>265</v>
      </c>
      <c r="C286" s="80">
        <v>3</v>
      </c>
    </row>
    <row r="287" spans="1:3" hidden="1" x14ac:dyDescent="0.25">
      <c r="A287" s="61" t="s">
        <v>472</v>
      </c>
      <c r="B287" s="77" t="s">
        <v>265</v>
      </c>
      <c r="C287" s="80">
        <v>3</v>
      </c>
    </row>
    <row r="288" spans="1:3" hidden="1" x14ac:dyDescent="0.25">
      <c r="A288" s="61" t="s">
        <v>50</v>
      </c>
      <c r="B288" s="77" t="s">
        <v>265</v>
      </c>
      <c r="C288" s="80">
        <v>21.882676469999996</v>
      </c>
    </row>
    <row r="289" spans="1:3" hidden="1" x14ac:dyDescent="0.25">
      <c r="A289" s="61" t="s">
        <v>463</v>
      </c>
      <c r="B289" s="77" t="s">
        <v>265</v>
      </c>
      <c r="C289" s="80">
        <v>19.351344539999999</v>
      </c>
    </row>
    <row r="290" spans="1:3" hidden="1" x14ac:dyDescent="0.25">
      <c r="A290" s="61" t="s">
        <v>489</v>
      </c>
      <c r="B290" s="71" t="s">
        <v>265</v>
      </c>
      <c r="C290" s="74">
        <v>10.800000000000002</v>
      </c>
    </row>
    <row r="291" spans="1:3" hidden="1" x14ac:dyDescent="0.25">
      <c r="A291" s="61" t="s">
        <v>1118</v>
      </c>
      <c r="B291" s="77" t="s">
        <v>265</v>
      </c>
      <c r="C291" s="80">
        <v>3.4333333333333336</v>
      </c>
    </row>
    <row r="292" spans="1:3" hidden="1" x14ac:dyDescent="0.25">
      <c r="A292" s="61" t="s">
        <v>493</v>
      </c>
      <c r="B292" s="77" t="s">
        <v>265</v>
      </c>
      <c r="C292" s="80">
        <v>12.199999999999998</v>
      </c>
    </row>
    <row r="293" spans="1:3" hidden="1" x14ac:dyDescent="0.25">
      <c r="A293" s="61" t="s">
        <v>1119</v>
      </c>
      <c r="B293" s="77" t="s">
        <v>265</v>
      </c>
      <c r="C293" s="80">
        <v>5.5</v>
      </c>
    </row>
    <row r="294" spans="1:3" hidden="1" x14ac:dyDescent="0.25">
      <c r="A294" s="61" t="s">
        <v>603</v>
      </c>
      <c r="B294" s="77" t="s">
        <v>265</v>
      </c>
      <c r="C294" s="80">
        <v>0</v>
      </c>
    </row>
    <row r="295" spans="1:3" hidden="1" x14ac:dyDescent="0.25">
      <c r="A295" s="61" t="s">
        <v>695</v>
      </c>
      <c r="B295" s="77" t="s">
        <v>265</v>
      </c>
      <c r="C295" s="80">
        <v>257.04000000000002</v>
      </c>
    </row>
    <row r="296" spans="1:3" hidden="1" x14ac:dyDescent="0.25">
      <c r="A296" s="61" t="s">
        <v>1020</v>
      </c>
      <c r="B296" s="77" t="s">
        <v>265</v>
      </c>
      <c r="C296" s="80">
        <v>0</v>
      </c>
    </row>
    <row r="297" spans="1:3" hidden="1" x14ac:dyDescent="0.25">
      <c r="A297" s="61" t="s">
        <v>966</v>
      </c>
      <c r="B297" s="71" t="s">
        <v>265</v>
      </c>
      <c r="C297" s="74">
        <v>25.38</v>
      </c>
    </row>
    <row r="298" spans="1:3" hidden="1" x14ac:dyDescent="0.25">
      <c r="A298" s="62" t="s">
        <v>380</v>
      </c>
      <c r="B298" s="77" t="s">
        <v>265</v>
      </c>
      <c r="C298" s="80">
        <v>22.30079576</v>
      </c>
    </row>
    <row r="299" spans="1:3" hidden="1" x14ac:dyDescent="0.25">
      <c r="A299" s="61" t="s">
        <v>514</v>
      </c>
      <c r="B299" s="77" t="s">
        <v>265</v>
      </c>
      <c r="C299" s="80">
        <v>7.5</v>
      </c>
    </row>
    <row r="300" spans="1:3" hidden="1" x14ac:dyDescent="0.25">
      <c r="A300" s="61" t="s">
        <v>412</v>
      </c>
      <c r="B300" s="77" t="s">
        <v>266</v>
      </c>
      <c r="C300" s="80">
        <v>323.68</v>
      </c>
    </row>
    <row r="301" spans="1:3" hidden="1" x14ac:dyDescent="0.25">
      <c r="A301" s="61" t="s">
        <v>645</v>
      </c>
      <c r="B301" s="77" t="s">
        <v>266</v>
      </c>
      <c r="C301" s="80">
        <v>83261</v>
      </c>
    </row>
    <row r="302" spans="1:3" hidden="1" x14ac:dyDescent="0.25">
      <c r="A302" s="61" t="s">
        <v>696</v>
      </c>
      <c r="B302" s="77" t="s">
        <v>266</v>
      </c>
      <c r="C302" s="80">
        <v>79309.523809499995</v>
      </c>
    </row>
    <row r="303" spans="1:3" hidden="1" x14ac:dyDescent="0.25">
      <c r="A303" s="61" t="s">
        <v>604</v>
      </c>
      <c r="B303" s="77" t="s">
        <v>265</v>
      </c>
      <c r="C303" s="80">
        <v>3</v>
      </c>
    </row>
    <row r="304" spans="1:3" hidden="1" x14ac:dyDescent="0.25">
      <c r="A304" s="61" t="s">
        <v>361</v>
      </c>
      <c r="B304" s="77" t="s">
        <v>266</v>
      </c>
      <c r="C304" s="80">
        <v>2521.3333333333335</v>
      </c>
    </row>
    <row r="305" spans="1:3" hidden="1" x14ac:dyDescent="0.25">
      <c r="A305" s="61" t="s">
        <v>401</v>
      </c>
      <c r="B305" s="77" t="s">
        <v>365</v>
      </c>
      <c r="C305" s="80">
        <v>8389.75</v>
      </c>
    </row>
    <row r="306" spans="1:3" hidden="1" x14ac:dyDescent="0.25">
      <c r="A306" s="61" t="s">
        <v>1120</v>
      </c>
      <c r="B306" s="77" t="s">
        <v>365</v>
      </c>
      <c r="C306" s="80">
        <v>6504.1590909100005</v>
      </c>
    </row>
    <row r="307" spans="1:3" hidden="1" x14ac:dyDescent="0.25">
      <c r="A307" s="61" t="s">
        <v>1121</v>
      </c>
      <c r="B307" s="77" t="s">
        <v>266</v>
      </c>
      <c r="C307" s="80">
        <v>17.3095</v>
      </c>
    </row>
    <row r="308" spans="1:3" hidden="1" x14ac:dyDescent="0.25">
      <c r="A308" s="61" t="s">
        <v>686</v>
      </c>
      <c r="B308" s="77" t="s">
        <v>266</v>
      </c>
      <c r="C308" s="80">
        <v>144.58666667</v>
      </c>
    </row>
    <row r="309" spans="1:3" hidden="1" x14ac:dyDescent="0.25">
      <c r="A309" s="65" t="s">
        <v>457</v>
      </c>
      <c r="B309" s="77" t="s">
        <v>265</v>
      </c>
      <c r="C309" s="80">
        <v>40.047916669999999</v>
      </c>
    </row>
    <row r="310" spans="1:3" hidden="1" x14ac:dyDescent="0.25">
      <c r="A310" s="61" t="s">
        <v>1122</v>
      </c>
      <c r="B310" s="77" t="s">
        <v>265</v>
      </c>
      <c r="C310" s="80">
        <v>6.2763888899999998</v>
      </c>
    </row>
    <row r="311" spans="1:3" hidden="1" x14ac:dyDescent="0.25">
      <c r="A311" s="61" t="s">
        <v>402</v>
      </c>
      <c r="B311" s="77" t="s">
        <v>265</v>
      </c>
      <c r="C311" s="80">
        <v>13.050000000000002</v>
      </c>
    </row>
    <row r="312" spans="1:3" hidden="1" x14ac:dyDescent="0.25">
      <c r="A312" s="61" t="s">
        <v>646</v>
      </c>
      <c r="B312" s="77" t="s">
        <v>266</v>
      </c>
      <c r="C312" s="80">
        <v>74596</v>
      </c>
    </row>
    <row r="313" spans="1:3" hidden="1" x14ac:dyDescent="0.25">
      <c r="A313" s="61" t="s">
        <v>647</v>
      </c>
      <c r="B313" s="77" t="s">
        <v>266</v>
      </c>
      <c r="C313" s="80">
        <v>25110</v>
      </c>
    </row>
    <row r="314" spans="1:3" hidden="1" x14ac:dyDescent="0.25">
      <c r="A314" s="61" t="s">
        <v>547</v>
      </c>
      <c r="B314" s="77" t="s">
        <v>265</v>
      </c>
      <c r="C314" s="80">
        <v>37.000436970000003</v>
      </c>
    </row>
    <row r="315" spans="1:3" hidden="1" x14ac:dyDescent="0.25">
      <c r="A315" s="61" t="s">
        <v>1123</v>
      </c>
      <c r="B315" s="77" t="s">
        <v>265</v>
      </c>
      <c r="C315" s="80">
        <v>29.647294120000002</v>
      </c>
    </row>
    <row r="316" spans="1:3" hidden="1" x14ac:dyDescent="0.25">
      <c r="A316" s="61" t="s">
        <v>484</v>
      </c>
      <c r="B316" s="77" t="s">
        <v>265</v>
      </c>
      <c r="C316" s="80">
        <v>4</v>
      </c>
    </row>
    <row r="317" spans="1:3" hidden="1" x14ac:dyDescent="0.25">
      <c r="A317" s="61" t="s">
        <v>404</v>
      </c>
      <c r="B317" s="71" t="s">
        <v>265</v>
      </c>
      <c r="C317" s="74">
        <v>6.125</v>
      </c>
    </row>
    <row r="318" spans="1:3" hidden="1" x14ac:dyDescent="0.25">
      <c r="A318" s="61" t="s">
        <v>501</v>
      </c>
      <c r="B318" s="77" t="s">
        <v>265</v>
      </c>
      <c r="C318" s="80">
        <v>2.6</v>
      </c>
    </row>
    <row r="319" spans="1:3" hidden="1" x14ac:dyDescent="0.25">
      <c r="A319" s="61" t="s">
        <v>998</v>
      </c>
      <c r="B319" s="77" t="s">
        <v>265</v>
      </c>
      <c r="C319" s="80">
        <v>50</v>
      </c>
    </row>
    <row r="320" spans="1:3" hidden="1" x14ac:dyDescent="0.25">
      <c r="A320" s="64" t="s">
        <v>534</v>
      </c>
      <c r="B320" s="78" t="s">
        <v>265</v>
      </c>
      <c r="C320" s="80">
        <v>1</v>
      </c>
    </row>
    <row r="321" spans="1:3" hidden="1" x14ac:dyDescent="0.25">
      <c r="A321" s="64" t="s">
        <v>1124</v>
      </c>
      <c r="B321" s="72" t="s">
        <v>265</v>
      </c>
      <c r="C321" s="74">
        <v>0</v>
      </c>
    </row>
    <row r="322" spans="1:3" hidden="1" x14ac:dyDescent="0.25">
      <c r="A322" s="64" t="s">
        <v>590</v>
      </c>
      <c r="B322" s="78" t="s">
        <v>265</v>
      </c>
      <c r="C322" s="80">
        <v>0</v>
      </c>
    </row>
    <row r="323" spans="1:3" hidden="1" x14ac:dyDescent="0.25">
      <c r="A323" s="64" t="s">
        <v>649</v>
      </c>
      <c r="B323" s="72" t="s">
        <v>265</v>
      </c>
      <c r="C323" s="74">
        <v>116.4796</v>
      </c>
    </row>
    <row r="324" spans="1:3" hidden="1" x14ac:dyDescent="0.25">
      <c r="A324" s="64" t="s">
        <v>1125</v>
      </c>
      <c r="B324" s="78" t="s">
        <v>265</v>
      </c>
      <c r="C324" s="80">
        <v>2.6666666666666665</v>
      </c>
    </row>
    <row r="325" spans="1:3" hidden="1" x14ac:dyDescent="0.25">
      <c r="A325" s="64" t="s">
        <v>298</v>
      </c>
      <c r="B325" s="72" t="s">
        <v>266</v>
      </c>
      <c r="C325" s="74">
        <v>93956</v>
      </c>
    </row>
    <row r="326" spans="1:3" hidden="1" x14ac:dyDescent="0.25">
      <c r="A326" s="64" t="s">
        <v>596</v>
      </c>
      <c r="B326" s="78" t="s">
        <v>265</v>
      </c>
      <c r="C326" s="80">
        <v>30.768999999999995</v>
      </c>
    </row>
    <row r="327" spans="1:3" hidden="1" x14ac:dyDescent="0.25">
      <c r="A327" s="64" t="s">
        <v>522</v>
      </c>
      <c r="B327" s="78" t="s">
        <v>266</v>
      </c>
      <c r="C327" s="80">
        <v>8.0722222200000004</v>
      </c>
    </row>
    <row r="328" spans="1:3" hidden="1" x14ac:dyDescent="0.25">
      <c r="A328" s="64" t="s">
        <v>1126</v>
      </c>
      <c r="B328" s="78" t="s">
        <v>266</v>
      </c>
      <c r="C328" s="80">
        <v>0</v>
      </c>
    </row>
    <row r="329" spans="1:3" hidden="1" x14ac:dyDescent="0.25">
      <c r="A329" s="64" t="s">
        <v>447</v>
      </c>
      <c r="B329" s="72" t="s">
        <v>266</v>
      </c>
      <c r="C329" s="74">
        <v>773.5</v>
      </c>
    </row>
    <row r="330" spans="1:3" hidden="1" x14ac:dyDescent="0.25">
      <c r="A330" s="64" t="s">
        <v>1127</v>
      </c>
      <c r="B330" s="78" t="s">
        <v>266</v>
      </c>
      <c r="C330" s="80">
        <v>0</v>
      </c>
    </row>
    <row r="331" spans="1:3" hidden="1" x14ac:dyDescent="0.25">
      <c r="A331" s="64" t="s">
        <v>1128</v>
      </c>
      <c r="B331" s="78" t="s">
        <v>265</v>
      </c>
      <c r="C331" s="80">
        <v>1.8055555566666666</v>
      </c>
    </row>
    <row r="332" spans="1:3" hidden="1" x14ac:dyDescent="0.25">
      <c r="A332" s="64" t="s">
        <v>1233</v>
      </c>
      <c r="B332" s="78" t="s">
        <v>266</v>
      </c>
      <c r="C332" s="80">
        <v>90.245000000000005</v>
      </c>
    </row>
    <row r="333" spans="1:3" hidden="1" x14ac:dyDescent="0.25">
      <c r="A333" s="64" t="s">
        <v>1129</v>
      </c>
      <c r="B333" s="78" t="s">
        <v>265</v>
      </c>
      <c r="C333" s="80">
        <v>0</v>
      </c>
    </row>
    <row r="334" spans="1:3" hidden="1" x14ac:dyDescent="0.25">
      <c r="A334" s="64" t="s">
        <v>1130</v>
      </c>
      <c r="B334" s="78" t="s">
        <v>265</v>
      </c>
      <c r="C334" s="80">
        <v>0.5</v>
      </c>
    </row>
    <row r="335" spans="1:3" hidden="1" x14ac:dyDescent="0.25">
      <c r="A335" s="64" t="s">
        <v>384</v>
      </c>
      <c r="B335" s="78" t="s">
        <v>265</v>
      </c>
      <c r="C335" s="80">
        <v>4.5</v>
      </c>
    </row>
    <row r="336" spans="1:3" hidden="1" x14ac:dyDescent="0.25">
      <c r="A336" s="64" t="s">
        <v>371</v>
      </c>
      <c r="B336" s="78" t="s">
        <v>265</v>
      </c>
      <c r="C336" s="80">
        <v>21.062481640000001</v>
      </c>
    </row>
    <row r="337" spans="1:3" hidden="1" x14ac:dyDescent="0.25">
      <c r="A337" s="64" t="s">
        <v>462</v>
      </c>
      <c r="B337" s="78" t="s">
        <v>265</v>
      </c>
      <c r="C337" s="80">
        <v>4</v>
      </c>
    </row>
    <row r="338" spans="1:3" hidden="1" x14ac:dyDescent="0.25">
      <c r="A338" s="64" t="s">
        <v>1131</v>
      </c>
      <c r="B338" s="78" t="s">
        <v>265</v>
      </c>
      <c r="C338" s="80">
        <v>0</v>
      </c>
    </row>
    <row r="339" spans="1:3" hidden="1" x14ac:dyDescent="0.25">
      <c r="A339" s="64" t="s">
        <v>1132</v>
      </c>
      <c r="B339" s="78" t="s">
        <v>265</v>
      </c>
      <c r="C339" s="80">
        <v>0</v>
      </c>
    </row>
    <row r="340" spans="1:3" hidden="1" x14ac:dyDescent="0.25">
      <c r="A340" s="66" t="s">
        <v>1133</v>
      </c>
      <c r="B340" s="78" t="s">
        <v>265</v>
      </c>
      <c r="C340" s="80">
        <v>716.66666666666663</v>
      </c>
    </row>
    <row r="341" spans="1:3" hidden="1" x14ac:dyDescent="0.25">
      <c r="A341" s="64" t="s">
        <v>1134</v>
      </c>
      <c r="B341" s="78" t="s">
        <v>265</v>
      </c>
      <c r="C341" s="80">
        <v>0</v>
      </c>
    </row>
    <row r="342" spans="1:3" hidden="1" x14ac:dyDescent="0.25">
      <c r="A342" s="64" t="s">
        <v>1135</v>
      </c>
      <c r="B342" s="72" t="s">
        <v>265</v>
      </c>
      <c r="C342" s="74">
        <v>0</v>
      </c>
    </row>
    <row r="343" spans="1:3" hidden="1" x14ac:dyDescent="0.25">
      <c r="A343" s="64" t="s">
        <v>386</v>
      </c>
      <c r="B343" s="78" t="s">
        <v>265</v>
      </c>
      <c r="C343" s="80">
        <v>15.5</v>
      </c>
    </row>
    <row r="344" spans="1:3" hidden="1" x14ac:dyDescent="0.25">
      <c r="A344" s="64" t="s">
        <v>650</v>
      </c>
      <c r="B344" s="72" t="s">
        <v>266</v>
      </c>
      <c r="C344" s="74">
        <v>70030</v>
      </c>
    </row>
    <row r="345" spans="1:3" hidden="1" x14ac:dyDescent="0.25">
      <c r="A345" s="64" t="s">
        <v>1136</v>
      </c>
      <c r="B345" s="72" t="s">
        <v>265</v>
      </c>
      <c r="C345" s="74">
        <v>0</v>
      </c>
    </row>
    <row r="346" spans="1:3" hidden="1" x14ac:dyDescent="0.25">
      <c r="A346" s="64" t="s">
        <v>508</v>
      </c>
      <c r="B346" s="72" t="s">
        <v>265</v>
      </c>
      <c r="C346" s="74">
        <v>3.5</v>
      </c>
    </row>
    <row r="347" spans="1:3" hidden="1" x14ac:dyDescent="0.25">
      <c r="A347" s="64" t="s">
        <v>478</v>
      </c>
      <c r="B347" s="72" t="s">
        <v>265</v>
      </c>
      <c r="C347" s="74">
        <v>7.5</v>
      </c>
    </row>
    <row r="348" spans="1:3" hidden="1" x14ac:dyDescent="0.25">
      <c r="A348" s="64" t="s">
        <v>244</v>
      </c>
      <c r="B348" s="78" t="s">
        <v>265</v>
      </c>
      <c r="C348" s="80">
        <v>0</v>
      </c>
    </row>
    <row r="349" spans="1:3" hidden="1" x14ac:dyDescent="0.25">
      <c r="A349" s="64" t="s">
        <v>698</v>
      </c>
      <c r="B349" s="78" t="s">
        <v>266</v>
      </c>
      <c r="C349" s="80">
        <v>59619</v>
      </c>
    </row>
    <row r="350" spans="1:3" hidden="1" x14ac:dyDescent="0.25">
      <c r="A350" s="64" t="s">
        <v>419</v>
      </c>
      <c r="B350" s="78" t="s">
        <v>266</v>
      </c>
      <c r="C350" s="80">
        <v>28576.666666666668</v>
      </c>
    </row>
    <row r="351" spans="1:3" hidden="1" x14ac:dyDescent="0.25">
      <c r="A351" s="64" t="s">
        <v>1137</v>
      </c>
      <c r="B351" s="78" t="s">
        <v>266</v>
      </c>
      <c r="C351" s="80">
        <v>2246.5</v>
      </c>
    </row>
    <row r="352" spans="1:3" hidden="1" x14ac:dyDescent="0.25">
      <c r="A352" s="64" t="s">
        <v>485</v>
      </c>
      <c r="B352" s="78" t="s">
        <v>265</v>
      </c>
      <c r="C352" s="80">
        <v>4</v>
      </c>
    </row>
    <row r="353" spans="1:3" hidden="1" x14ac:dyDescent="0.25">
      <c r="A353" s="64" t="s">
        <v>1138</v>
      </c>
      <c r="B353" s="78" t="s">
        <v>265</v>
      </c>
      <c r="C353" s="80">
        <v>5</v>
      </c>
    </row>
    <row r="354" spans="1:3" hidden="1" x14ac:dyDescent="0.25">
      <c r="A354" s="64" t="s">
        <v>1139</v>
      </c>
      <c r="B354" s="78" t="s">
        <v>265</v>
      </c>
      <c r="C354" s="80">
        <v>31.466666666666669</v>
      </c>
    </row>
    <row r="355" spans="1:3" hidden="1" x14ac:dyDescent="0.25">
      <c r="A355" s="64" t="s">
        <v>443</v>
      </c>
      <c r="B355" s="78" t="s">
        <v>265</v>
      </c>
      <c r="C355" s="80">
        <v>94.613741530000013</v>
      </c>
    </row>
    <row r="356" spans="1:3" hidden="1" x14ac:dyDescent="0.25">
      <c r="A356" s="64" t="s">
        <v>589</v>
      </c>
      <c r="B356" s="78" t="s">
        <v>265</v>
      </c>
      <c r="C356" s="80">
        <v>416.51208402999993</v>
      </c>
    </row>
    <row r="357" spans="1:3" hidden="1" x14ac:dyDescent="0.25">
      <c r="A357" s="64" t="s">
        <v>651</v>
      </c>
      <c r="B357" s="78" t="s">
        <v>266</v>
      </c>
      <c r="C357" s="80">
        <v>97.811999999999998</v>
      </c>
    </row>
    <row r="358" spans="1:3" hidden="1" x14ac:dyDescent="0.25">
      <c r="A358" s="64" t="s">
        <v>49</v>
      </c>
      <c r="B358" s="78" t="s">
        <v>365</v>
      </c>
      <c r="C358" s="80">
        <v>4333.3333333299997</v>
      </c>
    </row>
    <row r="359" spans="1:3" hidden="1" x14ac:dyDescent="0.25">
      <c r="A359" s="64" t="s">
        <v>41</v>
      </c>
      <c r="B359" s="78" t="s">
        <v>365</v>
      </c>
      <c r="C359" s="80">
        <v>6303</v>
      </c>
    </row>
    <row r="360" spans="1:3" hidden="1" x14ac:dyDescent="0.25">
      <c r="A360" s="64" t="s">
        <v>364</v>
      </c>
      <c r="B360" s="78" t="s">
        <v>365</v>
      </c>
      <c r="C360" s="80">
        <v>3390</v>
      </c>
    </row>
    <row r="361" spans="1:3" hidden="1" x14ac:dyDescent="0.25">
      <c r="A361" s="64" t="s">
        <v>1140</v>
      </c>
      <c r="B361" s="78" t="s">
        <v>265</v>
      </c>
      <c r="C361" s="80">
        <v>0</v>
      </c>
    </row>
    <row r="362" spans="1:3" hidden="1" x14ac:dyDescent="0.25">
      <c r="A362" s="64" t="s">
        <v>652</v>
      </c>
      <c r="B362" s="78" t="s">
        <v>266</v>
      </c>
      <c r="C362" s="80">
        <v>71.420168070000003</v>
      </c>
    </row>
    <row r="363" spans="1:3" hidden="1" x14ac:dyDescent="0.25">
      <c r="A363" s="61" t="s">
        <v>1141</v>
      </c>
      <c r="B363" s="77" t="s">
        <v>266</v>
      </c>
      <c r="C363" s="80">
        <v>0</v>
      </c>
    </row>
    <row r="364" spans="1:3" hidden="1" x14ac:dyDescent="0.25">
      <c r="A364" s="61" t="s">
        <v>33</v>
      </c>
      <c r="B364" s="77" t="s">
        <v>265</v>
      </c>
      <c r="C364" s="80">
        <v>3.4</v>
      </c>
    </row>
    <row r="365" spans="1:3" hidden="1" x14ac:dyDescent="0.25">
      <c r="A365" s="61" t="s">
        <v>1142</v>
      </c>
      <c r="B365" s="77" t="s">
        <v>265</v>
      </c>
      <c r="C365" s="80">
        <v>3.2000000000000006</v>
      </c>
    </row>
    <row r="366" spans="1:3" hidden="1" x14ac:dyDescent="0.25">
      <c r="A366" s="61" t="s">
        <v>1143</v>
      </c>
      <c r="B366" s="77" t="s">
        <v>266</v>
      </c>
      <c r="C366" s="80">
        <v>3458</v>
      </c>
    </row>
    <row r="367" spans="1:3" hidden="1" x14ac:dyDescent="0.25">
      <c r="A367" s="61" t="s">
        <v>55</v>
      </c>
      <c r="B367" s="77" t="s">
        <v>266</v>
      </c>
      <c r="C367" s="80">
        <v>3300</v>
      </c>
    </row>
    <row r="368" spans="1:3" hidden="1" x14ac:dyDescent="0.25">
      <c r="A368" s="64" t="s">
        <v>1144</v>
      </c>
      <c r="B368" s="78" t="s">
        <v>265</v>
      </c>
      <c r="C368" s="80">
        <v>15</v>
      </c>
    </row>
    <row r="369" spans="1:3" hidden="1" x14ac:dyDescent="0.25">
      <c r="A369" s="61" t="s">
        <v>464</v>
      </c>
      <c r="B369" s="77" t="s">
        <v>265</v>
      </c>
      <c r="C369" s="80">
        <v>19.436666666666667</v>
      </c>
    </row>
    <row r="370" spans="1:3" hidden="1" x14ac:dyDescent="0.25">
      <c r="A370" s="61" t="s">
        <v>36</v>
      </c>
      <c r="B370" s="71" t="s">
        <v>265</v>
      </c>
      <c r="C370" s="74">
        <v>50.167499999999997</v>
      </c>
    </row>
    <row r="371" spans="1:3" hidden="1" x14ac:dyDescent="0.25">
      <c r="A371" s="61" t="s">
        <v>1145</v>
      </c>
      <c r="B371" s="77" t="s">
        <v>266</v>
      </c>
      <c r="C371" s="80">
        <v>59619</v>
      </c>
    </row>
    <row r="372" spans="1:3" hidden="1" x14ac:dyDescent="0.25">
      <c r="A372" s="61" t="s">
        <v>376</v>
      </c>
      <c r="B372" s="77" t="s">
        <v>265</v>
      </c>
      <c r="C372" s="80">
        <v>60.98749999999999</v>
      </c>
    </row>
    <row r="373" spans="1:3" hidden="1" x14ac:dyDescent="0.25">
      <c r="A373" s="65" t="s">
        <v>397</v>
      </c>
      <c r="B373" s="77" t="s">
        <v>265</v>
      </c>
      <c r="C373" s="80">
        <v>18.807500000000001</v>
      </c>
    </row>
    <row r="374" spans="1:3" hidden="1" x14ac:dyDescent="0.25">
      <c r="A374" s="61" t="s">
        <v>653</v>
      </c>
      <c r="B374" s="77" t="s">
        <v>265</v>
      </c>
      <c r="C374" s="80">
        <v>44.33895425</v>
      </c>
    </row>
    <row r="375" spans="1:3" hidden="1" x14ac:dyDescent="0.25">
      <c r="A375" s="61" t="s">
        <v>654</v>
      </c>
      <c r="B375" s="71" t="s">
        <v>265</v>
      </c>
      <c r="C375" s="74">
        <v>28.148148150000001</v>
      </c>
    </row>
    <row r="376" spans="1:3" hidden="1" x14ac:dyDescent="0.25">
      <c r="A376" s="65" t="s">
        <v>1146</v>
      </c>
      <c r="B376" s="77" t="s">
        <v>265</v>
      </c>
      <c r="C376" s="80">
        <v>3.1999999999999997</v>
      </c>
    </row>
    <row r="377" spans="1:3" hidden="1" x14ac:dyDescent="0.25">
      <c r="A377" s="61" t="s">
        <v>275</v>
      </c>
      <c r="B377" s="77" t="s">
        <v>273</v>
      </c>
      <c r="C377" s="80">
        <v>13705.200000000003</v>
      </c>
    </row>
    <row r="378" spans="1:3" hidden="1" x14ac:dyDescent="0.25">
      <c r="A378" s="61" t="s">
        <v>655</v>
      </c>
      <c r="B378" s="77" t="s">
        <v>266</v>
      </c>
      <c r="C378" s="80">
        <v>6387.5</v>
      </c>
    </row>
    <row r="379" spans="1:3" hidden="1" x14ac:dyDescent="0.25">
      <c r="A379" s="65" t="s">
        <v>591</v>
      </c>
      <c r="B379" s="77" t="s">
        <v>265</v>
      </c>
      <c r="C379" s="80">
        <v>2.8000000000000003</v>
      </c>
    </row>
    <row r="380" spans="1:3" hidden="1" x14ac:dyDescent="0.25">
      <c r="A380" s="61" t="s">
        <v>1147</v>
      </c>
      <c r="B380" s="77" t="s">
        <v>265</v>
      </c>
      <c r="C380" s="80">
        <v>0</v>
      </c>
    </row>
    <row r="381" spans="1:3" hidden="1" x14ac:dyDescent="0.25">
      <c r="A381" s="61" t="s">
        <v>507</v>
      </c>
      <c r="B381" s="77" t="s">
        <v>265</v>
      </c>
      <c r="C381" s="80">
        <v>4</v>
      </c>
    </row>
    <row r="382" spans="1:3" hidden="1" x14ac:dyDescent="0.25">
      <c r="A382" s="67" t="s">
        <v>656</v>
      </c>
      <c r="B382" s="78" t="s">
        <v>365</v>
      </c>
      <c r="C382" s="80">
        <v>9268</v>
      </c>
    </row>
    <row r="383" spans="1:3" hidden="1" x14ac:dyDescent="0.25">
      <c r="A383" s="64" t="s">
        <v>1148</v>
      </c>
      <c r="B383" s="78" t="s">
        <v>265</v>
      </c>
      <c r="C383" s="80">
        <v>171.12</v>
      </c>
    </row>
    <row r="384" spans="1:3" hidden="1" x14ac:dyDescent="0.25">
      <c r="A384" s="64" t="s">
        <v>657</v>
      </c>
      <c r="B384" s="78" t="s">
        <v>266</v>
      </c>
      <c r="C384" s="80">
        <v>0</v>
      </c>
    </row>
    <row r="385" spans="1:3" hidden="1" x14ac:dyDescent="0.25">
      <c r="A385" s="64" t="s">
        <v>699</v>
      </c>
      <c r="B385" s="78" t="s">
        <v>266</v>
      </c>
      <c r="C385" s="80">
        <v>25877</v>
      </c>
    </row>
    <row r="386" spans="1:3" hidden="1" x14ac:dyDescent="0.25">
      <c r="A386" s="64" t="s">
        <v>658</v>
      </c>
      <c r="B386" s="78" t="s">
        <v>266</v>
      </c>
      <c r="C386" s="80">
        <v>4498.7777777800002</v>
      </c>
    </row>
    <row r="387" spans="1:3" hidden="1" x14ac:dyDescent="0.25">
      <c r="A387" s="64" t="s">
        <v>505</v>
      </c>
      <c r="B387" s="78" t="s">
        <v>265</v>
      </c>
      <c r="C387" s="80">
        <v>9.5</v>
      </c>
    </row>
    <row r="388" spans="1:3" hidden="1" x14ac:dyDescent="0.25">
      <c r="A388" s="64" t="s">
        <v>1149</v>
      </c>
      <c r="B388" s="78" t="s">
        <v>365</v>
      </c>
      <c r="C388" s="80">
        <v>2433.3181818200001</v>
      </c>
    </row>
    <row r="389" spans="1:3" hidden="1" x14ac:dyDescent="0.25">
      <c r="A389" s="66" t="s">
        <v>1247</v>
      </c>
      <c r="B389" s="78" t="s">
        <v>365</v>
      </c>
      <c r="C389" s="80">
        <v>0</v>
      </c>
    </row>
    <row r="390" spans="1:3" hidden="1" x14ac:dyDescent="0.25">
      <c r="A390" s="64" t="s">
        <v>479</v>
      </c>
      <c r="B390" s="78" t="s">
        <v>266</v>
      </c>
      <c r="C390" s="80">
        <v>41250</v>
      </c>
    </row>
    <row r="391" spans="1:3" hidden="1" x14ac:dyDescent="0.25">
      <c r="A391" s="61" t="s">
        <v>659</v>
      </c>
      <c r="B391" s="77" t="s">
        <v>365</v>
      </c>
      <c r="C391" s="80">
        <v>0</v>
      </c>
    </row>
    <row r="392" spans="1:3" hidden="1" x14ac:dyDescent="0.25">
      <c r="A392" s="61" t="s">
        <v>766</v>
      </c>
      <c r="B392" s="77" t="s">
        <v>365</v>
      </c>
      <c r="C392" s="80">
        <v>2919.9166666699998</v>
      </c>
    </row>
    <row r="393" spans="1:3" hidden="1" x14ac:dyDescent="0.25">
      <c r="A393" s="61" t="s">
        <v>1235</v>
      </c>
      <c r="B393" s="77" t="s">
        <v>365</v>
      </c>
      <c r="C393" s="80">
        <v>0</v>
      </c>
    </row>
    <row r="394" spans="1:3" hidden="1" x14ac:dyDescent="0.25">
      <c r="A394" s="61" t="s">
        <v>1150</v>
      </c>
      <c r="B394" s="77" t="s">
        <v>365</v>
      </c>
      <c r="C394" s="80">
        <v>0</v>
      </c>
    </row>
    <row r="395" spans="1:3" hidden="1" x14ac:dyDescent="0.25">
      <c r="A395" s="61" t="s">
        <v>382</v>
      </c>
      <c r="B395" s="77" t="s">
        <v>365</v>
      </c>
      <c r="C395" s="80">
        <v>11759</v>
      </c>
    </row>
    <row r="396" spans="1:3" hidden="1" x14ac:dyDescent="0.25">
      <c r="A396" s="61" t="s">
        <v>660</v>
      </c>
      <c r="B396" s="77" t="s">
        <v>365</v>
      </c>
      <c r="C396" s="80">
        <v>5291.6666666700003</v>
      </c>
    </row>
    <row r="397" spans="1:3" hidden="1" x14ac:dyDescent="0.25">
      <c r="A397" s="61" t="s">
        <v>1237</v>
      </c>
      <c r="B397" s="71" t="s">
        <v>265</v>
      </c>
      <c r="C397" s="74">
        <v>0</v>
      </c>
    </row>
    <row r="398" spans="1:3" hidden="1" x14ac:dyDescent="0.25">
      <c r="A398" s="61" t="s">
        <v>482</v>
      </c>
      <c r="B398" s="77" t="s">
        <v>265</v>
      </c>
      <c r="C398" s="80">
        <v>2.6999075600000002</v>
      </c>
    </row>
    <row r="399" spans="1:3" hidden="1" x14ac:dyDescent="0.25">
      <c r="A399" s="61" t="s">
        <v>1151</v>
      </c>
      <c r="B399" s="77" t="s">
        <v>265</v>
      </c>
      <c r="C399" s="80">
        <v>0</v>
      </c>
    </row>
    <row r="400" spans="1:3" hidden="1" x14ac:dyDescent="0.25">
      <c r="A400" s="61" t="s">
        <v>1152</v>
      </c>
      <c r="B400" s="77" t="s">
        <v>265</v>
      </c>
      <c r="C400" s="80">
        <v>55</v>
      </c>
    </row>
    <row r="401" spans="1:3" hidden="1" x14ac:dyDescent="0.25">
      <c r="A401" s="61" t="s">
        <v>1153</v>
      </c>
      <c r="B401" s="77" t="s">
        <v>265</v>
      </c>
      <c r="C401" s="80">
        <v>0</v>
      </c>
    </row>
    <row r="402" spans="1:3" hidden="1" x14ac:dyDescent="0.25">
      <c r="A402" s="61" t="s">
        <v>1154</v>
      </c>
      <c r="B402" s="77" t="s">
        <v>265</v>
      </c>
      <c r="C402" s="80">
        <v>0</v>
      </c>
    </row>
    <row r="403" spans="1:3" hidden="1" x14ac:dyDescent="0.25">
      <c r="A403" s="64" t="s">
        <v>51</v>
      </c>
      <c r="B403" s="78" t="s">
        <v>265</v>
      </c>
      <c r="C403" s="80">
        <v>41.515441180000003</v>
      </c>
    </row>
    <row r="404" spans="1:3" hidden="1" x14ac:dyDescent="0.25">
      <c r="A404" s="64" t="s">
        <v>1155</v>
      </c>
      <c r="B404" s="77" t="s">
        <v>265</v>
      </c>
      <c r="C404" s="80">
        <v>0</v>
      </c>
    </row>
    <row r="405" spans="1:3" hidden="1" x14ac:dyDescent="0.25">
      <c r="A405" s="61" t="s">
        <v>52</v>
      </c>
      <c r="B405" s="77" t="s">
        <v>265</v>
      </c>
      <c r="C405" s="80">
        <v>26.269315670000001</v>
      </c>
    </row>
    <row r="406" spans="1:3" hidden="1" x14ac:dyDescent="0.25">
      <c r="A406" s="61" t="s">
        <v>420</v>
      </c>
      <c r="B406" s="77" t="s">
        <v>265</v>
      </c>
      <c r="C406" s="80">
        <v>8.9250000000000007</v>
      </c>
    </row>
    <row r="407" spans="1:3" hidden="1" x14ac:dyDescent="0.25">
      <c r="A407" s="64" t="s">
        <v>393</v>
      </c>
      <c r="B407" s="78" t="s">
        <v>265</v>
      </c>
      <c r="C407" s="80">
        <v>18.828275860000002</v>
      </c>
    </row>
    <row r="408" spans="1:3" hidden="1" x14ac:dyDescent="0.25">
      <c r="A408" s="64" t="s">
        <v>1156</v>
      </c>
      <c r="B408" s="78" t="s">
        <v>265</v>
      </c>
      <c r="C408" s="80">
        <v>29.6875</v>
      </c>
    </row>
    <row r="409" spans="1:3" hidden="1" x14ac:dyDescent="0.25">
      <c r="A409" s="64" t="s">
        <v>1157</v>
      </c>
      <c r="B409" s="78" t="s">
        <v>265</v>
      </c>
      <c r="C409" s="80">
        <v>1.5</v>
      </c>
    </row>
    <row r="410" spans="1:3" hidden="1" x14ac:dyDescent="0.25">
      <c r="A410" s="64" t="s">
        <v>410</v>
      </c>
      <c r="B410" s="78" t="s">
        <v>266</v>
      </c>
      <c r="C410" s="80">
        <v>1497.5916666700002</v>
      </c>
    </row>
    <row r="411" spans="1:3" hidden="1" x14ac:dyDescent="0.25">
      <c r="A411" s="64" t="s">
        <v>562</v>
      </c>
      <c r="B411" s="78" t="s">
        <v>265</v>
      </c>
      <c r="C411" s="80">
        <v>44.212727269999995</v>
      </c>
    </row>
    <row r="412" spans="1:3" hidden="1" x14ac:dyDescent="0.25">
      <c r="A412" s="64" t="s">
        <v>1158</v>
      </c>
      <c r="B412" s="78" t="s">
        <v>265</v>
      </c>
      <c r="C412" s="80">
        <v>0</v>
      </c>
    </row>
    <row r="413" spans="1:3" hidden="1" x14ac:dyDescent="0.25">
      <c r="A413" s="61" t="s">
        <v>1159</v>
      </c>
      <c r="B413" s="77" t="s">
        <v>265</v>
      </c>
      <c r="C413" s="80">
        <v>0</v>
      </c>
    </row>
    <row r="414" spans="1:3" hidden="1" x14ac:dyDescent="0.25">
      <c r="A414" s="64" t="s">
        <v>684</v>
      </c>
      <c r="B414" s="78" t="s">
        <v>266</v>
      </c>
      <c r="C414" s="80">
        <v>52.875694439999997</v>
      </c>
    </row>
    <row r="415" spans="1:3" hidden="1" x14ac:dyDescent="0.25">
      <c r="A415" s="66" t="s">
        <v>1160</v>
      </c>
      <c r="B415" s="78" t="s">
        <v>266</v>
      </c>
      <c r="C415" s="80">
        <v>125.74666666666667</v>
      </c>
    </row>
    <row r="416" spans="1:3" hidden="1" x14ac:dyDescent="0.25">
      <c r="A416" s="64" t="s">
        <v>86</v>
      </c>
      <c r="B416" s="78" t="s">
        <v>266</v>
      </c>
      <c r="C416" s="80">
        <v>0</v>
      </c>
    </row>
    <row r="417" spans="1:3" hidden="1" x14ac:dyDescent="0.25">
      <c r="A417" s="64" t="s">
        <v>1161</v>
      </c>
      <c r="B417" s="78" t="s">
        <v>365</v>
      </c>
      <c r="C417" s="79">
        <v>2449</v>
      </c>
    </row>
    <row r="418" spans="1:3" hidden="1" x14ac:dyDescent="0.25">
      <c r="A418" s="61" t="s">
        <v>1162</v>
      </c>
      <c r="B418" s="77" t="s">
        <v>265</v>
      </c>
      <c r="C418" s="80">
        <v>0</v>
      </c>
    </row>
    <row r="419" spans="1:3" hidden="1" x14ac:dyDescent="0.25">
      <c r="A419" s="61" t="s">
        <v>661</v>
      </c>
      <c r="B419" s="77" t="s">
        <v>266</v>
      </c>
      <c r="C419" s="80">
        <v>0</v>
      </c>
    </row>
    <row r="420" spans="1:3" hidden="1" x14ac:dyDescent="0.25">
      <c r="A420" s="61" t="s">
        <v>1163</v>
      </c>
      <c r="B420" s="77" t="s">
        <v>266</v>
      </c>
      <c r="C420" s="80">
        <v>1311.1111111133334</v>
      </c>
    </row>
    <row r="421" spans="1:3" hidden="1" x14ac:dyDescent="0.25">
      <c r="A421" s="61" t="s">
        <v>366</v>
      </c>
      <c r="B421" s="77" t="s">
        <v>266</v>
      </c>
      <c r="C421" s="80">
        <v>12280</v>
      </c>
    </row>
    <row r="422" spans="1:3" hidden="1" x14ac:dyDescent="0.25">
      <c r="A422" s="61" t="s">
        <v>700</v>
      </c>
      <c r="B422" s="77" t="s">
        <v>265</v>
      </c>
      <c r="C422" s="80">
        <v>0</v>
      </c>
    </row>
    <row r="423" spans="1:3" hidden="1" x14ac:dyDescent="0.25">
      <c r="A423" s="61" t="s">
        <v>1164</v>
      </c>
      <c r="B423" s="77" t="s">
        <v>265</v>
      </c>
      <c r="C423" s="80">
        <v>15.153333330000001</v>
      </c>
    </row>
    <row r="424" spans="1:3" hidden="1" x14ac:dyDescent="0.25">
      <c r="A424" s="61" t="s">
        <v>1165</v>
      </c>
      <c r="B424" s="77" t="s">
        <v>266</v>
      </c>
      <c r="C424" s="80">
        <v>18.113333333333333</v>
      </c>
    </row>
    <row r="425" spans="1:3" hidden="1" x14ac:dyDescent="0.25">
      <c r="A425" s="75" t="s">
        <v>87</v>
      </c>
      <c r="B425" s="82" t="s">
        <v>266</v>
      </c>
      <c r="C425" s="82">
        <v>750.69333332999997</v>
      </c>
    </row>
    <row r="426" spans="1:3" hidden="1" x14ac:dyDescent="0.25">
      <c r="A426" s="75" t="s">
        <v>486</v>
      </c>
      <c r="B426" s="82" t="s">
        <v>266</v>
      </c>
      <c r="C426" s="82">
        <v>930.55555555333331</v>
      </c>
    </row>
    <row r="427" spans="1:3" hidden="1" x14ac:dyDescent="0.25">
      <c r="A427" s="75" t="s">
        <v>408</v>
      </c>
      <c r="B427" s="82" t="s">
        <v>265</v>
      </c>
      <c r="C427" s="82">
        <v>39.31131019</v>
      </c>
    </row>
    <row r="428" spans="1:3" hidden="1" x14ac:dyDescent="0.25">
      <c r="A428" s="75" t="s">
        <v>1166</v>
      </c>
      <c r="B428" s="82" t="s">
        <v>265</v>
      </c>
      <c r="C428" s="82">
        <v>100</v>
      </c>
    </row>
    <row r="429" spans="1:3" hidden="1" x14ac:dyDescent="0.25">
      <c r="A429" s="75" t="s">
        <v>1167</v>
      </c>
      <c r="B429" s="82" t="s">
        <v>265</v>
      </c>
      <c r="C429" s="82">
        <v>0</v>
      </c>
    </row>
    <row r="430" spans="1:3" hidden="1" x14ac:dyDescent="0.25">
      <c r="A430" s="75" t="s">
        <v>1011</v>
      </c>
      <c r="B430" s="82" t="s">
        <v>265</v>
      </c>
      <c r="C430" s="82">
        <v>73.001352639999993</v>
      </c>
    </row>
    <row r="431" spans="1:3" hidden="1" x14ac:dyDescent="0.25">
      <c r="A431" s="75" t="s">
        <v>228</v>
      </c>
      <c r="B431" s="82" t="s">
        <v>265</v>
      </c>
      <c r="C431" s="82">
        <v>16.11097131</v>
      </c>
    </row>
    <row r="432" spans="1:3" hidden="1" x14ac:dyDescent="0.25">
      <c r="A432" s="75" t="s">
        <v>426</v>
      </c>
      <c r="B432" s="82" t="s">
        <v>265</v>
      </c>
      <c r="C432" s="82">
        <v>7.8149515000000003</v>
      </c>
    </row>
    <row r="433" spans="1:3" hidden="1" x14ac:dyDescent="0.25">
      <c r="A433" s="75" t="s">
        <v>341</v>
      </c>
      <c r="B433" s="82" t="s">
        <v>265</v>
      </c>
      <c r="C433" s="82">
        <v>12.80723817</v>
      </c>
    </row>
    <row r="434" spans="1:3" hidden="1" x14ac:dyDescent="0.25">
      <c r="A434" s="75" t="s">
        <v>1168</v>
      </c>
      <c r="B434" s="82" t="s">
        <v>265</v>
      </c>
      <c r="C434" s="82">
        <v>3.9939904199999998</v>
      </c>
    </row>
    <row r="435" spans="1:3" hidden="1" x14ac:dyDescent="0.25">
      <c r="A435" s="75" t="s">
        <v>1169</v>
      </c>
      <c r="B435" s="82" t="s">
        <v>265</v>
      </c>
      <c r="C435" s="82">
        <v>19.03640103</v>
      </c>
    </row>
    <row r="436" spans="1:3" hidden="1" x14ac:dyDescent="0.25">
      <c r="A436" s="75" t="s">
        <v>465</v>
      </c>
      <c r="B436" s="82" t="s">
        <v>265</v>
      </c>
      <c r="C436" s="82">
        <v>12.761458230000001</v>
      </c>
    </row>
    <row r="437" spans="1:3" hidden="1" x14ac:dyDescent="0.25">
      <c r="A437" s="75" t="s">
        <v>1170</v>
      </c>
      <c r="B437" s="82" t="s">
        <v>265</v>
      </c>
      <c r="C437" s="82">
        <v>19.661641695</v>
      </c>
    </row>
    <row r="438" spans="1:3" hidden="1" x14ac:dyDescent="0.25">
      <c r="A438" s="75" t="s">
        <v>1171</v>
      </c>
      <c r="B438" s="82" t="s">
        <v>265</v>
      </c>
      <c r="C438" s="82">
        <v>0</v>
      </c>
    </row>
    <row r="439" spans="1:3" hidden="1" x14ac:dyDescent="0.25">
      <c r="A439" s="75" t="s">
        <v>1248</v>
      </c>
      <c r="B439" s="82" t="s">
        <v>265</v>
      </c>
      <c r="C439" s="82">
        <v>0</v>
      </c>
    </row>
    <row r="440" spans="1:3" hidden="1" x14ac:dyDescent="0.25">
      <c r="A440" s="75" t="s">
        <v>90</v>
      </c>
      <c r="B440" s="82" t="s">
        <v>265</v>
      </c>
      <c r="C440" s="82">
        <v>1.8699025499999999</v>
      </c>
    </row>
    <row r="441" spans="1:3" hidden="1" x14ac:dyDescent="0.25">
      <c r="A441" s="75" t="s">
        <v>168</v>
      </c>
      <c r="B441" s="82" t="s">
        <v>265</v>
      </c>
      <c r="C441" s="82">
        <v>5.2944800000000001</v>
      </c>
    </row>
    <row r="442" spans="1:3" hidden="1" x14ac:dyDescent="0.25">
      <c r="A442" s="75" t="s">
        <v>182</v>
      </c>
      <c r="B442" s="82" t="s">
        <v>265</v>
      </c>
      <c r="C442" s="82">
        <v>4.8319941200000001</v>
      </c>
    </row>
    <row r="443" spans="1:3" hidden="1" x14ac:dyDescent="0.25">
      <c r="A443" s="75" t="s">
        <v>1172</v>
      </c>
      <c r="B443" s="82" t="s">
        <v>265</v>
      </c>
      <c r="C443" s="82">
        <v>4.4526719999999997</v>
      </c>
    </row>
    <row r="444" spans="1:3" hidden="1" x14ac:dyDescent="0.25">
      <c r="A444" s="75" t="s">
        <v>155</v>
      </c>
      <c r="B444" s="82" t="s">
        <v>265</v>
      </c>
      <c r="C444" s="82">
        <v>12.081719999999999</v>
      </c>
    </row>
    <row r="445" spans="1:3" hidden="1" x14ac:dyDescent="0.25">
      <c r="A445" s="75" t="s">
        <v>564</v>
      </c>
      <c r="B445" s="82" t="s">
        <v>265</v>
      </c>
      <c r="C445" s="82">
        <v>3.1083507400000001</v>
      </c>
    </row>
    <row r="446" spans="1:3" hidden="1" x14ac:dyDescent="0.25">
      <c r="A446" s="75" t="s">
        <v>105</v>
      </c>
      <c r="B446" s="82" t="s">
        <v>265</v>
      </c>
      <c r="C446" s="82">
        <v>15.127067340000002</v>
      </c>
    </row>
    <row r="447" spans="1:3" hidden="1" x14ac:dyDescent="0.25">
      <c r="A447" s="75" t="s">
        <v>181</v>
      </c>
      <c r="B447" s="82" t="s">
        <v>265</v>
      </c>
      <c r="C447" s="82">
        <v>3.0946256399999998</v>
      </c>
    </row>
    <row r="448" spans="1:3" hidden="1" x14ac:dyDescent="0.25">
      <c r="A448" s="75" t="s">
        <v>1173</v>
      </c>
      <c r="B448" s="82" t="s">
        <v>266</v>
      </c>
      <c r="C448" s="82">
        <v>254.60318380000001</v>
      </c>
    </row>
    <row r="449" spans="1:3" hidden="1" x14ac:dyDescent="0.25">
      <c r="A449" s="75" t="s">
        <v>528</v>
      </c>
      <c r="B449" s="82" t="s">
        <v>265</v>
      </c>
      <c r="C449" s="82">
        <v>4.8201292200000001</v>
      </c>
    </row>
    <row r="450" spans="1:3" hidden="1" x14ac:dyDescent="0.25">
      <c r="A450" s="75" t="s">
        <v>1174</v>
      </c>
      <c r="B450" s="82" t="s">
        <v>265</v>
      </c>
      <c r="C450" s="82">
        <v>10.841952966666668</v>
      </c>
    </row>
    <row r="451" spans="1:3" hidden="1" x14ac:dyDescent="0.25">
      <c r="A451" s="75" t="s">
        <v>1007</v>
      </c>
      <c r="B451" s="82" t="s">
        <v>265</v>
      </c>
      <c r="C451" s="82">
        <v>3.6230269133333333</v>
      </c>
    </row>
    <row r="452" spans="1:3" hidden="1" x14ac:dyDescent="0.25">
      <c r="A452" s="75" t="s">
        <v>395</v>
      </c>
      <c r="B452" s="82" t="s">
        <v>265</v>
      </c>
      <c r="C452" s="82">
        <v>19.79664923</v>
      </c>
    </row>
    <row r="453" spans="1:3" hidden="1" x14ac:dyDescent="0.25">
      <c r="A453" s="75" t="s">
        <v>226</v>
      </c>
      <c r="B453" s="82" t="s">
        <v>265</v>
      </c>
      <c r="C453" s="82">
        <v>10.179495380000001</v>
      </c>
    </row>
    <row r="454" spans="1:3" hidden="1" x14ac:dyDescent="0.25">
      <c r="A454" s="75" t="s">
        <v>1175</v>
      </c>
      <c r="B454" s="82" t="s">
        <v>265</v>
      </c>
      <c r="C454" s="82">
        <v>18.771919780000001</v>
      </c>
    </row>
    <row r="455" spans="1:3" hidden="1" x14ac:dyDescent="0.25">
      <c r="A455" s="75" t="s">
        <v>559</v>
      </c>
      <c r="B455" s="82" t="s">
        <v>265</v>
      </c>
      <c r="C455" s="82">
        <v>8.2163994999999996</v>
      </c>
    </row>
    <row r="456" spans="1:3" hidden="1" x14ac:dyDescent="0.25">
      <c r="A456" s="75" t="s">
        <v>1003</v>
      </c>
      <c r="B456" s="82" t="s">
        <v>265</v>
      </c>
      <c r="C456" s="82">
        <v>13.67543716</v>
      </c>
    </row>
    <row r="457" spans="1:3" hidden="1" x14ac:dyDescent="0.25">
      <c r="A457" s="75" t="s">
        <v>1251</v>
      </c>
      <c r="B457" s="82" t="s">
        <v>265</v>
      </c>
      <c r="C457" s="82">
        <v>0</v>
      </c>
    </row>
    <row r="458" spans="1:3" hidden="1" x14ac:dyDescent="0.25">
      <c r="A458" s="75" t="s">
        <v>554</v>
      </c>
      <c r="B458" s="82" t="s">
        <v>266</v>
      </c>
      <c r="C458" s="82">
        <v>0</v>
      </c>
    </row>
    <row r="459" spans="1:3" hidden="1" x14ac:dyDescent="0.25">
      <c r="A459" s="75" t="s">
        <v>556</v>
      </c>
      <c r="B459" s="82" t="s">
        <v>265</v>
      </c>
      <c r="C459" s="82">
        <v>76.437956069999998</v>
      </c>
    </row>
    <row r="460" spans="1:3" hidden="1" x14ac:dyDescent="0.25">
      <c r="A460" s="75" t="s">
        <v>97</v>
      </c>
      <c r="B460" s="82" t="s">
        <v>265</v>
      </c>
      <c r="C460" s="82">
        <v>70.275154259999994</v>
      </c>
    </row>
    <row r="461" spans="1:3" hidden="1" x14ac:dyDescent="0.25">
      <c r="A461" s="75" t="s">
        <v>662</v>
      </c>
      <c r="B461" s="82" t="s">
        <v>265</v>
      </c>
      <c r="C461" s="82">
        <v>11.90893019</v>
      </c>
    </row>
    <row r="462" spans="1:3" hidden="1" x14ac:dyDescent="0.25">
      <c r="A462" s="75" t="s">
        <v>593</v>
      </c>
      <c r="B462" s="82" t="s">
        <v>265</v>
      </c>
      <c r="C462" s="82">
        <v>16.682470179999999</v>
      </c>
    </row>
    <row r="463" spans="1:3" hidden="1" x14ac:dyDescent="0.25">
      <c r="A463" s="75" t="s">
        <v>93</v>
      </c>
      <c r="B463" s="82" t="s">
        <v>265</v>
      </c>
      <c r="C463" s="82">
        <v>1.25441665</v>
      </c>
    </row>
    <row r="464" spans="1:3" hidden="1" x14ac:dyDescent="0.25">
      <c r="A464" s="75" t="s">
        <v>94</v>
      </c>
      <c r="B464" s="82" t="s">
        <v>265</v>
      </c>
      <c r="C464" s="82">
        <v>0</v>
      </c>
    </row>
    <row r="465" spans="1:3" hidden="1" x14ac:dyDescent="0.25">
      <c r="A465" s="75" t="s">
        <v>962</v>
      </c>
      <c r="B465" s="82" t="s">
        <v>265</v>
      </c>
      <c r="C465" s="82">
        <v>32.346780520000003</v>
      </c>
    </row>
    <row r="466" spans="1:3" hidden="1" x14ac:dyDescent="0.25">
      <c r="A466" s="75" t="s">
        <v>1176</v>
      </c>
      <c r="B466" s="82" t="s">
        <v>265</v>
      </c>
      <c r="C466" s="82">
        <v>12.68410212</v>
      </c>
    </row>
    <row r="467" spans="1:3" hidden="1" x14ac:dyDescent="0.25">
      <c r="A467" s="75" t="s">
        <v>137</v>
      </c>
      <c r="B467" s="82" t="s">
        <v>265</v>
      </c>
      <c r="C467" s="82">
        <v>11.13267572</v>
      </c>
    </row>
    <row r="468" spans="1:3" hidden="1" x14ac:dyDescent="0.25">
      <c r="A468" s="75" t="s">
        <v>103</v>
      </c>
      <c r="B468" s="82" t="s">
        <v>266</v>
      </c>
      <c r="C468" s="82">
        <v>4920.8029999999999</v>
      </c>
    </row>
    <row r="469" spans="1:3" hidden="1" x14ac:dyDescent="0.25">
      <c r="A469" s="75" t="s">
        <v>1250</v>
      </c>
      <c r="B469" s="82" t="s">
        <v>266</v>
      </c>
      <c r="C469" s="82">
        <v>0</v>
      </c>
    </row>
    <row r="470" spans="1:3" hidden="1" x14ac:dyDescent="0.25">
      <c r="A470" s="75" t="s">
        <v>77</v>
      </c>
      <c r="B470" s="82" t="s">
        <v>265</v>
      </c>
      <c r="C470" s="82">
        <v>18.622814269999999</v>
      </c>
    </row>
    <row r="471" spans="1:3" hidden="1" x14ac:dyDescent="0.25">
      <c r="A471" s="75" t="s">
        <v>1241</v>
      </c>
      <c r="B471" s="82" t="s">
        <v>265</v>
      </c>
      <c r="C471" s="82">
        <v>0</v>
      </c>
    </row>
    <row r="472" spans="1:3" hidden="1" x14ac:dyDescent="0.25">
      <c r="A472" s="75" t="s">
        <v>565</v>
      </c>
      <c r="B472" s="82" t="s">
        <v>265</v>
      </c>
      <c r="C472" s="82">
        <v>64.196281729999995</v>
      </c>
    </row>
    <row r="473" spans="1:3" hidden="1" x14ac:dyDescent="0.25">
      <c r="A473" s="75" t="s">
        <v>512</v>
      </c>
      <c r="B473" s="82" t="s">
        <v>265</v>
      </c>
      <c r="C473" s="82">
        <v>9.7905400900000004</v>
      </c>
    </row>
    <row r="474" spans="1:3" hidden="1" x14ac:dyDescent="0.25">
      <c r="A474" s="75" t="s">
        <v>73</v>
      </c>
      <c r="B474" s="82" t="s">
        <v>265</v>
      </c>
      <c r="C474" s="82">
        <v>11.478188469999999</v>
      </c>
    </row>
    <row r="475" spans="1:3" hidden="1" x14ac:dyDescent="0.25">
      <c r="A475" s="75" t="s">
        <v>1177</v>
      </c>
      <c r="B475" s="82" t="s">
        <v>265</v>
      </c>
      <c r="C475" s="82">
        <v>12.164332180000001</v>
      </c>
    </row>
    <row r="476" spans="1:3" hidden="1" x14ac:dyDescent="0.25">
      <c r="A476" s="75" t="s">
        <v>1249</v>
      </c>
      <c r="B476" s="82" t="s">
        <v>265</v>
      </c>
      <c r="C476" s="82">
        <v>0</v>
      </c>
    </row>
    <row r="477" spans="1:3" hidden="1" x14ac:dyDescent="0.25">
      <c r="A477" s="75" t="s">
        <v>193</v>
      </c>
      <c r="B477" s="82" t="s">
        <v>265</v>
      </c>
      <c r="C477" s="82">
        <v>65.25217395</v>
      </c>
    </row>
    <row r="478" spans="1:3" hidden="1" x14ac:dyDescent="0.25">
      <c r="A478" s="75" t="s">
        <v>1178</v>
      </c>
      <c r="B478" s="82" t="s">
        <v>265</v>
      </c>
      <c r="C478" s="82">
        <v>0</v>
      </c>
    </row>
    <row r="479" spans="1:3" hidden="1" x14ac:dyDescent="0.25">
      <c r="A479" s="75" t="s">
        <v>374</v>
      </c>
      <c r="B479" s="82" t="s">
        <v>266</v>
      </c>
      <c r="C479" s="82">
        <v>15663.995684970001</v>
      </c>
    </row>
    <row r="480" spans="1:3" hidden="1" x14ac:dyDescent="0.25">
      <c r="A480" s="75" t="s">
        <v>496</v>
      </c>
      <c r="B480" s="82" t="s">
        <v>265</v>
      </c>
      <c r="C480" s="82">
        <v>94.925892939999997</v>
      </c>
    </row>
    <row r="481" spans="1:3" hidden="1" x14ac:dyDescent="0.25">
      <c r="A481" s="75" t="s">
        <v>1179</v>
      </c>
      <c r="B481" s="82" t="s">
        <v>266</v>
      </c>
      <c r="C481" s="82">
        <v>512.12607965999996</v>
      </c>
    </row>
    <row r="482" spans="1:3" hidden="1" x14ac:dyDescent="0.25">
      <c r="A482" s="75" t="s">
        <v>1180</v>
      </c>
      <c r="B482" s="82" t="s">
        <v>266</v>
      </c>
      <c r="C482" s="82">
        <v>1728.7093749999999</v>
      </c>
    </row>
    <row r="483" spans="1:3" hidden="1" x14ac:dyDescent="0.25">
      <c r="A483" s="75" t="s">
        <v>1253</v>
      </c>
      <c r="B483" s="82" t="s">
        <v>266</v>
      </c>
      <c r="C483" s="82">
        <v>0</v>
      </c>
    </row>
    <row r="484" spans="1:3" hidden="1" x14ac:dyDescent="0.25">
      <c r="A484" s="75" t="s">
        <v>1181</v>
      </c>
      <c r="B484" s="82" t="s">
        <v>266</v>
      </c>
      <c r="C484" s="82">
        <v>828.66464310000003</v>
      </c>
    </row>
    <row r="485" spans="1:3" hidden="1" x14ac:dyDescent="0.25">
      <c r="A485" s="75" t="s">
        <v>88</v>
      </c>
      <c r="B485" s="82" t="s">
        <v>266</v>
      </c>
      <c r="C485" s="82">
        <v>2050.0821666000002</v>
      </c>
    </row>
    <row r="486" spans="1:3" hidden="1" x14ac:dyDescent="0.25">
      <c r="A486" s="75" t="s">
        <v>1182</v>
      </c>
      <c r="B486" s="82" t="s">
        <v>266</v>
      </c>
      <c r="C486" s="82">
        <v>2003.7166315000002</v>
      </c>
    </row>
    <row r="487" spans="1:3" hidden="1" x14ac:dyDescent="0.25">
      <c r="A487" s="75" t="s">
        <v>545</v>
      </c>
      <c r="B487" s="82" t="s">
        <v>265</v>
      </c>
      <c r="C487" s="82">
        <v>0</v>
      </c>
    </row>
    <row r="488" spans="1:3" hidden="1" x14ac:dyDescent="0.25">
      <c r="A488" s="75" t="s">
        <v>1259</v>
      </c>
      <c r="B488" s="82" t="s">
        <v>265</v>
      </c>
      <c r="C488" s="82">
        <v>30</v>
      </c>
    </row>
    <row r="489" spans="1:3" hidden="1" x14ac:dyDescent="0.25">
      <c r="A489" s="75" t="s">
        <v>1183</v>
      </c>
      <c r="B489" s="82" t="s">
        <v>265</v>
      </c>
      <c r="C489" s="82">
        <v>19.908068400000001</v>
      </c>
    </row>
    <row r="490" spans="1:3" hidden="1" x14ac:dyDescent="0.25">
      <c r="A490" s="75" t="s">
        <v>100</v>
      </c>
      <c r="B490" s="82" t="s">
        <v>266</v>
      </c>
      <c r="C490" s="82">
        <v>1245.63046328</v>
      </c>
    </row>
    <row r="491" spans="1:3" hidden="1" x14ac:dyDescent="0.25">
      <c r="A491" s="75" t="s">
        <v>1252</v>
      </c>
      <c r="B491" s="82" t="s">
        <v>265</v>
      </c>
      <c r="C491" s="82">
        <v>0</v>
      </c>
    </row>
    <row r="492" spans="1:3" hidden="1" x14ac:dyDescent="0.25">
      <c r="A492" s="75" t="s">
        <v>1184</v>
      </c>
      <c r="B492" s="82" t="s">
        <v>265</v>
      </c>
      <c r="C492" s="82">
        <v>0.40093130999999999</v>
      </c>
    </row>
    <row r="493" spans="1:3" hidden="1" x14ac:dyDescent="0.25">
      <c r="A493" s="75" t="s">
        <v>95</v>
      </c>
      <c r="B493" s="82" t="s">
        <v>265</v>
      </c>
      <c r="C493" s="82">
        <v>4.5393523800000004</v>
      </c>
    </row>
    <row r="494" spans="1:3" hidden="1" x14ac:dyDescent="0.25">
      <c r="A494" s="75" t="s">
        <v>1239</v>
      </c>
      <c r="B494" s="82" t="s">
        <v>265</v>
      </c>
      <c r="C494" s="82">
        <v>0</v>
      </c>
    </row>
    <row r="495" spans="1:3" hidden="1" x14ac:dyDescent="0.25">
      <c r="A495" s="75" t="s">
        <v>1185</v>
      </c>
      <c r="B495" s="82" t="s">
        <v>265</v>
      </c>
      <c r="C495" s="82">
        <v>0</v>
      </c>
    </row>
    <row r="496" spans="1:3" hidden="1" x14ac:dyDescent="0.25">
      <c r="A496" s="75" t="s">
        <v>1186</v>
      </c>
      <c r="B496" s="82" t="s">
        <v>265</v>
      </c>
      <c r="C496" s="82">
        <v>222</v>
      </c>
    </row>
    <row r="497" spans="1:3" hidden="1" x14ac:dyDescent="0.25">
      <c r="A497" s="75" t="s">
        <v>339</v>
      </c>
      <c r="B497" s="82" t="s">
        <v>265</v>
      </c>
      <c r="C497" s="82">
        <v>11.24087574</v>
      </c>
    </row>
    <row r="498" spans="1:3" hidden="1" x14ac:dyDescent="0.25">
      <c r="A498" s="75" t="s">
        <v>568</v>
      </c>
      <c r="B498" s="82" t="s">
        <v>265</v>
      </c>
      <c r="C498" s="82">
        <v>21.48279368</v>
      </c>
    </row>
    <row r="499" spans="1:3" hidden="1" x14ac:dyDescent="0.25">
      <c r="A499" s="75" t="s">
        <v>1256</v>
      </c>
      <c r="B499" s="82" t="s">
        <v>265</v>
      </c>
      <c r="C499" s="82">
        <v>2.0331320000000002</v>
      </c>
    </row>
    <row r="500" spans="1:3" hidden="1" x14ac:dyDescent="0.25">
      <c r="A500" s="75" t="s">
        <v>169</v>
      </c>
      <c r="B500" s="82" t="s">
        <v>266</v>
      </c>
      <c r="C500" s="82">
        <v>39.884564009999998</v>
      </c>
    </row>
    <row r="501" spans="1:3" hidden="1" x14ac:dyDescent="0.25">
      <c r="A501" s="75" t="s">
        <v>1009</v>
      </c>
      <c r="B501" s="82" t="s">
        <v>265</v>
      </c>
      <c r="C501" s="82">
        <v>57.986772719999998</v>
      </c>
    </row>
    <row r="502" spans="1:3" hidden="1" x14ac:dyDescent="0.25">
      <c r="A502" s="75" t="s">
        <v>71</v>
      </c>
      <c r="B502" s="82" t="s">
        <v>265</v>
      </c>
      <c r="C502" s="82">
        <v>15.500434669999999</v>
      </c>
    </row>
    <row r="503" spans="1:3" hidden="1" x14ac:dyDescent="0.25">
      <c r="A503" s="75" t="s">
        <v>560</v>
      </c>
      <c r="B503" s="82" t="s">
        <v>265</v>
      </c>
      <c r="C503" s="82">
        <v>24.804270519999999</v>
      </c>
    </row>
    <row r="504" spans="1:3" hidden="1" x14ac:dyDescent="0.25">
      <c r="A504" s="75" t="s">
        <v>566</v>
      </c>
      <c r="B504" s="82" t="s">
        <v>266</v>
      </c>
      <c r="C504" s="82">
        <v>5.2580417500000003</v>
      </c>
    </row>
    <row r="505" spans="1:3" hidden="1" x14ac:dyDescent="0.25">
      <c r="A505" s="75" t="s">
        <v>1187</v>
      </c>
      <c r="B505" s="82" t="s">
        <v>266</v>
      </c>
      <c r="C505" s="82">
        <v>34.565091266666663</v>
      </c>
    </row>
    <row r="506" spans="1:3" hidden="1" x14ac:dyDescent="0.25">
      <c r="A506" s="75" t="s">
        <v>74</v>
      </c>
      <c r="B506" s="82" t="s">
        <v>265</v>
      </c>
      <c r="C506" s="82">
        <v>12.25316591</v>
      </c>
    </row>
    <row r="507" spans="1:3" hidden="1" x14ac:dyDescent="0.25">
      <c r="A507" s="75" t="s">
        <v>526</v>
      </c>
      <c r="B507" s="82" t="s">
        <v>265</v>
      </c>
      <c r="C507" s="82">
        <v>23.747277729999997</v>
      </c>
    </row>
    <row r="508" spans="1:3" hidden="1" x14ac:dyDescent="0.25">
      <c r="A508" s="75" t="s">
        <v>448</v>
      </c>
      <c r="B508" s="82" t="s">
        <v>266</v>
      </c>
      <c r="C508" s="82">
        <v>1511.9012266699999</v>
      </c>
    </row>
    <row r="509" spans="1:3" hidden="1" x14ac:dyDescent="0.25">
      <c r="A509" s="75" t="s">
        <v>1188</v>
      </c>
      <c r="B509" s="82" t="s">
        <v>266</v>
      </c>
      <c r="C509" s="82">
        <v>0</v>
      </c>
    </row>
    <row r="510" spans="1:3" hidden="1" x14ac:dyDescent="0.25">
      <c r="A510" s="75" t="s">
        <v>1300</v>
      </c>
      <c r="B510" s="82" t="s">
        <v>266</v>
      </c>
      <c r="C510" s="82">
        <v>2037.8580044099999</v>
      </c>
    </row>
    <row r="511" spans="1:3" hidden="1" x14ac:dyDescent="0.25">
      <c r="A511" s="75" t="s">
        <v>527</v>
      </c>
      <c r="B511" s="82" t="s">
        <v>265</v>
      </c>
      <c r="C511" s="82">
        <v>12.173055509999999</v>
      </c>
    </row>
    <row r="512" spans="1:3" hidden="1" x14ac:dyDescent="0.25">
      <c r="A512" s="75" t="s">
        <v>96</v>
      </c>
      <c r="B512" s="82" t="s">
        <v>265</v>
      </c>
      <c r="C512" s="82">
        <v>28.798282929999999</v>
      </c>
    </row>
    <row r="513" spans="1:3" hidden="1" x14ac:dyDescent="0.25">
      <c r="A513" s="75" t="s">
        <v>167</v>
      </c>
      <c r="B513" s="82" t="s">
        <v>265</v>
      </c>
      <c r="C513" s="82">
        <v>4.5</v>
      </c>
    </row>
    <row r="514" spans="1:3" hidden="1" x14ac:dyDescent="0.25">
      <c r="A514" s="75" t="s">
        <v>157</v>
      </c>
      <c r="B514" s="82" t="s">
        <v>365</v>
      </c>
      <c r="C514" s="82">
        <v>14491.8699187</v>
      </c>
    </row>
    <row r="515" spans="1:3" hidden="1" x14ac:dyDescent="0.25">
      <c r="A515" s="75" t="s">
        <v>777</v>
      </c>
      <c r="B515" s="82" t="s">
        <v>365</v>
      </c>
      <c r="C515" s="82">
        <v>2809.5238077400004</v>
      </c>
    </row>
    <row r="516" spans="1:3" hidden="1" x14ac:dyDescent="0.25">
      <c r="A516" s="75" t="s">
        <v>778</v>
      </c>
      <c r="B516" s="82" t="s">
        <v>365</v>
      </c>
      <c r="C516" s="82">
        <v>3079.7179960499998</v>
      </c>
    </row>
    <row r="517" spans="1:3" hidden="1" x14ac:dyDescent="0.25">
      <c r="A517" s="75" t="s">
        <v>1001</v>
      </c>
      <c r="B517" s="82" t="s">
        <v>365</v>
      </c>
      <c r="C517" s="82">
        <v>8240.6790166699993</v>
      </c>
    </row>
    <row r="518" spans="1:3" hidden="1" x14ac:dyDescent="0.25">
      <c r="A518" s="75" t="s">
        <v>99</v>
      </c>
      <c r="B518" s="82" t="s">
        <v>265</v>
      </c>
      <c r="C518" s="82">
        <v>0</v>
      </c>
    </row>
    <row r="519" spans="1:3" hidden="1" x14ac:dyDescent="0.25">
      <c r="A519" s="75" t="s">
        <v>1014</v>
      </c>
      <c r="B519" s="82" t="s">
        <v>265</v>
      </c>
      <c r="C519" s="82">
        <v>2.4869146766666668</v>
      </c>
    </row>
    <row r="520" spans="1:3" hidden="1" x14ac:dyDescent="0.25">
      <c r="A520" s="75" t="s">
        <v>1234</v>
      </c>
      <c r="B520" s="82" t="s">
        <v>265</v>
      </c>
      <c r="C520" s="82">
        <v>36.459530046666664</v>
      </c>
    </row>
    <row r="521" spans="1:3" hidden="1" x14ac:dyDescent="0.25">
      <c r="A521" s="75" t="s">
        <v>681</v>
      </c>
      <c r="B521" s="82" t="s">
        <v>265</v>
      </c>
      <c r="C521" s="82">
        <v>22.545488500000001</v>
      </c>
    </row>
    <row r="522" spans="1:3" hidden="1" x14ac:dyDescent="0.25">
      <c r="A522" s="75" t="s">
        <v>106</v>
      </c>
      <c r="B522" s="82" t="s">
        <v>265</v>
      </c>
      <c r="C522" s="82">
        <v>41.077616669999998</v>
      </c>
    </row>
    <row r="523" spans="1:3" hidden="1" x14ac:dyDescent="0.25">
      <c r="A523" s="75" t="s">
        <v>1245</v>
      </c>
      <c r="B523" s="82" t="s">
        <v>265</v>
      </c>
      <c r="C523" s="82">
        <v>0</v>
      </c>
    </row>
    <row r="524" spans="1:3" hidden="1" x14ac:dyDescent="0.25">
      <c r="A524" s="75" t="s">
        <v>1189</v>
      </c>
      <c r="B524" s="82" t="s">
        <v>265</v>
      </c>
      <c r="C524" s="82">
        <v>13.67899721</v>
      </c>
    </row>
    <row r="525" spans="1:3" hidden="1" x14ac:dyDescent="0.25">
      <c r="A525" s="75" t="s">
        <v>78</v>
      </c>
      <c r="B525" s="82" t="s">
        <v>265</v>
      </c>
      <c r="C525" s="82">
        <v>20.657907720000001</v>
      </c>
    </row>
    <row r="526" spans="1:3" hidden="1" x14ac:dyDescent="0.25">
      <c r="A526" s="75" t="s">
        <v>69</v>
      </c>
      <c r="B526" s="82" t="s">
        <v>265</v>
      </c>
      <c r="C526" s="82">
        <v>28.583405070000001</v>
      </c>
    </row>
    <row r="527" spans="1:3" hidden="1" x14ac:dyDescent="0.25">
      <c r="A527" s="75" t="s">
        <v>227</v>
      </c>
      <c r="B527" s="82" t="s">
        <v>265</v>
      </c>
      <c r="C527" s="82">
        <v>12.65478409</v>
      </c>
    </row>
    <row r="528" spans="1:3" hidden="1" x14ac:dyDescent="0.25">
      <c r="A528" s="75" t="s">
        <v>1190</v>
      </c>
      <c r="B528" s="82" t="s">
        <v>265</v>
      </c>
      <c r="C528" s="82">
        <v>18.882069746666666</v>
      </c>
    </row>
    <row r="529" spans="1:3" hidden="1" x14ac:dyDescent="0.25">
      <c r="A529" s="75" t="s">
        <v>338</v>
      </c>
      <c r="B529" s="82" t="s">
        <v>266</v>
      </c>
      <c r="C529" s="82">
        <v>1758.601116</v>
      </c>
    </row>
    <row r="530" spans="1:3" hidden="1" x14ac:dyDescent="0.25">
      <c r="A530" s="75" t="s">
        <v>345</v>
      </c>
      <c r="B530" s="82" t="s">
        <v>266</v>
      </c>
      <c r="C530" s="82">
        <v>447.88979601</v>
      </c>
    </row>
    <row r="531" spans="1:3" hidden="1" x14ac:dyDescent="0.25">
      <c r="A531" s="75" t="s">
        <v>337</v>
      </c>
      <c r="B531" s="82" t="s">
        <v>266</v>
      </c>
      <c r="C531" s="82">
        <v>497.5</v>
      </c>
    </row>
    <row r="532" spans="1:3" hidden="1" x14ac:dyDescent="0.25">
      <c r="A532" s="75" t="s">
        <v>1265</v>
      </c>
      <c r="B532" s="82" t="s">
        <v>265</v>
      </c>
      <c r="C532" s="82">
        <v>17.317647600000001</v>
      </c>
    </row>
    <row r="533" spans="1:3" x14ac:dyDescent="0.25">
      <c r="A533" s="75" t="s">
        <v>358</v>
      </c>
      <c r="B533" s="82" t="s">
        <v>266</v>
      </c>
      <c r="C533" s="82">
        <v>1333.3333333200001</v>
      </c>
    </row>
    <row r="534" spans="1:3" hidden="1" x14ac:dyDescent="0.25">
      <c r="A534" s="75" t="s">
        <v>1191</v>
      </c>
      <c r="B534" s="82" t="s">
        <v>265</v>
      </c>
      <c r="C534" s="82">
        <v>1.78208612</v>
      </c>
    </row>
    <row r="535" spans="1:3" hidden="1" x14ac:dyDescent="0.25">
      <c r="A535" s="75" t="s">
        <v>1192</v>
      </c>
      <c r="B535" s="82" t="s">
        <v>265</v>
      </c>
      <c r="C535" s="82">
        <v>16.9140792</v>
      </c>
    </row>
    <row r="536" spans="1:3" hidden="1" x14ac:dyDescent="0.25">
      <c r="A536" s="75" t="s">
        <v>449</v>
      </c>
      <c r="B536" s="82" t="s">
        <v>265</v>
      </c>
      <c r="C536" s="82">
        <v>23.317903900000001</v>
      </c>
    </row>
    <row r="537" spans="1:3" hidden="1" x14ac:dyDescent="0.25">
      <c r="A537" s="75" t="s">
        <v>555</v>
      </c>
      <c r="B537" s="82" t="s">
        <v>265</v>
      </c>
      <c r="C537" s="82">
        <v>12.444477940000001</v>
      </c>
    </row>
    <row r="538" spans="1:3" hidden="1" x14ac:dyDescent="0.25">
      <c r="A538" s="75" t="s">
        <v>92</v>
      </c>
      <c r="B538" s="82" t="s">
        <v>265</v>
      </c>
      <c r="C538" s="82">
        <v>10.625185460000001</v>
      </c>
    </row>
    <row r="539" spans="1:3" hidden="1" x14ac:dyDescent="0.25">
      <c r="A539" s="75" t="s">
        <v>535</v>
      </c>
      <c r="B539" s="82" t="s">
        <v>265</v>
      </c>
      <c r="C539" s="82">
        <v>4.6491312499999999</v>
      </c>
    </row>
    <row r="540" spans="1:3" hidden="1" x14ac:dyDescent="0.25">
      <c r="A540" s="75" t="s">
        <v>499</v>
      </c>
      <c r="B540" s="82" t="s">
        <v>265</v>
      </c>
      <c r="C540" s="82">
        <v>3.57</v>
      </c>
    </row>
    <row r="541" spans="1:3" hidden="1" x14ac:dyDescent="0.25">
      <c r="A541" s="75" t="s">
        <v>1193</v>
      </c>
      <c r="B541" s="82" t="s">
        <v>265</v>
      </c>
      <c r="C541" s="82">
        <v>0</v>
      </c>
    </row>
    <row r="542" spans="1:3" hidden="1" x14ac:dyDescent="0.25">
      <c r="A542" s="75" t="s">
        <v>1244</v>
      </c>
      <c r="B542" s="82" t="s">
        <v>265</v>
      </c>
      <c r="C542" s="82">
        <v>0</v>
      </c>
    </row>
    <row r="543" spans="1:3" hidden="1" x14ac:dyDescent="0.25">
      <c r="A543" s="75" t="s">
        <v>1194</v>
      </c>
      <c r="B543" s="82" t="s">
        <v>265</v>
      </c>
      <c r="C543" s="82">
        <v>4.7223243200000002</v>
      </c>
    </row>
    <row r="544" spans="1:3" hidden="1" x14ac:dyDescent="0.25">
      <c r="A544" s="75" t="s">
        <v>396</v>
      </c>
      <c r="B544" s="82" t="s">
        <v>265</v>
      </c>
      <c r="C544" s="82">
        <v>30.892987189999999</v>
      </c>
    </row>
    <row r="545" spans="1:3" hidden="1" x14ac:dyDescent="0.25">
      <c r="A545" s="75" t="s">
        <v>594</v>
      </c>
      <c r="B545" s="82" t="s">
        <v>266</v>
      </c>
      <c r="C545" s="82">
        <v>0</v>
      </c>
    </row>
    <row r="546" spans="1:3" hidden="1" x14ac:dyDescent="0.25">
      <c r="A546" s="75" t="s">
        <v>357</v>
      </c>
      <c r="B546" s="82" t="s">
        <v>265</v>
      </c>
      <c r="C546" s="82">
        <v>34.426229499999998</v>
      </c>
    </row>
    <row r="547" spans="1:3" hidden="1" x14ac:dyDescent="0.25">
      <c r="A547" s="75" t="s">
        <v>98</v>
      </c>
      <c r="B547" s="82" t="s">
        <v>265</v>
      </c>
      <c r="C547" s="82">
        <v>0</v>
      </c>
    </row>
    <row r="548" spans="1:3" hidden="1" x14ac:dyDescent="0.25">
      <c r="A548" s="75" t="s">
        <v>949</v>
      </c>
      <c r="B548" s="82" t="s">
        <v>266</v>
      </c>
      <c r="C548" s="82">
        <v>3457.4187499999994</v>
      </c>
    </row>
    <row r="549" spans="1:3" hidden="1" x14ac:dyDescent="0.25">
      <c r="A549" s="75" t="s">
        <v>682</v>
      </c>
      <c r="B549" s="82" t="s">
        <v>266</v>
      </c>
      <c r="C549" s="82">
        <v>1563.62346551</v>
      </c>
    </row>
    <row r="550" spans="1:3" hidden="1" x14ac:dyDescent="0.25">
      <c r="A550" s="75" t="s">
        <v>1195</v>
      </c>
      <c r="B550" s="82" t="s">
        <v>265</v>
      </c>
      <c r="C550" s="82">
        <v>0</v>
      </c>
    </row>
    <row r="551" spans="1:3" hidden="1" x14ac:dyDescent="0.25">
      <c r="A551" s="75" t="s">
        <v>588</v>
      </c>
      <c r="B551" s="82" t="s">
        <v>265</v>
      </c>
      <c r="C551" s="82">
        <v>18.80280003</v>
      </c>
    </row>
    <row r="552" spans="1:3" hidden="1" x14ac:dyDescent="0.25">
      <c r="A552" s="75" t="s">
        <v>363</v>
      </c>
      <c r="B552" s="82" t="s">
        <v>266</v>
      </c>
      <c r="C552" s="82">
        <v>20955.187312270002</v>
      </c>
    </row>
    <row r="553" spans="1:3" hidden="1" x14ac:dyDescent="0.25">
      <c r="A553" s="75" t="s">
        <v>441</v>
      </c>
      <c r="B553" s="82" t="s">
        <v>266</v>
      </c>
      <c r="C553" s="82">
        <v>7157.0970217900003</v>
      </c>
    </row>
    <row r="554" spans="1:3" hidden="1" x14ac:dyDescent="0.25">
      <c r="A554" s="75" t="s">
        <v>509</v>
      </c>
      <c r="B554" s="82" t="s">
        <v>265</v>
      </c>
      <c r="C554" s="82">
        <v>12.67329179</v>
      </c>
    </row>
    <row r="555" spans="1:3" hidden="1" x14ac:dyDescent="0.25">
      <c r="A555" s="75" t="s">
        <v>503</v>
      </c>
      <c r="B555" s="82" t="s">
        <v>265</v>
      </c>
      <c r="C555" s="82">
        <v>10.046057429999999</v>
      </c>
    </row>
    <row r="556" spans="1:3" hidden="1" x14ac:dyDescent="0.25">
      <c r="A556" s="75" t="s">
        <v>964</v>
      </c>
      <c r="B556" s="82" t="s">
        <v>265</v>
      </c>
      <c r="C556" s="82">
        <v>5.9757462099999996</v>
      </c>
    </row>
    <row r="557" spans="1:3" hidden="1" x14ac:dyDescent="0.25">
      <c r="A557" s="75" t="s">
        <v>701</v>
      </c>
      <c r="B557" s="82" t="s">
        <v>265</v>
      </c>
      <c r="C557" s="82">
        <v>0</v>
      </c>
    </row>
    <row r="558" spans="1:3" hidden="1" x14ac:dyDescent="0.25">
      <c r="A558" s="75" t="s">
        <v>1196</v>
      </c>
      <c r="B558" s="82" t="s">
        <v>265</v>
      </c>
      <c r="C558" s="82">
        <v>0</v>
      </c>
    </row>
    <row r="559" spans="1:3" hidden="1" x14ac:dyDescent="0.25">
      <c r="A559" s="75" t="s">
        <v>1015</v>
      </c>
      <c r="B559" s="82" t="s">
        <v>265</v>
      </c>
      <c r="C559" s="82">
        <v>0</v>
      </c>
    </row>
    <row r="560" spans="1:3" hidden="1" x14ac:dyDescent="0.25">
      <c r="A560" s="75" t="s">
        <v>1197</v>
      </c>
      <c r="B560" s="82" t="s">
        <v>265</v>
      </c>
      <c r="C560" s="82">
        <v>11.343713620000001</v>
      </c>
    </row>
    <row r="561" spans="1:3" hidden="1" x14ac:dyDescent="0.25">
      <c r="A561" s="75" t="s">
        <v>76</v>
      </c>
      <c r="B561" s="82" t="s">
        <v>265</v>
      </c>
      <c r="C561" s="82">
        <v>8.4791596800000004</v>
      </c>
    </row>
    <row r="562" spans="1:3" hidden="1" x14ac:dyDescent="0.25">
      <c r="A562" s="75" t="s">
        <v>1254</v>
      </c>
      <c r="B562" s="82" t="s">
        <v>266</v>
      </c>
      <c r="C562" s="82">
        <v>0</v>
      </c>
    </row>
    <row r="563" spans="1:3" hidden="1" x14ac:dyDescent="0.25">
      <c r="A563" s="75" t="s">
        <v>89</v>
      </c>
      <c r="B563" s="82" t="s">
        <v>265</v>
      </c>
      <c r="C563" s="82">
        <v>0</v>
      </c>
    </row>
    <row r="564" spans="1:3" hidden="1" x14ac:dyDescent="0.25">
      <c r="A564" s="75" t="s">
        <v>185</v>
      </c>
      <c r="B564" s="82" t="s">
        <v>265</v>
      </c>
      <c r="C564" s="82">
        <v>75.580544020000005</v>
      </c>
    </row>
    <row r="565" spans="1:3" hidden="1" x14ac:dyDescent="0.25">
      <c r="A565" s="75" t="s">
        <v>524</v>
      </c>
      <c r="B565" s="82" t="s">
        <v>265</v>
      </c>
      <c r="C565" s="82">
        <v>362.45906571</v>
      </c>
    </row>
    <row r="566" spans="1:3" hidden="1" x14ac:dyDescent="0.25">
      <c r="A566" s="75" t="s">
        <v>1198</v>
      </c>
      <c r="B566" s="82" t="s">
        <v>265</v>
      </c>
      <c r="C566" s="82">
        <v>1.4197503333333333E-2</v>
      </c>
    </row>
    <row r="567" spans="1:3" hidden="1" x14ac:dyDescent="0.25">
      <c r="A567" s="75" t="s">
        <v>80</v>
      </c>
      <c r="B567" s="82" t="s">
        <v>265</v>
      </c>
      <c r="C567" s="82">
        <v>18</v>
      </c>
    </row>
    <row r="568" spans="1:3" hidden="1" x14ac:dyDescent="0.25">
      <c r="A568" s="75" t="s">
        <v>1199</v>
      </c>
      <c r="B568" s="82" t="s">
        <v>265</v>
      </c>
      <c r="C568" s="82">
        <v>3.34241126</v>
      </c>
    </row>
    <row r="569" spans="1:3" hidden="1" x14ac:dyDescent="0.25">
      <c r="A569" s="75" t="s">
        <v>1200</v>
      </c>
      <c r="B569" s="82" t="s">
        <v>265</v>
      </c>
      <c r="C569" s="82">
        <v>0.49721631999999999</v>
      </c>
    </row>
    <row r="570" spans="1:3" hidden="1" x14ac:dyDescent="0.25">
      <c r="A570" s="75" t="s">
        <v>543</v>
      </c>
      <c r="B570" s="82" t="s">
        <v>265</v>
      </c>
      <c r="C570" s="82">
        <v>0</v>
      </c>
    </row>
    <row r="571" spans="1:3" hidden="1" x14ac:dyDescent="0.25">
      <c r="A571" s="75" t="s">
        <v>1240</v>
      </c>
      <c r="B571" s="82" t="s">
        <v>265</v>
      </c>
      <c r="C571" s="82">
        <v>0</v>
      </c>
    </row>
    <row r="572" spans="1:3" hidden="1" x14ac:dyDescent="0.25">
      <c r="A572" s="75" t="s">
        <v>1257</v>
      </c>
      <c r="B572" s="82" t="s">
        <v>265</v>
      </c>
      <c r="C572" s="82">
        <v>19.34866332</v>
      </c>
    </row>
    <row r="573" spans="1:3" hidden="1" x14ac:dyDescent="0.25">
      <c r="A573" s="75" t="s">
        <v>569</v>
      </c>
      <c r="B573" s="82" t="s">
        <v>266</v>
      </c>
      <c r="C573" s="82">
        <v>327.20095400000002</v>
      </c>
    </row>
    <row r="574" spans="1:3" hidden="1" x14ac:dyDescent="0.25">
      <c r="A574" s="75" t="s">
        <v>102</v>
      </c>
      <c r="B574" s="82" t="s">
        <v>265</v>
      </c>
      <c r="C574" s="82">
        <v>59.828966459999997</v>
      </c>
    </row>
    <row r="575" spans="1:3" hidden="1" x14ac:dyDescent="0.25">
      <c r="A575" s="75" t="s">
        <v>91</v>
      </c>
      <c r="B575" s="82" t="s">
        <v>265</v>
      </c>
      <c r="C575" s="82">
        <v>17.685474030000002</v>
      </c>
    </row>
    <row r="576" spans="1:3" hidden="1" x14ac:dyDescent="0.25">
      <c r="A576" s="75" t="s">
        <v>75</v>
      </c>
      <c r="B576" s="82" t="s">
        <v>265</v>
      </c>
      <c r="C576" s="82">
        <v>17.249596690000001</v>
      </c>
    </row>
    <row r="577" spans="1:3" hidden="1" x14ac:dyDescent="0.25">
      <c r="A577" s="75" t="s">
        <v>1236</v>
      </c>
      <c r="B577" s="82" t="s">
        <v>265</v>
      </c>
      <c r="C577" s="82">
        <v>0</v>
      </c>
    </row>
    <row r="578" spans="1:3" hidden="1" x14ac:dyDescent="0.25">
      <c r="A578" s="75" t="s">
        <v>567</v>
      </c>
      <c r="B578" s="82" t="s">
        <v>265</v>
      </c>
      <c r="C578" s="82">
        <v>41.211570600000002</v>
      </c>
    </row>
    <row r="579" spans="1:3" hidden="1" x14ac:dyDescent="0.25">
      <c r="A579" s="75" t="s">
        <v>104</v>
      </c>
      <c r="B579" s="82" t="s">
        <v>265</v>
      </c>
      <c r="C579" s="82">
        <v>10.506526450000001</v>
      </c>
    </row>
    <row r="580" spans="1:3" hidden="1" x14ac:dyDescent="0.25">
      <c r="A580" s="75" t="s">
        <v>336</v>
      </c>
      <c r="B580" s="82" t="s">
        <v>265</v>
      </c>
      <c r="C580" s="82">
        <v>25.084593470000002</v>
      </c>
    </row>
    <row r="581" spans="1:3" hidden="1" x14ac:dyDescent="0.25">
      <c r="A581" s="75" t="s">
        <v>529</v>
      </c>
      <c r="B581" s="82" t="s">
        <v>265</v>
      </c>
      <c r="C581" s="82">
        <v>11.633897749999997</v>
      </c>
    </row>
    <row r="582" spans="1:3" hidden="1" x14ac:dyDescent="0.25">
      <c r="A582" s="75" t="s">
        <v>544</v>
      </c>
      <c r="B582" s="82" t="s">
        <v>265</v>
      </c>
      <c r="C582" s="82">
        <v>0</v>
      </c>
    </row>
    <row r="583" spans="1:3" hidden="1" x14ac:dyDescent="0.25">
      <c r="A583" s="75" t="s">
        <v>101</v>
      </c>
      <c r="B583" s="82" t="s">
        <v>265</v>
      </c>
      <c r="C583" s="82">
        <v>113.58938843</v>
      </c>
    </row>
    <row r="584" spans="1:3" hidden="1" x14ac:dyDescent="0.25">
      <c r="A584" s="75" t="s">
        <v>1243</v>
      </c>
      <c r="B584" s="82" t="s">
        <v>265</v>
      </c>
      <c r="C584" s="82">
        <v>0</v>
      </c>
    </row>
    <row r="585" spans="1:3" hidden="1" x14ac:dyDescent="0.25">
      <c r="A585" s="75" t="s">
        <v>1201</v>
      </c>
      <c r="B585" s="82" t="s">
        <v>265</v>
      </c>
      <c r="C585" s="82">
        <v>3.6108713433333333</v>
      </c>
    </row>
    <row r="586" spans="1:3" hidden="1" x14ac:dyDescent="0.25">
      <c r="A586" s="75" t="s">
        <v>513</v>
      </c>
      <c r="B586" s="82" t="s">
        <v>265</v>
      </c>
      <c r="C586" s="82">
        <v>26.089848069999999</v>
      </c>
    </row>
    <row r="587" spans="1:3" hidden="1" x14ac:dyDescent="0.25">
      <c r="A587" s="75" t="s">
        <v>1202</v>
      </c>
      <c r="B587" s="82" t="s">
        <v>266</v>
      </c>
      <c r="C587" s="82">
        <v>1894.25</v>
      </c>
    </row>
    <row r="588" spans="1:3" hidden="1" x14ac:dyDescent="0.25">
      <c r="A588" s="75" t="s">
        <v>399</v>
      </c>
      <c r="B588" s="82" t="s">
        <v>266</v>
      </c>
      <c r="C588" s="82">
        <v>1768.50143587</v>
      </c>
    </row>
    <row r="589" spans="1:3" hidden="1" x14ac:dyDescent="0.25">
      <c r="A589" s="75" t="s">
        <v>530</v>
      </c>
      <c r="B589" s="82" t="s">
        <v>266</v>
      </c>
      <c r="C589" s="82">
        <v>2089.24793735</v>
      </c>
    </row>
    <row r="590" spans="1:3" hidden="1" x14ac:dyDescent="0.25">
      <c r="A590" s="75" t="s">
        <v>440</v>
      </c>
      <c r="B590" s="82" t="s">
        <v>265</v>
      </c>
      <c r="C590" s="82">
        <v>19.602417729999999</v>
      </c>
    </row>
    <row r="591" spans="1:3" hidden="1" x14ac:dyDescent="0.25">
      <c r="A591" s="75" t="s">
        <v>183</v>
      </c>
      <c r="B591" s="82" t="s">
        <v>265</v>
      </c>
      <c r="C591" s="82">
        <v>3.90626731</v>
      </c>
    </row>
    <row r="592" spans="1:3" hidden="1" x14ac:dyDescent="0.25">
      <c r="A592" s="75" t="s">
        <v>1203</v>
      </c>
      <c r="B592" s="82" t="s">
        <v>265</v>
      </c>
      <c r="C592" s="82">
        <v>0</v>
      </c>
    </row>
    <row r="593" spans="1:3" hidden="1" x14ac:dyDescent="0.25">
      <c r="A593" s="75" t="s">
        <v>1204</v>
      </c>
      <c r="B593" s="82" t="s">
        <v>265</v>
      </c>
      <c r="C593" s="82">
        <v>0</v>
      </c>
    </row>
    <row r="594" spans="1:3" hidden="1" x14ac:dyDescent="0.25">
      <c r="A594" s="75" t="s">
        <v>1205</v>
      </c>
      <c r="B594" s="82" t="s">
        <v>365</v>
      </c>
      <c r="C594" s="82">
        <v>1604.75</v>
      </c>
    </row>
    <row r="595" spans="1:3" hidden="1" x14ac:dyDescent="0.25">
      <c r="A595" s="75" t="s">
        <v>997</v>
      </c>
      <c r="B595" s="82" t="s">
        <v>266</v>
      </c>
      <c r="C595" s="82">
        <v>8956.33980075</v>
      </c>
    </row>
    <row r="596" spans="1:3" hidden="1" x14ac:dyDescent="0.25">
      <c r="A596" s="75" t="s">
        <v>995</v>
      </c>
      <c r="B596" s="82" t="s">
        <v>265</v>
      </c>
      <c r="C596" s="82">
        <v>27.452214089999998</v>
      </c>
    </row>
    <row r="597" spans="1:3" hidden="1" x14ac:dyDescent="0.25">
      <c r="A597" s="75" t="s">
        <v>411</v>
      </c>
      <c r="B597" s="82" t="s">
        <v>265</v>
      </c>
      <c r="C597" s="82">
        <v>6.6714090100000005</v>
      </c>
    </row>
    <row r="598" spans="1:3" hidden="1" x14ac:dyDescent="0.25">
      <c r="A598" s="75" t="s">
        <v>1206</v>
      </c>
      <c r="B598" s="82" t="s">
        <v>265</v>
      </c>
      <c r="C598" s="82">
        <v>0</v>
      </c>
    </row>
    <row r="599" spans="1:3" hidden="1" x14ac:dyDescent="0.25">
      <c r="A599" s="75" t="s">
        <v>79</v>
      </c>
      <c r="B599" s="82" t="s">
        <v>265</v>
      </c>
      <c r="C599" s="82">
        <v>10.36730157</v>
      </c>
    </row>
    <row r="600" spans="1:3" hidden="1" x14ac:dyDescent="0.25">
      <c r="A600" s="75" t="s">
        <v>189</v>
      </c>
      <c r="B600" s="82" t="s">
        <v>265</v>
      </c>
      <c r="C600" s="82">
        <v>50.08461531999999</v>
      </c>
    </row>
    <row r="601" spans="1:3" hidden="1" x14ac:dyDescent="0.25">
      <c r="A601" s="75" t="s">
        <v>1008</v>
      </c>
      <c r="B601" s="82" t="s">
        <v>266</v>
      </c>
      <c r="C601" s="82">
        <v>6428.0485758799996</v>
      </c>
    </row>
    <row r="602" spans="1:3" hidden="1" x14ac:dyDescent="0.25">
      <c r="A602" s="75" t="s">
        <v>1207</v>
      </c>
      <c r="B602" s="82" t="s">
        <v>265</v>
      </c>
      <c r="C602" s="82">
        <v>18.791135010000001</v>
      </c>
    </row>
    <row r="603" spans="1:3" hidden="1" x14ac:dyDescent="0.25">
      <c r="A603" s="75" t="s">
        <v>533</v>
      </c>
      <c r="B603" s="82" t="s">
        <v>266</v>
      </c>
      <c r="C603" s="82">
        <v>4002.0382164999996</v>
      </c>
    </row>
    <row r="604" spans="1:3" hidden="1" x14ac:dyDescent="0.25">
      <c r="A604" s="75" t="s">
        <v>950</v>
      </c>
      <c r="B604" s="82" t="s">
        <v>265</v>
      </c>
      <c r="C604" s="82">
        <v>24.143761040000001</v>
      </c>
    </row>
    <row r="605" spans="1:3" hidden="1" x14ac:dyDescent="0.25">
      <c r="A605" s="75" t="s">
        <v>525</v>
      </c>
      <c r="B605" s="82" t="s">
        <v>265</v>
      </c>
      <c r="C605" s="82">
        <v>8.2508837566666671</v>
      </c>
    </row>
    <row r="606" spans="1:3" hidden="1" x14ac:dyDescent="0.25">
      <c r="A606" s="75" t="s">
        <v>359</v>
      </c>
      <c r="B606" s="82" t="s">
        <v>266</v>
      </c>
      <c r="C606" s="82">
        <v>0</v>
      </c>
    </row>
    <row r="607" spans="1:3" hidden="1" x14ac:dyDescent="0.25">
      <c r="A607" s="75" t="s">
        <v>156</v>
      </c>
      <c r="B607" s="82" t="s">
        <v>265</v>
      </c>
      <c r="C607" s="82">
        <v>15.86411244</v>
      </c>
    </row>
    <row r="608" spans="1:3" hidden="1" x14ac:dyDescent="0.25">
      <c r="A608" s="75" t="s">
        <v>58</v>
      </c>
      <c r="B608" s="82" t="s">
        <v>365</v>
      </c>
      <c r="C608" s="82">
        <v>1594</v>
      </c>
    </row>
    <row r="609" spans="1:3" hidden="1" x14ac:dyDescent="0.25">
      <c r="A609" s="75" t="s">
        <v>179</v>
      </c>
      <c r="B609" s="82" t="s">
        <v>365</v>
      </c>
      <c r="C609" s="82">
        <v>1594</v>
      </c>
    </row>
    <row r="610" spans="1:3" hidden="1" x14ac:dyDescent="0.25">
      <c r="A610" s="75" t="s">
        <v>1208</v>
      </c>
      <c r="B610" s="82" t="s">
        <v>265</v>
      </c>
      <c r="C610" s="82">
        <v>6.4537666666666667</v>
      </c>
    </row>
    <row r="611" spans="1:3" hidden="1" x14ac:dyDescent="0.25">
      <c r="A611" s="75" t="s">
        <v>1209</v>
      </c>
      <c r="B611" s="82" t="s">
        <v>265</v>
      </c>
      <c r="C611" s="82">
        <v>46.298666666666662</v>
      </c>
    </row>
    <row r="612" spans="1:3" hidden="1" x14ac:dyDescent="0.25">
      <c r="A612" s="75" t="s">
        <v>663</v>
      </c>
      <c r="B612" s="82" t="s">
        <v>265</v>
      </c>
      <c r="C612" s="82">
        <v>15.096933333333332</v>
      </c>
    </row>
    <row r="613" spans="1:3" hidden="1" x14ac:dyDescent="0.25">
      <c r="A613" s="75" t="s">
        <v>1210</v>
      </c>
      <c r="B613" s="82" t="s">
        <v>265</v>
      </c>
      <c r="C613" s="82">
        <v>0</v>
      </c>
    </row>
    <row r="614" spans="1:3" hidden="1" x14ac:dyDescent="0.25">
      <c r="A614" s="75" t="s">
        <v>1211</v>
      </c>
      <c r="B614" s="82" t="s">
        <v>266</v>
      </c>
      <c r="C614" s="82">
        <v>0</v>
      </c>
    </row>
    <row r="615" spans="1:3" hidden="1" x14ac:dyDescent="0.25">
      <c r="A615" s="75" t="s">
        <v>664</v>
      </c>
      <c r="B615" s="82" t="s">
        <v>365</v>
      </c>
      <c r="C615" s="82">
        <v>6187.5</v>
      </c>
    </row>
    <row r="616" spans="1:3" hidden="1" x14ac:dyDescent="0.25">
      <c r="A616" s="75" t="s">
        <v>1212</v>
      </c>
      <c r="B616" s="82" t="s">
        <v>365</v>
      </c>
      <c r="C616" s="82">
        <v>0</v>
      </c>
    </row>
    <row r="617" spans="1:3" hidden="1" x14ac:dyDescent="0.25">
      <c r="A617" s="75" t="s">
        <v>497</v>
      </c>
      <c r="B617" s="82" t="s">
        <v>266</v>
      </c>
      <c r="C617" s="82">
        <v>62.830000000000005</v>
      </c>
    </row>
    <row r="618" spans="1:3" hidden="1" x14ac:dyDescent="0.25">
      <c r="A618" s="75" t="s">
        <v>1213</v>
      </c>
      <c r="B618" s="82" t="s">
        <v>266</v>
      </c>
      <c r="C618" s="82">
        <v>33.160000000000004</v>
      </c>
    </row>
    <row r="619" spans="1:3" hidden="1" x14ac:dyDescent="0.25">
      <c r="A619" s="75" t="s">
        <v>702</v>
      </c>
      <c r="B619" s="82" t="s">
        <v>266</v>
      </c>
      <c r="C619" s="82">
        <v>2134</v>
      </c>
    </row>
    <row r="620" spans="1:3" hidden="1" x14ac:dyDescent="0.25">
      <c r="A620" s="75" t="s">
        <v>495</v>
      </c>
      <c r="B620" s="82" t="s">
        <v>266</v>
      </c>
      <c r="C620" s="82">
        <v>3458</v>
      </c>
    </row>
    <row r="621" spans="1:3" hidden="1" x14ac:dyDescent="0.25">
      <c r="A621" s="75" t="s">
        <v>665</v>
      </c>
      <c r="B621" s="82" t="s">
        <v>266</v>
      </c>
      <c r="C621" s="82">
        <v>3458</v>
      </c>
    </row>
    <row r="622" spans="1:3" hidden="1" x14ac:dyDescent="0.25">
      <c r="A622" s="75" t="s">
        <v>488</v>
      </c>
      <c r="B622" s="82" t="s">
        <v>266</v>
      </c>
      <c r="C622" s="82">
        <v>3458</v>
      </c>
    </row>
    <row r="623" spans="1:3" hidden="1" x14ac:dyDescent="0.25">
      <c r="A623" s="75" t="s">
        <v>666</v>
      </c>
      <c r="B623" s="82" t="s">
        <v>266</v>
      </c>
      <c r="C623" s="82">
        <v>3458</v>
      </c>
    </row>
    <row r="624" spans="1:3" hidden="1" x14ac:dyDescent="0.25">
      <c r="A624" s="75" t="s">
        <v>667</v>
      </c>
      <c r="B624" s="82" t="s">
        <v>266</v>
      </c>
      <c r="C624" s="82">
        <v>3458</v>
      </c>
    </row>
    <row r="625" spans="1:3" hidden="1" x14ac:dyDescent="0.25">
      <c r="A625" s="75" t="s">
        <v>668</v>
      </c>
      <c r="B625" s="82" t="s">
        <v>266</v>
      </c>
      <c r="C625" s="82">
        <v>3458</v>
      </c>
    </row>
    <row r="626" spans="1:3" hidden="1" x14ac:dyDescent="0.25">
      <c r="A626" s="75" t="s">
        <v>1214</v>
      </c>
      <c r="B626" s="82" t="s">
        <v>266</v>
      </c>
      <c r="C626" s="82">
        <v>3458</v>
      </c>
    </row>
    <row r="627" spans="1:3" hidden="1" x14ac:dyDescent="0.25">
      <c r="A627" s="75" t="s">
        <v>669</v>
      </c>
      <c r="B627" s="82" t="s">
        <v>266</v>
      </c>
      <c r="C627" s="82">
        <v>3458</v>
      </c>
    </row>
    <row r="628" spans="1:3" hidden="1" x14ac:dyDescent="0.25">
      <c r="A628" s="75" t="s">
        <v>83</v>
      </c>
      <c r="B628" s="82" t="s">
        <v>265</v>
      </c>
      <c r="C628" s="82">
        <v>5.95</v>
      </c>
    </row>
    <row r="629" spans="1:3" hidden="1" x14ac:dyDescent="0.25">
      <c r="A629" s="75" t="s">
        <v>1215</v>
      </c>
      <c r="B629" s="82" t="s">
        <v>266</v>
      </c>
      <c r="C629" s="82">
        <v>135.84</v>
      </c>
    </row>
    <row r="630" spans="1:3" hidden="1" x14ac:dyDescent="0.25">
      <c r="A630" s="75" t="s">
        <v>1216</v>
      </c>
      <c r="B630" s="82" t="s">
        <v>365</v>
      </c>
      <c r="C630" s="82">
        <v>0</v>
      </c>
    </row>
    <row r="631" spans="1:3" hidden="1" x14ac:dyDescent="0.25">
      <c r="A631" s="75" t="s">
        <v>670</v>
      </c>
      <c r="B631" s="82" t="s">
        <v>365</v>
      </c>
      <c r="C631" s="82">
        <v>8545.8333333299997</v>
      </c>
    </row>
    <row r="632" spans="1:3" hidden="1" x14ac:dyDescent="0.25">
      <c r="A632" s="75" t="s">
        <v>1217</v>
      </c>
      <c r="B632" s="82" t="s">
        <v>365</v>
      </c>
      <c r="C632" s="82">
        <v>3443.3125</v>
      </c>
    </row>
    <row r="633" spans="1:3" hidden="1" x14ac:dyDescent="0.25">
      <c r="A633" s="75" t="s">
        <v>1218</v>
      </c>
      <c r="B633" s="82" t="s">
        <v>266</v>
      </c>
      <c r="C633" s="82">
        <v>5444.4444444466671</v>
      </c>
    </row>
    <row r="634" spans="1:3" hidden="1" x14ac:dyDescent="0.25">
      <c r="A634" s="75" t="s">
        <v>389</v>
      </c>
      <c r="B634" s="82" t="s">
        <v>265</v>
      </c>
      <c r="C634" s="82">
        <v>0</v>
      </c>
    </row>
    <row r="635" spans="1:3" hidden="1" x14ac:dyDescent="0.25">
      <c r="A635" s="75" t="s">
        <v>947</v>
      </c>
      <c r="B635" s="82" t="s">
        <v>266</v>
      </c>
      <c r="C635" s="82">
        <v>45452</v>
      </c>
    </row>
    <row r="636" spans="1:3" hidden="1" x14ac:dyDescent="0.25">
      <c r="A636" s="75" t="s">
        <v>1219</v>
      </c>
      <c r="B636" s="82" t="s">
        <v>266</v>
      </c>
      <c r="C636" s="82">
        <v>56142</v>
      </c>
    </row>
    <row r="637" spans="1:3" hidden="1" x14ac:dyDescent="0.25">
      <c r="A637" s="75" t="s">
        <v>1220</v>
      </c>
      <c r="B637" s="82" t="s">
        <v>266</v>
      </c>
      <c r="C637" s="82">
        <v>40422</v>
      </c>
    </row>
    <row r="638" spans="1:3" hidden="1" x14ac:dyDescent="0.25">
      <c r="A638" s="75" t="s">
        <v>416</v>
      </c>
      <c r="B638" s="82" t="s">
        <v>266</v>
      </c>
      <c r="C638" s="82">
        <v>5847.666666666667</v>
      </c>
    </row>
    <row r="639" spans="1:3" hidden="1" x14ac:dyDescent="0.25">
      <c r="A639" s="75" t="s">
        <v>1221</v>
      </c>
      <c r="B639" s="82" t="s">
        <v>266</v>
      </c>
      <c r="C639" s="82">
        <v>0</v>
      </c>
    </row>
    <row r="640" spans="1:3" hidden="1" x14ac:dyDescent="0.25">
      <c r="A640" s="75" t="s">
        <v>671</v>
      </c>
      <c r="B640" s="82" t="s">
        <v>266</v>
      </c>
      <c r="C640" s="82">
        <v>8057</v>
      </c>
    </row>
    <row r="641" spans="1:3" hidden="1" x14ac:dyDescent="0.25">
      <c r="A641" s="75" t="s">
        <v>455</v>
      </c>
      <c r="B641" s="82" t="s">
        <v>265</v>
      </c>
      <c r="C641" s="82">
        <v>99.166666669999998</v>
      </c>
    </row>
    <row r="642" spans="1:3" hidden="1" x14ac:dyDescent="0.25">
      <c r="A642" s="75" t="s">
        <v>458</v>
      </c>
      <c r="B642" s="82" t="s">
        <v>265</v>
      </c>
      <c r="C642" s="82">
        <v>5</v>
      </c>
    </row>
    <row r="643" spans="1:3" hidden="1" x14ac:dyDescent="0.25">
      <c r="A643" s="75" t="s">
        <v>476</v>
      </c>
      <c r="B643" s="82" t="s">
        <v>265</v>
      </c>
      <c r="C643" s="82">
        <v>2.5</v>
      </c>
    </row>
    <row r="644" spans="1:3" hidden="1" x14ac:dyDescent="0.25">
      <c r="A644" s="75" t="s">
        <v>504</v>
      </c>
      <c r="B644" s="82" t="s">
        <v>265</v>
      </c>
      <c r="C644" s="82">
        <v>3.5</v>
      </c>
    </row>
    <row r="645" spans="1:3" hidden="1" x14ac:dyDescent="0.25">
      <c r="A645" s="75" t="s">
        <v>444</v>
      </c>
      <c r="B645" s="82" t="s">
        <v>265</v>
      </c>
      <c r="C645" s="82">
        <v>39</v>
      </c>
    </row>
    <row r="646" spans="1:3" hidden="1" x14ac:dyDescent="0.25">
      <c r="A646" s="75" t="s">
        <v>948</v>
      </c>
      <c r="B646" s="82" t="s">
        <v>265</v>
      </c>
      <c r="C646" s="82">
        <v>0</v>
      </c>
    </row>
    <row r="647" spans="1:3" hidden="1" x14ac:dyDescent="0.25">
      <c r="A647" s="75" t="s">
        <v>164</v>
      </c>
      <c r="B647" s="82" t="s">
        <v>265</v>
      </c>
      <c r="C647" s="82">
        <v>5.5</v>
      </c>
    </row>
    <row r="648" spans="1:3" hidden="1" x14ac:dyDescent="0.25">
      <c r="A648" s="75" t="s">
        <v>369</v>
      </c>
      <c r="B648" s="82" t="s">
        <v>266</v>
      </c>
      <c r="C648" s="82">
        <v>0</v>
      </c>
    </row>
    <row r="649" spans="1:3" hidden="1" x14ac:dyDescent="0.25">
      <c r="A649" s="75" t="s">
        <v>367</v>
      </c>
      <c r="B649" s="82" t="s">
        <v>265</v>
      </c>
      <c r="C649" s="82">
        <v>31.416</v>
      </c>
    </row>
    <row r="650" spans="1:3" hidden="1" x14ac:dyDescent="0.25">
      <c r="A650" s="75" t="s">
        <v>1222</v>
      </c>
      <c r="B650" s="82" t="s">
        <v>265</v>
      </c>
      <c r="C650" s="82">
        <v>19.3613</v>
      </c>
    </row>
    <row r="651" spans="1:3" hidden="1" x14ac:dyDescent="0.25">
      <c r="A651" s="75" t="s">
        <v>511</v>
      </c>
      <c r="B651" s="82" t="s">
        <v>265</v>
      </c>
      <c r="C651" s="82">
        <v>3.2000000000000006</v>
      </c>
    </row>
    <row r="652" spans="1:3" hidden="1" x14ac:dyDescent="0.25">
      <c r="A652" s="75" t="s">
        <v>1223</v>
      </c>
      <c r="B652" s="82" t="s">
        <v>266</v>
      </c>
      <c r="C652" s="82">
        <v>2745</v>
      </c>
    </row>
    <row r="653" spans="1:3" hidden="1" x14ac:dyDescent="0.25">
      <c r="A653" s="75" t="s">
        <v>242</v>
      </c>
      <c r="B653" s="82" t="s">
        <v>365</v>
      </c>
      <c r="C653" s="82">
        <v>1742.6875</v>
      </c>
    </row>
    <row r="654" spans="1:3" hidden="1" x14ac:dyDescent="0.25">
      <c r="A654" s="75" t="s">
        <v>241</v>
      </c>
      <c r="B654" s="82" t="s">
        <v>365</v>
      </c>
      <c r="C654" s="82">
        <v>2628.875</v>
      </c>
    </row>
    <row r="655" spans="1:3" hidden="1" x14ac:dyDescent="0.25">
      <c r="A655" s="75" t="s">
        <v>752</v>
      </c>
      <c r="B655" s="82" t="s">
        <v>266</v>
      </c>
      <c r="C655" s="82">
        <v>0</v>
      </c>
    </row>
    <row r="656" spans="1:3" hidden="1" x14ac:dyDescent="0.25">
      <c r="A656" s="75" t="s">
        <v>672</v>
      </c>
      <c r="B656" s="82" t="s">
        <v>266</v>
      </c>
      <c r="C656" s="82">
        <v>444869</v>
      </c>
    </row>
    <row r="657" spans="1:3" hidden="1" x14ac:dyDescent="0.25">
      <c r="A657" s="75" t="s">
        <v>451</v>
      </c>
      <c r="B657" s="82" t="s">
        <v>265</v>
      </c>
      <c r="C657" s="82">
        <v>10.193790849999999</v>
      </c>
    </row>
    <row r="658" spans="1:3" hidden="1" x14ac:dyDescent="0.25">
      <c r="A658" s="75" t="s">
        <v>81</v>
      </c>
      <c r="B658" s="82" t="s">
        <v>273</v>
      </c>
      <c r="C658" s="82">
        <v>13704.6</v>
      </c>
    </row>
    <row r="659" spans="1:3" hidden="1" x14ac:dyDescent="0.25">
      <c r="A659" s="75" t="s">
        <v>471</v>
      </c>
      <c r="B659" s="82" t="s">
        <v>265</v>
      </c>
      <c r="C659" s="82">
        <v>16.034500000000001</v>
      </c>
    </row>
    <row r="660" spans="1:3" hidden="1" x14ac:dyDescent="0.25">
      <c r="A660" s="75" t="s">
        <v>418</v>
      </c>
      <c r="B660" s="82" t="s">
        <v>266</v>
      </c>
      <c r="C660" s="82">
        <v>57372</v>
      </c>
    </row>
    <row r="661" spans="1:3" hidden="1" x14ac:dyDescent="0.25">
      <c r="A661" s="75" t="s">
        <v>44</v>
      </c>
      <c r="B661" s="82" t="s">
        <v>266</v>
      </c>
      <c r="C661" s="82">
        <v>34240.666666669997</v>
      </c>
    </row>
    <row r="662" spans="1:3" hidden="1" x14ac:dyDescent="0.25">
      <c r="A662" s="75" t="s">
        <v>392</v>
      </c>
      <c r="B662" s="82" t="s">
        <v>266</v>
      </c>
      <c r="C662" s="82">
        <v>34226</v>
      </c>
    </row>
    <row r="663" spans="1:3" hidden="1" x14ac:dyDescent="0.25">
      <c r="A663" s="75" t="s">
        <v>1224</v>
      </c>
      <c r="B663" s="82" t="s">
        <v>273</v>
      </c>
      <c r="C663" s="82">
        <v>3284.6</v>
      </c>
    </row>
    <row r="664" spans="1:3" hidden="1" x14ac:dyDescent="0.25">
      <c r="A664" s="75" t="s">
        <v>703</v>
      </c>
      <c r="B664" s="82" t="s">
        <v>273</v>
      </c>
      <c r="C664" s="82">
        <v>6568.8</v>
      </c>
    </row>
    <row r="665" spans="1:3" hidden="1" x14ac:dyDescent="0.25">
      <c r="A665" s="75" t="s">
        <v>460</v>
      </c>
      <c r="B665" s="82" t="s">
        <v>273</v>
      </c>
      <c r="C665" s="82">
        <v>9855.2000000000007</v>
      </c>
    </row>
    <row r="666" spans="1:3" hidden="1" x14ac:dyDescent="0.25">
      <c r="A666" s="75" t="s">
        <v>391</v>
      </c>
      <c r="B666" s="82" t="s">
        <v>266</v>
      </c>
      <c r="C666" s="82">
        <v>34242.5</v>
      </c>
    </row>
    <row r="667" spans="1:3" hidden="1" x14ac:dyDescent="0.25">
      <c r="A667" s="75" t="s">
        <v>1225</v>
      </c>
      <c r="B667" s="82" t="s">
        <v>273</v>
      </c>
      <c r="C667" s="82">
        <v>4005.4</v>
      </c>
    </row>
    <row r="668" spans="1:3" hidden="1" x14ac:dyDescent="0.25">
      <c r="A668" s="75" t="s">
        <v>965</v>
      </c>
      <c r="B668" s="82" t="s">
        <v>273</v>
      </c>
      <c r="C668" s="82">
        <v>4002.6</v>
      </c>
    </row>
    <row r="669" spans="1:3" hidden="1" x14ac:dyDescent="0.25">
      <c r="A669" s="75" t="s">
        <v>1226</v>
      </c>
      <c r="B669" s="82" t="s">
        <v>273</v>
      </c>
      <c r="C669" s="82">
        <v>4005.1999999999994</v>
      </c>
    </row>
    <row r="670" spans="1:3" hidden="1" x14ac:dyDescent="0.25">
      <c r="A670" s="75" t="s">
        <v>1227</v>
      </c>
      <c r="B670" s="82" t="s">
        <v>273</v>
      </c>
      <c r="C670" s="82">
        <v>6467.2666666666664</v>
      </c>
    </row>
    <row r="671" spans="1:3" hidden="1" x14ac:dyDescent="0.25">
      <c r="A671" s="75" t="s">
        <v>674</v>
      </c>
      <c r="B671" s="82" t="s">
        <v>273</v>
      </c>
      <c r="C671" s="82">
        <v>6467.9333333333334</v>
      </c>
    </row>
    <row r="672" spans="1:3" hidden="1" x14ac:dyDescent="0.25">
      <c r="A672" s="75" t="s">
        <v>42</v>
      </c>
      <c r="B672" s="82" t="s">
        <v>273</v>
      </c>
      <c r="C672" s="82">
        <v>9701.1333333300008</v>
      </c>
    </row>
    <row r="673" spans="1:3" hidden="1" x14ac:dyDescent="0.25">
      <c r="A673" s="75" t="s">
        <v>532</v>
      </c>
      <c r="B673" s="82" t="s">
        <v>265</v>
      </c>
      <c r="C673" s="82">
        <v>15.19341667</v>
      </c>
    </row>
    <row r="674" spans="1:3" hidden="1" x14ac:dyDescent="0.25">
      <c r="A674" s="75" t="s">
        <v>675</v>
      </c>
      <c r="B674" s="82" t="s">
        <v>266</v>
      </c>
      <c r="C674" s="82">
        <v>63887</v>
      </c>
    </row>
    <row r="675" spans="1:3" hidden="1" x14ac:dyDescent="0.25">
      <c r="A675" s="75" t="s">
        <v>676</v>
      </c>
      <c r="B675" s="82" t="s">
        <v>266</v>
      </c>
      <c r="C675" s="82">
        <v>79652</v>
      </c>
    </row>
    <row r="676" spans="1:3" hidden="1" x14ac:dyDescent="0.25">
      <c r="A676" s="75" t="s">
        <v>677</v>
      </c>
      <c r="B676" s="82" t="s">
        <v>273</v>
      </c>
      <c r="C676" s="82">
        <v>9136.1333333333332</v>
      </c>
    </row>
    <row r="677" spans="1:3" hidden="1" x14ac:dyDescent="0.25">
      <c r="A677" s="75" t="s">
        <v>763</v>
      </c>
      <c r="B677" s="82" t="s">
        <v>273</v>
      </c>
      <c r="C677" s="82">
        <v>0</v>
      </c>
    </row>
    <row r="678" spans="1:3" hidden="1" x14ac:dyDescent="0.25">
      <c r="A678" s="75" t="s">
        <v>678</v>
      </c>
      <c r="B678" s="82" t="s">
        <v>273</v>
      </c>
      <c r="C678" s="82">
        <v>9700</v>
      </c>
    </row>
    <row r="679" spans="1:3" hidden="1" x14ac:dyDescent="0.25">
      <c r="A679" s="75" t="s">
        <v>1228</v>
      </c>
      <c r="B679" s="82" t="s">
        <v>266</v>
      </c>
      <c r="C679" s="82">
        <v>0</v>
      </c>
    </row>
    <row r="680" spans="1:3" hidden="1" x14ac:dyDescent="0.25">
      <c r="A680" s="75" t="s">
        <v>1018</v>
      </c>
      <c r="B680" s="82" t="s">
        <v>365</v>
      </c>
      <c r="C680" s="82">
        <v>2796.5</v>
      </c>
    </row>
    <row r="681" spans="1:3" hidden="1" x14ac:dyDescent="0.25">
      <c r="A681" s="75" t="s">
        <v>563</v>
      </c>
      <c r="B681" s="82" t="s">
        <v>265</v>
      </c>
      <c r="C681" s="82">
        <v>58.31</v>
      </c>
    </row>
    <row r="682" spans="1:3" hidden="1" x14ac:dyDescent="0.25">
      <c r="A682" s="75" t="s">
        <v>1229</v>
      </c>
      <c r="B682" s="82" t="s">
        <v>265</v>
      </c>
      <c r="C682" s="82">
        <v>0</v>
      </c>
    </row>
    <row r="683" spans="1:3" hidden="1" x14ac:dyDescent="0.25">
      <c r="A683" s="75" t="s">
        <v>1230</v>
      </c>
      <c r="B683" s="82" t="s">
        <v>365</v>
      </c>
      <c r="C683" s="82">
        <v>0</v>
      </c>
    </row>
    <row r="684" spans="1:3" hidden="1" x14ac:dyDescent="0.25">
      <c r="A684" s="75" t="s">
        <v>679</v>
      </c>
      <c r="B684" s="82" t="s">
        <v>365</v>
      </c>
      <c r="C684" s="82">
        <v>15318.181818179999</v>
      </c>
    </row>
    <row r="685" spans="1:3" hidden="1" x14ac:dyDescent="0.25">
      <c r="A685" s="75" t="s">
        <v>519</v>
      </c>
      <c r="B685" s="82" t="s">
        <v>365</v>
      </c>
      <c r="C685" s="82">
        <v>5376.625</v>
      </c>
    </row>
    <row r="686" spans="1:3" hidden="1" x14ac:dyDescent="0.25">
      <c r="A686" s="75" t="s">
        <v>1231</v>
      </c>
      <c r="B686" s="82" t="s">
        <v>266</v>
      </c>
      <c r="C686" s="82">
        <v>34283.333333333336</v>
      </c>
    </row>
    <row r="687" spans="1:3" hidden="1" x14ac:dyDescent="0.25">
      <c r="A687" s="75" t="s">
        <v>378</v>
      </c>
      <c r="B687" s="82" t="s">
        <v>265</v>
      </c>
      <c r="C687" s="82">
        <v>3.5</v>
      </c>
    </row>
    <row r="688" spans="1:3" hidden="1" x14ac:dyDescent="0.25">
      <c r="A688" s="75" t="s">
        <v>346</v>
      </c>
      <c r="B688" s="82" t="s">
        <v>265</v>
      </c>
      <c r="C688" s="82">
        <v>2.7000000000000006</v>
      </c>
    </row>
    <row r="689" spans="1:3" hidden="1" x14ac:dyDescent="0.25">
      <c r="A689" s="75" t="s">
        <v>1232</v>
      </c>
      <c r="B689" s="82" t="s">
        <v>265</v>
      </c>
      <c r="C689" s="82">
        <v>0</v>
      </c>
    </row>
    <row r="690" spans="1:3" hidden="1" x14ac:dyDescent="0.25">
      <c r="A690" s="75" t="s">
        <v>946</v>
      </c>
      <c r="B690" s="82" t="s">
        <v>265</v>
      </c>
      <c r="C690" s="82">
        <v>32</v>
      </c>
    </row>
    <row r="691" spans="1:3" hidden="1" x14ac:dyDescent="0.25">
      <c r="B691" s="82"/>
      <c r="C691" s="82"/>
    </row>
    <row r="692" spans="1:3" hidden="1" x14ac:dyDescent="0.25">
      <c r="A692" s="75" t="s">
        <v>1006</v>
      </c>
      <c r="B692" s="82"/>
      <c r="C692" s="82">
        <v>1</v>
      </c>
    </row>
    <row r="693" spans="1:3" hidden="1" x14ac:dyDescent="0.25">
      <c r="A693" s="75" t="s">
        <v>1021</v>
      </c>
      <c r="B693" s="82"/>
      <c r="C693" s="82">
        <v>2500</v>
      </c>
    </row>
    <row r="694" spans="1:3" hidden="1" x14ac:dyDescent="0.25">
      <c r="A694" s="75" t="s">
        <v>1271</v>
      </c>
      <c r="B694" s="82" t="s">
        <v>365</v>
      </c>
      <c r="C694" s="82">
        <f>208000/24</f>
        <v>8666.6666666666661</v>
      </c>
    </row>
    <row r="695" spans="1:3" hidden="1" x14ac:dyDescent="0.25">
      <c r="A695" s="75" t="s">
        <v>1276</v>
      </c>
      <c r="B695" s="82"/>
      <c r="C695" s="82">
        <v>14</v>
      </c>
    </row>
    <row r="696" spans="1:3" hidden="1" x14ac:dyDescent="0.25">
      <c r="A696" s="75" t="s">
        <v>1277</v>
      </c>
      <c r="B696" s="82"/>
      <c r="C696" s="82">
        <v>1222</v>
      </c>
    </row>
    <row r="697" spans="1:3" hidden="1" x14ac:dyDescent="0.25">
      <c r="A697" s="75" t="s">
        <v>1278</v>
      </c>
      <c r="B697" s="82"/>
      <c r="C697" s="82">
        <v>15</v>
      </c>
    </row>
    <row r="698" spans="1:3" hidden="1" x14ac:dyDescent="0.25">
      <c r="A698" s="75" t="s">
        <v>1281</v>
      </c>
      <c r="B698" s="82"/>
      <c r="C698" s="82">
        <v>10</v>
      </c>
    </row>
    <row r="699" spans="1:3" hidden="1" x14ac:dyDescent="0.25">
      <c r="A699" s="75" t="s">
        <v>1282</v>
      </c>
      <c r="B699" s="82"/>
      <c r="C699" s="82">
        <v>4448.9545454500003</v>
      </c>
    </row>
    <row r="700" spans="1:3" hidden="1" x14ac:dyDescent="0.25">
      <c r="A700" s="75" t="s">
        <v>1283</v>
      </c>
      <c r="B700" s="82"/>
      <c r="C700" s="82">
        <v>7.2297833100000002</v>
      </c>
    </row>
    <row r="701" spans="1:3" hidden="1" x14ac:dyDescent="0.25">
      <c r="A701" s="75" t="s">
        <v>1289</v>
      </c>
      <c r="B701" s="82"/>
      <c r="C701" s="82">
        <v>10200</v>
      </c>
    </row>
    <row r="702" spans="1:3" hidden="1" x14ac:dyDescent="0.25">
      <c r="A702" s="75" t="s">
        <v>1295</v>
      </c>
      <c r="B702" s="82"/>
      <c r="C702" s="82">
        <v>3090.9074074099999</v>
      </c>
    </row>
    <row r="703" spans="1:3" hidden="1" x14ac:dyDescent="0.25">
      <c r="A703" s="75" t="s">
        <v>1296</v>
      </c>
      <c r="B703" s="82"/>
      <c r="C703" s="82">
        <v>7065.7727272700004</v>
      </c>
    </row>
    <row r="704" spans="1:3" hidden="1" x14ac:dyDescent="0.25">
      <c r="A704" s="75" t="s">
        <v>1297</v>
      </c>
      <c r="B704" s="82"/>
      <c r="C704" s="82"/>
    </row>
    <row r="705" spans="1:3" hidden="1" x14ac:dyDescent="0.25">
      <c r="A705" s="75" t="s">
        <v>1310</v>
      </c>
      <c r="B705" s="82"/>
      <c r="C705" s="82">
        <v>51.41191723</v>
      </c>
    </row>
    <row r="706" spans="1:3" hidden="1" x14ac:dyDescent="0.25">
      <c r="A706" s="75" t="s">
        <v>1311</v>
      </c>
      <c r="B706" s="82"/>
      <c r="C706" s="82">
        <v>10536.304502700001</v>
      </c>
    </row>
    <row r="707" spans="1:3" x14ac:dyDescent="0.25">
      <c r="A707" s="75" t="s">
        <v>1319</v>
      </c>
      <c r="B707" s="82"/>
      <c r="C707" s="82">
        <v>15.555053300000001</v>
      </c>
    </row>
  </sheetData>
  <sortState xmlns:xlrd2="http://schemas.microsoft.com/office/spreadsheetml/2017/richdata2" ref="A2:C424">
    <sortCondition ref="A5:A424"/>
  </sortState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841C4-B298-44C7-A582-BE9807D61F29}">
  <dimension ref="B6:L147"/>
  <sheetViews>
    <sheetView showGridLines="0" tabSelected="1" topLeftCell="A64" workbookViewId="0">
      <selection activeCell="M78" sqref="M78"/>
    </sheetView>
  </sheetViews>
  <sheetFormatPr baseColWidth="10" defaultRowHeight="14.4" x14ac:dyDescent="0.3"/>
  <cols>
    <col min="1" max="1" width="6.33203125" customWidth="1"/>
    <col min="2" max="2" width="40.109375" bestFit="1" customWidth="1"/>
    <col min="3" max="6" width="7.77734375" customWidth="1"/>
    <col min="7" max="8" width="10.77734375" customWidth="1"/>
    <col min="9" max="9" width="3.77734375" customWidth="1"/>
    <col min="10" max="10" width="26.109375" bestFit="1" customWidth="1"/>
  </cols>
  <sheetData>
    <row r="6" spans="2:12" x14ac:dyDescent="0.3">
      <c r="B6" s="1" t="s">
        <v>127</v>
      </c>
      <c r="C6" s="2"/>
      <c r="D6" s="2"/>
      <c r="E6" s="3"/>
      <c r="F6" s="3"/>
      <c r="G6" s="99"/>
      <c r="H6" s="99"/>
      <c r="I6" s="4"/>
      <c r="J6" s="277" t="s">
        <v>0</v>
      </c>
      <c r="K6" s="277"/>
      <c r="L6" s="44"/>
    </row>
    <row r="7" spans="2:12" x14ac:dyDescent="0.3">
      <c r="B7" s="91" t="s">
        <v>1</v>
      </c>
      <c r="C7" s="14" t="s">
        <v>2</v>
      </c>
      <c r="D7" s="14" t="s">
        <v>571</v>
      </c>
      <c r="E7" s="14" t="s">
        <v>572</v>
      </c>
      <c r="F7" s="14" t="s">
        <v>573</v>
      </c>
      <c r="G7" s="92" t="s">
        <v>4</v>
      </c>
      <c r="H7" s="92" t="s">
        <v>5</v>
      </c>
      <c r="I7" s="4"/>
      <c r="J7" s="5" t="s">
        <v>6</v>
      </c>
      <c r="K7" s="6">
        <f>SUM(Tabla1103453454455456479108135108[Total costo])</f>
        <v>16713.484924209999</v>
      </c>
    </row>
    <row r="8" spans="2:12" x14ac:dyDescent="0.3">
      <c r="B8" s="7" t="s">
        <v>366</v>
      </c>
      <c r="C8" s="8" t="s">
        <v>570</v>
      </c>
      <c r="D8" s="9">
        <v>1</v>
      </c>
      <c r="E8" s="9">
        <v>0</v>
      </c>
      <c r="F8" s="9">
        <v>1</v>
      </c>
      <c r="G8" s="10">
        <f>+VLOOKUP(Tabla1103453454455456479108135108[[#This Row],[Ingrediente]],Tabla34[#All],3,0)</f>
        <v>12280</v>
      </c>
      <c r="H8" s="11">
        <f>+Tabla1103453454455456479108135108[[#This Row],[Costo]]*Tabla1103453454455456479108135108[[#This Row],[Unidades]]</f>
        <v>12280</v>
      </c>
      <c r="I8" s="4"/>
      <c r="J8" s="5" t="s">
        <v>113</v>
      </c>
      <c r="K8" s="12">
        <f>+K7*5%</f>
        <v>835.67424621049997</v>
      </c>
    </row>
    <row r="9" spans="2:12" x14ac:dyDescent="0.3">
      <c r="B9" s="7" t="s">
        <v>358</v>
      </c>
      <c r="C9" s="8" t="s">
        <v>570</v>
      </c>
      <c r="D9" s="267">
        <v>1</v>
      </c>
      <c r="E9" s="9">
        <v>0</v>
      </c>
      <c r="F9" s="9">
        <v>1</v>
      </c>
      <c r="G9" s="10">
        <f>+VLOOKUP(Tabla1103453454455456479108135108[[#This Row],[Ingrediente]],Tabla34[#All],3,0)</f>
        <v>1333.3333333200001</v>
      </c>
      <c r="H9" s="11">
        <f>+Tabla1103453454455456479108135108[[#This Row],[Costo]]*Tabla1103453454455456479108135108[[#This Row],[Unidades]]</f>
        <v>1333.3333333200001</v>
      </c>
      <c r="I9" s="4"/>
      <c r="J9" s="5" t="s">
        <v>9</v>
      </c>
      <c r="K9" s="12">
        <f>+K7+K8</f>
        <v>17549.159170420498</v>
      </c>
    </row>
    <row r="10" spans="2:12" x14ac:dyDescent="0.3">
      <c r="B10" s="7" t="s">
        <v>52</v>
      </c>
      <c r="C10" s="8" t="s">
        <v>188</v>
      </c>
      <c r="D10" s="9">
        <v>30</v>
      </c>
      <c r="E10" s="9">
        <v>0</v>
      </c>
      <c r="F10" s="9">
        <v>30</v>
      </c>
      <c r="G10" s="10">
        <f>+VLOOKUP(Tabla1103453454455456479108135108[[#This Row],[Ingrediente]],Tabla34[#All],3,0)</f>
        <v>26.269315670000001</v>
      </c>
      <c r="H10" s="11">
        <f>+Tabla1103453454455456479108135108[[#This Row],[Costo]]*Tabla1103453454455456479108135108[[#This Row],[Unidades]]</f>
        <v>788.07947009999998</v>
      </c>
      <c r="I10" s="4"/>
      <c r="J10" s="17" t="s">
        <v>10</v>
      </c>
      <c r="K10" s="18">
        <v>59900</v>
      </c>
    </row>
    <row r="11" spans="2:12" x14ac:dyDescent="0.3">
      <c r="B11" s="7" t="s">
        <v>420</v>
      </c>
      <c r="C11" s="8" t="s">
        <v>188</v>
      </c>
      <c r="D11" s="9">
        <v>50</v>
      </c>
      <c r="E11" s="9">
        <v>0</v>
      </c>
      <c r="F11" s="9">
        <v>50</v>
      </c>
      <c r="G11" s="10">
        <f>+VLOOKUP(Tabla1103453454455456479108135108[[#This Row],[Ingrediente]],Tabla34[#All],3,0)</f>
        <v>8.9250000000000007</v>
      </c>
      <c r="H11" s="11">
        <f>+Tabla1103453454455456479108135108[[#This Row],[Costo]]*Tabla1103453454455456479108135108[[#This Row],[Unidades]]</f>
        <v>446.25000000000006</v>
      </c>
      <c r="I11" s="4"/>
      <c r="J11" s="5" t="s">
        <v>11</v>
      </c>
      <c r="K11" s="12">
        <f>+K10/1.08*0.08</f>
        <v>4437.0370370370365</v>
      </c>
    </row>
    <row r="12" spans="2:12" x14ac:dyDescent="0.3">
      <c r="B12" s="7" t="s">
        <v>528</v>
      </c>
      <c r="C12" s="8" t="s">
        <v>188</v>
      </c>
      <c r="D12" s="9">
        <v>80</v>
      </c>
      <c r="E12" s="9">
        <v>0</v>
      </c>
      <c r="F12" s="9">
        <v>80</v>
      </c>
      <c r="G12" s="10">
        <f>+VLOOKUP(Tabla1103453454455456479108135108[[#This Row],[Ingrediente]],Tabla34[#All],3,0)</f>
        <v>4.8201292200000001</v>
      </c>
      <c r="H12" s="11">
        <f>+Tabla1103453454455456479108135108[[#This Row],[Costo]]*Tabla1103453454455456479108135108[[#This Row],[Unidades]]</f>
        <v>385.61033759999998</v>
      </c>
      <c r="I12" s="4"/>
      <c r="J12" s="5" t="s">
        <v>12</v>
      </c>
      <c r="K12" s="12">
        <f>+K10-K11</f>
        <v>55462.962962962964</v>
      </c>
    </row>
    <row r="13" spans="2:12" x14ac:dyDescent="0.3">
      <c r="B13" s="7" t="s">
        <v>480</v>
      </c>
      <c r="C13" s="8" t="s">
        <v>188</v>
      </c>
      <c r="D13" s="9">
        <v>1</v>
      </c>
      <c r="E13" s="9">
        <v>0</v>
      </c>
      <c r="F13" s="9">
        <v>1</v>
      </c>
      <c r="G13" s="10">
        <f>+VLOOKUP(Tabla1103453454455456479108135108[[#This Row],[Ingrediente]],Tabla34[#All],3,0)</f>
        <v>328.34</v>
      </c>
      <c r="H13" s="11">
        <f>+Tabla1103453454455456479108135108[[#This Row],[Costo]]*Tabla1103453454455456479108135108[[#This Row],[Unidades]]</f>
        <v>328.34</v>
      </c>
      <c r="I13" s="4"/>
      <c r="J13" s="5" t="s">
        <v>13</v>
      </c>
      <c r="K13" s="19">
        <f>+K9/K12</f>
        <v>0.31641221876551151</v>
      </c>
    </row>
    <row r="14" spans="2:12" x14ac:dyDescent="0.3">
      <c r="B14" s="21" t="s">
        <v>398</v>
      </c>
      <c r="C14" s="8" t="s">
        <v>188</v>
      </c>
      <c r="D14" s="9">
        <v>50</v>
      </c>
      <c r="E14" s="9">
        <v>27</v>
      </c>
      <c r="F14" s="9">
        <v>68.492999999999995</v>
      </c>
      <c r="G14" s="10">
        <f>+VLOOKUP(Tabla1103453454455456479108135108[[#This Row],[Ingrediente]],Tabla34[#All],3,0)</f>
        <v>3.7999999999999994</v>
      </c>
      <c r="H14" s="11">
        <f>+Tabla1103453454455456479108135108[[#This Row],[Costo]]*Tabla1103453454455456479108135108[[#This Row],[Unidades]]</f>
        <v>260.27339999999992</v>
      </c>
      <c r="I14" s="4"/>
      <c r="J14" s="5" t="s">
        <v>14</v>
      </c>
      <c r="K14" s="20">
        <f>+K12-K9</f>
        <v>37913.803792542465</v>
      </c>
    </row>
    <row r="15" spans="2:12" x14ac:dyDescent="0.3">
      <c r="B15" s="7" t="s">
        <v>95</v>
      </c>
      <c r="C15" s="8" t="s">
        <v>188</v>
      </c>
      <c r="D15" s="9">
        <v>50</v>
      </c>
      <c r="E15" s="9">
        <v>0</v>
      </c>
      <c r="F15" s="9">
        <v>50</v>
      </c>
      <c r="G15" s="10">
        <f>+VLOOKUP(Tabla1103453454455456479108135108[[#This Row],[Ingrediente]],Tabla34[#All],3,0)</f>
        <v>4.5393523800000004</v>
      </c>
      <c r="H15" s="11">
        <f>+Tabla1103453454455456479108135108[[#This Row],[Costo]]*Tabla1103453454455456479108135108[[#This Row],[Unidades]]</f>
        <v>226.96761900000001</v>
      </c>
      <c r="I15" s="4"/>
      <c r="J15" s="5" t="s">
        <v>15</v>
      </c>
      <c r="K15" s="22">
        <f>+K14/K9</f>
        <v>2.1604342079503747</v>
      </c>
    </row>
    <row r="16" spans="2:12" x14ac:dyDescent="0.3">
      <c r="B16" s="7" t="s">
        <v>476</v>
      </c>
      <c r="C16" s="8" t="s">
        <v>188</v>
      </c>
      <c r="D16" s="267">
        <v>60</v>
      </c>
      <c r="E16" s="9">
        <v>30</v>
      </c>
      <c r="F16" s="9">
        <v>85.713999999999999</v>
      </c>
      <c r="G16" s="10">
        <f>+VLOOKUP(Tabla1103453454455456479108135108[[#This Row],[Ingrediente]],Tabla34[#All],3,0)</f>
        <v>2.5</v>
      </c>
      <c r="H16" s="11">
        <f>+Tabla1103453454455456479108135108[[#This Row],[Costo]]*Tabla1103453454455456479108135108[[#This Row],[Unidades]]</f>
        <v>214.285</v>
      </c>
      <c r="I16" s="4"/>
      <c r="J16" s="4"/>
      <c r="K16" s="23"/>
    </row>
    <row r="17" spans="2:12" x14ac:dyDescent="0.3">
      <c r="B17" s="7" t="s">
        <v>92</v>
      </c>
      <c r="C17" s="8" t="s">
        <v>188</v>
      </c>
      <c r="D17" s="9">
        <v>10</v>
      </c>
      <c r="E17" s="9">
        <v>0</v>
      </c>
      <c r="F17" s="9">
        <v>10</v>
      </c>
      <c r="G17" s="10">
        <f>+VLOOKUP(Tabla1103453454455456479108135108[[#This Row],[Ingrediente]],Tabla34[#All],3,0)</f>
        <v>10.625185460000001</v>
      </c>
      <c r="H17" s="11">
        <f>+Tabla1103453454455456479108135108[[#This Row],[Costo]]*Tabla1103453454455456479108135108[[#This Row],[Unidades]]</f>
        <v>106.2518546</v>
      </c>
      <c r="I17" s="4"/>
      <c r="J17" s="4"/>
      <c r="K17" s="23"/>
    </row>
    <row r="18" spans="2:12" x14ac:dyDescent="0.3">
      <c r="B18" s="7" t="s">
        <v>443</v>
      </c>
      <c r="C18" s="8" t="s">
        <v>188</v>
      </c>
      <c r="D18" s="9">
        <v>1</v>
      </c>
      <c r="E18" s="9">
        <v>0</v>
      </c>
      <c r="F18" s="9">
        <v>1</v>
      </c>
      <c r="G18" s="10">
        <f>+VLOOKUP(Tabla1103453454455456479108135108[[#This Row],[Ingrediente]],Tabla34[#All],3,0)</f>
        <v>94.613741530000013</v>
      </c>
      <c r="H18" s="11">
        <f>+Tabla1103453454455456479108135108[[#This Row],[Costo]]*Tabla1103453454455456479108135108[[#This Row],[Unidades]]</f>
        <v>94.613741530000013</v>
      </c>
    </row>
    <row r="19" spans="2:12" x14ac:dyDescent="0.3">
      <c r="B19" s="7" t="s">
        <v>689</v>
      </c>
      <c r="C19" s="8" t="s">
        <v>188</v>
      </c>
      <c r="D19" s="9">
        <v>2</v>
      </c>
      <c r="E19" s="9">
        <v>0</v>
      </c>
      <c r="F19" s="9">
        <v>2</v>
      </c>
      <c r="G19" s="10">
        <f>+VLOOKUP(Tabla1103453454455456479108135108[[#This Row],[Ingrediente]],Tabla34[#All],3,0)</f>
        <v>40.97</v>
      </c>
      <c r="H19" s="11">
        <f>+Tabla1103453454455456479108135108[[#This Row],[Costo]]*Tabla1103453454455456479108135108[[#This Row],[Unidades]]</f>
        <v>81.94</v>
      </c>
    </row>
    <row r="20" spans="2:12" x14ac:dyDescent="0.3">
      <c r="B20" s="21" t="s">
        <v>459</v>
      </c>
      <c r="C20" s="8" t="s">
        <v>188</v>
      </c>
      <c r="D20" s="9">
        <v>1</v>
      </c>
      <c r="E20" s="9">
        <v>0</v>
      </c>
      <c r="F20" s="9">
        <v>1</v>
      </c>
      <c r="G20" s="10">
        <f>+VLOOKUP(Tabla1103453454455456479108135108[[#This Row],[Ingrediente]],Tabla34[#All],3,0)</f>
        <v>58.140352939999993</v>
      </c>
      <c r="H20" s="11">
        <f>+Tabla1103453454455456479108135108[[#This Row],[Costo]]*Tabla1103453454455456479108135108[[#This Row],[Unidades]]</f>
        <v>58.140352939999993</v>
      </c>
    </row>
    <row r="21" spans="2:12" x14ac:dyDescent="0.3">
      <c r="B21" s="21" t="s">
        <v>442</v>
      </c>
      <c r="C21" s="8" t="s">
        <v>188</v>
      </c>
      <c r="D21" s="9">
        <v>2</v>
      </c>
      <c r="E21" s="9">
        <v>0</v>
      </c>
      <c r="F21" s="9">
        <v>2</v>
      </c>
      <c r="G21" s="10">
        <f>+VLOOKUP(Tabla1103453454455456479108135108[[#This Row],[Ingrediente]],Tabla34[#All],3,0)</f>
        <v>20.111000000000001</v>
      </c>
      <c r="H21" s="11">
        <f>+Tabla1103453454455456479108135108[[#This Row],[Costo]]*Tabla1103453454455456479108135108[[#This Row],[Unidades]]</f>
        <v>40.222000000000001</v>
      </c>
    </row>
    <row r="22" spans="2:12" x14ac:dyDescent="0.3">
      <c r="B22" s="7" t="s">
        <v>557</v>
      </c>
      <c r="C22" s="8" t="s">
        <v>188</v>
      </c>
      <c r="D22" s="9">
        <v>2</v>
      </c>
      <c r="E22" s="9">
        <v>0</v>
      </c>
      <c r="F22" s="9">
        <v>2</v>
      </c>
      <c r="G22" s="10">
        <f>+VLOOKUP(Tabla1103453454455456479108135108[[#This Row],[Ingrediente]],Tabla34[#All],3,0)</f>
        <v>18.138999999999999</v>
      </c>
      <c r="H22" s="11">
        <f>+Tabla1103453454455456479108135108[[#This Row],[Costo]]*Tabla1103453454455456479108135108[[#This Row],[Unidades]]</f>
        <v>36.277999999999999</v>
      </c>
    </row>
    <row r="23" spans="2:12" x14ac:dyDescent="0.3">
      <c r="B23" s="21" t="s">
        <v>446</v>
      </c>
      <c r="C23" s="8" t="s">
        <v>188</v>
      </c>
      <c r="D23" s="9">
        <v>3</v>
      </c>
      <c r="E23" s="9">
        <v>40</v>
      </c>
      <c r="F23" s="9">
        <v>5</v>
      </c>
      <c r="G23" s="10">
        <f>+VLOOKUP(Tabla1103453454455456479108135108[[#This Row],[Ingrediente]],Tabla34[#All],3,0)</f>
        <v>5.5</v>
      </c>
      <c r="H23" s="11">
        <f>+Tabla1103453454455456479108135108[[#This Row],[Costo]]*Tabla1103453454455456479108135108[[#This Row],[Unidades]]</f>
        <v>27.5</v>
      </c>
    </row>
    <row r="24" spans="2:12" x14ac:dyDescent="0.3">
      <c r="B24" s="7" t="s">
        <v>482</v>
      </c>
      <c r="C24" s="8" t="s">
        <v>188</v>
      </c>
      <c r="D24" s="9">
        <v>2</v>
      </c>
      <c r="E24" s="9">
        <v>0</v>
      </c>
      <c r="F24" s="9">
        <v>2</v>
      </c>
      <c r="G24" s="10">
        <f>+VLOOKUP(Tabla1103453454455456479108135108[[#This Row],[Ingrediente]],Tabla34[#All],3,0)</f>
        <v>2.6999075600000002</v>
      </c>
      <c r="H24" s="11">
        <f>+Tabla1103453454455456479108135108[[#This Row],[Costo]]*Tabla1103453454455456479108135108[[#This Row],[Unidades]]</f>
        <v>5.3998151200000004</v>
      </c>
    </row>
    <row r="25" spans="2:12" x14ac:dyDescent="0.3">
      <c r="B25" s="7" t="s">
        <v>1285</v>
      </c>
      <c r="C25" s="8" t="s">
        <v>188</v>
      </c>
      <c r="D25" s="9">
        <v>30</v>
      </c>
      <c r="E25" s="9">
        <v>0</v>
      </c>
      <c r="F25" s="9">
        <v>30</v>
      </c>
      <c r="G25" s="10">
        <v>0</v>
      </c>
      <c r="H25" s="11">
        <f>+Tabla1103453454455456479108135108[[#This Row],[Costo]]*Tabla1103453454455456479108135108[[#This Row],[Unidades]]</f>
        <v>0</v>
      </c>
    </row>
    <row r="26" spans="2:12" x14ac:dyDescent="0.3">
      <c r="B26" s="13"/>
      <c r="C26" s="14"/>
      <c r="D26" s="14"/>
      <c r="E26" s="14"/>
      <c r="F26" s="14"/>
      <c r="G26" s="15"/>
      <c r="H26" s="15">
        <f>SUBTOTAL(109,Tabla1103453454455456479108135108[Total costo])</f>
        <v>16713.484924209999</v>
      </c>
    </row>
    <row r="28" spans="2:12" x14ac:dyDescent="0.3">
      <c r="B28" s="1" t="s">
        <v>128</v>
      </c>
      <c r="C28" s="2"/>
      <c r="D28" s="2"/>
      <c r="E28" s="3"/>
      <c r="F28" s="3"/>
      <c r="G28" s="99"/>
      <c r="H28" s="99"/>
      <c r="I28" s="4"/>
      <c r="J28" s="277" t="s">
        <v>0</v>
      </c>
      <c r="K28" s="277"/>
      <c r="L28" s="44"/>
    </row>
    <row r="29" spans="2:12" x14ac:dyDescent="0.3">
      <c r="B29" s="91" t="s">
        <v>1</v>
      </c>
      <c r="C29" s="14" t="s">
        <v>2</v>
      </c>
      <c r="D29" s="14" t="s">
        <v>571</v>
      </c>
      <c r="E29" s="14" t="s">
        <v>572</v>
      </c>
      <c r="F29" s="14" t="s">
        <v>573</v>
      </c>
      <c r="G29" s="92" t="s">
        <v>4</v>
      </c>
      <c r="H29" s="92" t="s">
        <v>5</v>
      </c>
      <c r="I29" s="4"/>
      <c r="J29" s="5" t="s">
        <v>6</v>
      </c>
      <c r="K29" s="6">
        <f>SUM(Tabla1103453454455456479108129136118[Total costo])</f>
        <v>21704.767405660004</v>
      </c>
    </row>
    <row r="30" spans="2:12" x14ac:dyDescent="0.3">
      <c r="B30" s="7" t="s">
        <v>362</v>
      </c>
      <c r="C30" s="8" t="s">
        <v>188</v>
      </c>
      <c r="D30" s="9">
        <v>10</v>
      </c>
      <c r="E30" s="9">
        <v>0</v>
      </c>
      <c r="F30" s="9">
        <v>10</v>
      </c>
      <c r="G30" s="10">
        <f>+VLOOKUP(Tabla1103453454455456479108129136118[[#This Row],[Ingrediente]],Tabla34[#All],3,0)</f>
        <v>8.2499666699999992</v>
      </c>
      <c r="H30" s="11">
        <f>+Tabla1103453454455456479108129136118[[#This Row],[Costo]]*Tabla1103453454455456479108129136118[[#This Row],[Unidades]]</f>
        <v>82.499666699999992</v>
      </c>
      <c r="I30" s="4"/>
      <c r="J30" s="5" t="s">
        <v>113</v>
      </c>
      <c r="K30" s="12">
        <f>+K29*5%</f>
        <v>1085.2383702830002</v>
      </c>
    </row>
    <row r="31" spans="2:12" x14ac:dyDescent="0.3">
      <c r="B31" s="7" t="s">
        <v>442</v>
      </c>
      <c r="C31" s="8" t="s">
        <v>188</v>
      </c>
      <c r="D31" s="9">
        <v>2</v>
      </c>
      <c r="E31" s="9">
        <v>0</v>
      </c>
      <c r="F31" s="9">
        <v>2</v>
      </c>
      <c r="G31" s="10">
        <f>+VLOOKUP(Tabla1103453454455456479108129136118[[#This Row],[Ingrediente]],Tabla34[#All],3,0)</f>
        <v>20.111000000000001</v>
      </c>
      <c r="H31" s="11">
        <f>+Tabla1103453454455456479108129136118[[#This Row],[Costo]]*Tabla1103453454455456479108129136118[[#This Row],[Unidades]]</f>
        <v>40.222000000000001</v>
      </c>
      <c r="I31" s="4"/>
      <c r="J31" s="5" t="s">
        <v>9</v>
      </c>
      <c r="K31" s="12">
        <f>+K29+K30</f>
        <v>22790.005775943006</v>
      </c>
    </row>
    <row r="32" spans="2:12" x14ac:dyDescent="0.3">
      <c r="B32" s="7" t="s">
        <v>446</v>
      </c>
      <c r="C32" s="8" t="s">
        <v>188</v>
      </c>
      <c r="D32" s="9">
        <v>2</v>
      </c>
      <c r="E32" s="9">
        <v>40</v>
      </c>
      <c r="F32" s="9">
        <v>3.3330000000000002</v>
      </c>
      <c r="G32" s="10">
        <f>+VLOOKUP(Tabla1103453454455456479108129136118[[#This Row],[Ingrediente]],Tabla34[#All],3,0)</f>
        <v>5.5</v>
      </c>
      <c r="H32" s="11">
        <f>+Tabla1103453454455456479108129136118[[#This Row],[Costo]]*Tabla1103453454455456479108129136118[[#This Row],[Unidades]]</f>
        <v>18.331500000000002</v>
      </c>
      <c r="I32" s="4"/>
      <c r="J32" s="17" t="s">
        <v>10</v>
      </c>
      <c r="K32" s="18">
        <v>65900</v>
      </c>
    </row>
    <row r="33" spans="2:11" x14ac:dyDescent="0.3">
      <c r="B33" s="21" t="s">
        <v>413</v>
      </c>
      <c r="C33" s="8" t="s">
        <v>188</v>
      </c>
      <c r="D33" s="9">
        <v>150</v>
      </c>
      <c r="E33" s="9">
        <v>0</v>
      </c>
      <c r="F33" s="9">
        <v>150</v>
      </c>
      <c r="G33" s="10">
        <f>+VLOOKUP(Tabla1103453454455456479108129136118[[#This Row],[Ingrediente]],Tabla34[#All],3,0)</f>
        <v>17.00824742</v>
      </c>
      <c r="H33" s="11">
        <f>+Tabla1103453454455456479108129136118[[#This Row],[Costo]]*Tabla1103453454455456479108129136118[[#This Row],[Unidades]]</f>
        <v>2551.2371130000001</v>
      </c>
      <c r="I33" s="4"/>
      <c r="J33" s="5" t="s">
        <v>11</v>
      </c>
      <c r="K33" s="12">
        <f>+K32/1.08*0.08</f>
        <v>4881.4814814814808</v>
      </c>
    </row>
    <row r="34" spans="2:11" x14ac:dyDescent="0.3">
      <c r="B34" s="7" t="s">
        <v>589</v>
      </c>
      <c r="C34" s="8" t="s">
        <v>188</v>
      </c>
      <c r="D34" s="9">
        <v>2</v>
      </c>
      <c r="E34" s="9">
        <v>0</v>
      </c>
      <c r="F34" s="9">
        <v>2</v>
      </c>
      <c r="G34" s="10">
        <f>+VLOOKUP(Tabla1103453454455456479108129136118[[#This Row],[Ingrediente]],Tabla34[#All],3,0)</f>
        <v>416.51208402999993</v>
      </c>
      <c r="H34" s="11">
        <f>+Tabla1103453454455456479108129136118[[#This Row],[Costo]]*Tabla1103453454455456479108129136118[[#This Row],[Unidades]]</f>
        <v>833.02416805999985</v>
      </c>
      <c r="I34" s="4"/>
      <c r="J34" s="5" t="s">
        <v>12</v>
      </c>
      <c r="K34" s="12">
        <f>+K32-K33</f>
        <v>61018.518518518518</v>
      </c>
    </row>
    <row r="35" spans="2:11" x14ac:dyDescent="0.3">
      <c r="B35" s="21" t="s">
        <v>376</v>
      </c>
      <c r="C35" s="8" t="s">
        <v>188</v>
      </c>
      <c r="D35" s="9">
        <v>40</v>
      </c>
      <c r="E35" s="9">
        <v>0</v>
      </c>
      <c r="F35" s="9">
        <v>40</v>
      </c>
      <c r="G35" s="10">
        <f>+VLOOKUP(Tabla1103453454455456479108129136118[[#This Row],[Ingrediente]],Tabla34[#All],3,0)</f>
        <v>60.98749999999999</v>
      </c>
      <c r="H35" s="11">
        <f>+Tabla1103453454455456479108129136118[[#This Row],[Costo]]*Tabla1103453454455456479108129136118[[#This Row],[Unidades]]</f>
        <v>2439.4999999999995</v>
      </c>
      <c r="I35" s="4"/>
      <c r="J35" s="5" t="s">
        <v>13</v>
      </c>
      <c r="K35" s="19">
        <f>+K31/K34</f>
        <v>0.37349326613078065</v>
      </c>
    </row>
    <row r="36" spans="2:11" x14ac:dyDescent="0.3">
      <c r="B36" s="7" t="s">
        <v>482</v>
      </c>
      <c r="C36" s="8" t="s">
        <v>188</v>
      </c>
      <c r="D36" s="9">
        <v>2</v>
      </c>
      <c r="E36" s="9">
        <v>0</v>
      </c>
      <c r="F36" s="9">
        <v>2</v>
      </c>
      <c r="G36" s="10">
        <f>+VLOOKUP(Tabla1103453454455456479108129136118[[#This Row],[Ingrediente]],Tabla34[#All],3,0)</f>
        <v>2.6999075600000002</v>
      </c>
      <c r="H36" s="11">
        <f>+Tabla1103453454455456479108129136118[[#This Row],[Costo]]*Tabla1103453454455456479108129136118[[#This Row],[Unidades]]</f>
        <v>5.3998151200000004</v>
      </c>
      <c r="I36" s="4"/>
      <c r="J36" s="5" t="s">
        <v>14</v>
      </c>
      <c r="K36" s="20">
        <f>+K34-K31</f>
        <v>38228.512742575513</v>
      </c>
    </row>
    <row r="37" spans="2:11" x14ac:dyDescent="0.3">
      <c r="B37" s="7" t="s">
        <v>366</v>
      </c>
      <c r="C37" s="8" t="s">
        <v>570</v>
      </c>
      <c r="D37" s="9">
        <v>1</v>
      </c>
      <c r="E37" s="9">
        <v>0</v>
      </c>
      <c r="F37" s="9">
        <v>1</v>
      </c>
      <c r="G37" s="10">
        <f>+VLOOKUP(Tabla1103453454455456479108129136118[[#This Row],[Ingrediente]],Tabla34[#All],3,0)</f>
        <v>12280</v>
      </c>
      <c r="H37" s="11">
        <f>+Tabla1103453454455456479108129136118[[#This Row],[Costo]]*Tabla1103453454455456479108129136118[[#This Row],[Unidades]]</f>
        <v>12280</v>
      </c>
      <c r="I37" s="4"/>
      <c r="J37" s="5" t="s">
        <v>15</v>
      </c>
      <c r="K37" s="22">
        <f>+K36/K31</f>
        <v>1.6774244429077461</v>
      </c>
    </row>
    <row r="38" spans="2:11" x14ac:dyDescent="0.3">
      <c r="B38" s="7" t="s">
        <v>92</v>
      </c>
      <c r="C38" s="8" t="s">
        <v>188</v>
      </c>
      <c r="D38" s="9">
        <v>3</v>
      </c>
      <c r="E38" s="9">
        <v>0</v>
      </c>
      <c r="F38" s="9">
        <v>3</v>
      </c>
      <c r="G38" s="10">
        <f>+VLOOKUP(Tabla1103453454455456479108129136118[[#This Row],[Ingrediente]],Tabla34[#All],3,0)</f>
        <v>10.625185460000001</v>
      </c>
      <c r="H38" s="11">
        <f>+Tabla1103453454455456479108129136118[[#This Row],[Costo]]*Tabla1103453454455456479108129136118[[#This Row],[Unidades]]</f>
        <v>31.875556380000003</v>
      </c>
      <c r="I38" s="4"/>
      <c r="J38" s="4"/>
      <c r="K38" s="23"/>
    </row>
    <row r="39" spans="2:11" x14ac:dyDescent="0.3">
      <c r="B39" s="21" t="s">
        <v>471</v>
      </c>
      <c r="C39" s="8" t="s">
        <v>188</v>
      </c>
      <c r="D39" s="9">
        <v>15</v>
      </c>
      <c r="E39" s="9">
        <v>0</v>
      </c>
      <c r="F39" s="9">
        <v>15</v>
      </c>
      <c r="G39" s="10">
        <f>+VLOOKUP(Tabla1103453454455456479108129136118[[#This Row],[Ingrediente]],Tabla34[#All],3,0)</f>
        <v>16.034500000000001</v>
      </c>
      <c r="H39" s="11">
        <f>+Tabla1103453454455456479108129136118[[#This Row],[Costo]]*Tabla1103453454455456479108129136118[[#This Row],[Unidades]]</f>
        <v>240.51750000000001</v>
      </c>
      <c r="I39" s="4"/>
      <c r="J39" s="4"/>
      <c r="K39" s="23"/>
    </row>
    <row r="40" spans="2:11" x14ac:dyDescent="0.3">
      <c r="B40" s="271" t="s">
        <v>417</v>
      </c>
      <c r="C40" s="8" t="s">
        <v>188</v>
      </c>
      <c r="D40" s="9">
        <v>50</v>
      </c>
      <c r="E40" s="9">
        <v>0</v>
      </c>
      <c r="F40" s="9">
        <v>50</v>
      </c>
      <c r="G40" s="10">
        <f>+VLOOKUP(Tabla1103453454455456479108129136118[[#This Row],[Ingrediente]],Tabla34[#All],3,0)</f>
        <v>27</v>
      </c>
      <c r="H40" s="11">
        <f>+Tabla1103453454455456479108129136118[[#This Row],[Costo]]*Tabla1103453454455456479108129136118[[#This Row],[Unidades]]</f>
        <v>1350</v>
      </c>
      <c r="I40" s="4"/>
      <c r="J40" s="4"/>
      <c r="K40" s="23"/>
    </row>
    <row r="41" spans="2:11" x14ac:dyDescent="0.3">
      <c r="B41" s="271" t="s">
        <v>470</v>
      </c>
      <c r="C41" s="8" t="s">
        <v>188</v>
      </c>
      <c r="D41" s="9">
        <v>15</v>
      </c>
      <c r="E41" s="9">
        <v>5</v>
      </c>
      <c r="F41" s="9">
        <v>15.789</v>
      </c>
      <c r="G41" s="10">
        <f>+VLOOKUP(Tabla1103453454455456479108129136118[[#This Row],[Ingrediente]],Tabla34[#All],3,0)</f>
        <v>8</v>
      </c>
      <c r="H41" s="11">
        <f>+Tabla1103453454455456479108129136118[[#This Row],[Costo]]*Tabla1103453454455456479108129136118[[#This Row],[Unidades]]</f>
        <v>126.312</v>
      </c>
      <c r="I41" s="4"/>
      <c r="J41" s="4"/>
      <c r="K41" s="23"/>
    </row>
    <row r="42" spans="2:11" x14ac:dyDescent="0.3">
      <c r="B42" s="271" t="s">
        <v>398</v>
      </c>
      <c r="C42" s="8" t="s">
        <v>188</v>
      </c>
      <c r="D42" s="9">
        <v>30</v>
      </c>
      <c r="E42" s="9">
        <v>0</v>
      </c>
      <c r="F42" s="9">
        <v>30</v>
      </c>
      <c r="G42" s="10">
        <f>+VLOOKUP(Tabla1103453454455456479108129136118[[#This Row],[Ingrediente]],Tabla34[#All],3,0)</f>
        <v>3.7999999999999994</v>
      </c>
      <c r="H42" s="11">
        <f>+Tabla1103453454455456479108129136118[[#This Row],[Costo]]*Tabla1103453454455456479108129136118[[#This Row],[Unidades]]</f>
        <v>113.99999999999999</v>
      </c>
      <c r="I42" s="4"/>
      <c r="J42" s="4"/>
      <c r="K42" s="23"/>
    </row>
    <row r="43" spans="2:11" x14ac:dyDescent="0.3">
      <c r="B43" s="271" t="s">
        <v>337</v>
      </c>
      <c r="C43" s="8" t="s">
        <v>570</v>
      </c>
      <c r="D43" s="9">
        <v>1</v>
      </c>
      <c r="E43" s="9">
        <v>0</v>
      </c>
      <c r="F43" s="9">
        <v>1</v>
      </c>
      <c r="G43" s="10">
        <f>+VLOOKUP(Tabla1103453454455456479108129136118[[#This Row],[Ingrediente]],Tabla34[#All],3,0)</f>
        <v>497.5</v>
      </c>
      <c r="H43" s="11">
        <f>+Tabla1103453454455456479108129136118[[#This Row],[Costo]]*Tabla1103453454455456479108129136118[[#This Row],[Unidades]]</f>
        <v>497.5</v>
      </c>
      <c r="I43" s="4"/>
      <c r="J43" s="4"/>
      <c r="K43" s="23"/>
    </row>
    <row r="44" spans="2:11" x14ac:dyDescent="0.3">
      <c r="B44" s="271" t="s">
        <v>420</v>
      </c>
      <c r="C44" s="8" t="s">
        <v>188</v>
      </c>
      <c r="D44" s="9">
        <v>10</v>
      </c>
      <c r="E44" s="9">
        <v>0</v>
      </c>
      <c r="F44" s="9">
        <v>10</v>
      </c>
      <c r="G44" s="10">
        <f>+VLOOKUP(Tabla1103453454455456479108129136118[[#This Row],[Ingrediente]],Tabla34[#All],3,0)</f>
        <v>8.9250000000000007</v>
      </c>
      <c r="H44" s="11">
        <f>+Tabla1103453454455456479108129136118[[#This Row],[Costo]]*Tabla1103453454455456479108129136118[[#This Row],[Unidades]]</f>
        <v>89.25</v>
      </c>
      <c r="I44" s="4"/>
      <c r="J44" s="4"/>
      <c r="K44" s="23"/>
    </row>
    <row r="45" spans="2:11" x14ac:dyDescent="0.3">
      <c r="B45" s="271" t="s">
        <v>471</v>
      </c>
      <c r="C45" s="8" t="s">
        <v>188</v>
      </c>
      <c r="D45" s="9">
        <v>10</v>
      </c>
      <c r="E45" s="9">
        <v>0</v>
      </c>
      <c r="F45" s="9">
        <v>10</v>
      </c>
      <c r="G45" s="10">
        <f>+VLOOKUP(Tabla1103453454455456479108129136118[[#This Row],[Ingrediente]],Tabla34[#All],3,0)</f>
        <v>16.034500000000001</v>
      </c>
      <c r="H45" s="11">
        <f>+Tabla1103453454455456479108129136118[[#This Row],[Costo]]*Tabla1103453454455456479108129136118[[#This Row],[Unidades]]</f>
        <v>160.34500000000003</v>
      </c>
      <c r="I45" s="4"/>
      <c r="J45" s="4"/>
      <c r="K45" s="23"/>
    </row>
    <row r="46" spans="2:11" x14ac:dyDescent="0.3">
      <c r="B46" s="271" t="s">
        <v>687</v>
      </c>
      <c r="C46" s="8" t="s">
        <v>188</v>
      </c>
      <c r="D46" s="9">
        <v>10</v>
      </c>
      <c r="E46" s="9">
        <v>0</v>
      </c>
      <c r="F46" s="9">
        <v>10</v>
      </c>
      <c r="G46" s="10">
        <f>+VLOOKUP(Tabla1103453454455456479108129136118[[#This Row],[Ingrediente]],Tabla34[#All],3,0)</f>
        <v>84.475308639999994</v>
      </c>
      <c r="H46" s="11">
        <f>+Tabla1103453454455456479108129136118[[#This Row],[Costo]]*Tabla1103453454455456479108129136118[[#This Row],[Unidades]]</f>
        <v>844.75308639999992</v>
      </c>
      <c r="I46" s="4"/>
      <c r="J46" s="4"/>
      <c r="K46" s="23"/>
    </row>
    <row r="47" spans="2:11" x14ac:dyDescent="0.3">
      <c r="B47" s="13"/>
      <c r="C47" s="14"/>
      <c r="D47" s="14"/>
      <c r="E47" s="14"/>
      <c r="F47" s="14"/>
      <c r="G47" s="15"/>
      <c r="H47" s="15">
        <f>SUBTOTAL(109,Tabla1103453454455456479108129136118[Total costo])</f>
        <v>21704.767405660004</v>
      </c>
    </row>
    <row r="51" spans="2:12" x14ac:dyDescent="0.3">
      <c r="B51" s="1" t="s">
        <v>129</v>
      </c>
      <c r="C51" s="2"/>
      <c r="D51" s="2"/>
      <c r="E51" s="3"/>
      <c r="F51" s="3"/>
      <c r="G51" s="99"/>
      <c r="H51" s="99"/>
      <c r="J51" s="277" t="s">
        <v>0</v>
      </c>
      <c r="K51" s="277"/>
    </row>
    <row r="52" spans="2:12" x14ac:dyDescent="0.3">
      <c r="B52" s="13" t="s">
        <v>1</v>
      </c>
      <c r="C52" s="14" t="s">
        <v>2</v>
      </c>
      <c r="D52" s="14" t="s">
        <v>3</v>
      </c>
      <c r="E52" s="14" t="s">
        <v>585</v>
      </c>
      <c r="F52" s="14" t="s">
        <v>343</v>
      </c>
      <c r="G52" s="28" t="s">
        <v>4</v>
      </c>
      <c r="H52" s="28" t="s">
        <v>5</v>
      </c>
      <c r="I52" s="4"/>
      <c r="J52" s="5" t="s">
        <v>6</v>
      </c>
      <c r="K52" s="6">
        <f>SUM(Tabla1103453454455456479108131138129[Total costo])</f>
        <v>21400.28092058</v>
      </c>
      <c r="L52" s="44"/>
    </row>
    <row r="53" spans="2:12" x14ac:dyDescent="0.3">
      <c r="B53" s="21" t="s">
        <v>366</v>
      </c>
      <c r="C53" s="8" t="s">
        <v>570</v>
      </c>
      <c r="D53" s="9">
        <v>1</v>
      </c>
      <c r="E53" s="9">
        <v>0</v>
      </c>
      <c r="F53" s="9">
        <v>1</v>
      </c>
      <c r="G53" s="10">
        <f>+VLOOKUP(Tabla1103453454455456479108131138129[[#This Row],[Ingrediente]],Tabla34[#All],3,0)</f>
        <v>12280</v>
      </c>
      <c r="H53" s="11">
        <f>+Tabla1103453454455456479108131138129[[#This Row],[Costo]]*Tabla1103453454455456479108131138129[[#This Row],[Columna1]]</f>
        <v>12280</v>
      </c>
      <c r="I53" s="4"/>
      <c r="J53" s="5" t="s">
        <v>113</v>
      </c>
      <c r="K53" s="12">
        <f>+K52*5%</f>
        <v>1070.0140460290002</v>
      </c>
    </row>
    <row r="54" spans="2:12" x14ac:dyDescent="0.3">
      <c r="B54" s="7" t="s">
        <v>80</v>
      </c>
      <c r="C54" s="8" t="s">
        <v>188</v>
      </c>
      <c r="D54" s="9">
        <v>90</v>
      </c>
      <c r="E54" s="9">
        <v>0</v>
      </c>
      <c r="F54" s="9">
        <v>90</v>
      </c>
      <c r="G54" s="10">
        <f>+VLOOKUP(Tabla1103453454455456479108131138129[[#This Row],[Ingrediente]],Tabla34[#All],3,0)</f>
        <v>18</v>
      </c>
      <c r="H54" s="11">
        <f>+Tabla1103453454455456479108131138129[[#This Row],[Costo]]*Tabla1103453454455456479108131138129[[#This Row],[Columna1]]</f>
        <v>1620</v>
      </c>
      <c r="I54" s="4"/>
      <c r="J54" s="5" t="s">
        <v>9</v>
      </c>
      <c r="K54" s="12">
        <f>+K52+K53</f>
        <v>22470.294966608999</v>
      </c>
    </row>
    <row r="55" spans="2:12" x14ac:dyDescent="0.3">
      <c r="B55" s="7" t="s">
        <v>503</v>
      </c>
      <c r="C55" s="8" t="s">
        <v>188</v>
      </c>
      <c r="D55" s="9">
        <v>200</v>
      </c>
      <c r="E55" s="9">
        <v>0</v>
      </c>
      <c r="F55" s="9">
        <v>200</v>
      </c>
      <c r="G55" s="10">
        <f>+VLOOKUP(Tabla1103453454455456479108131138129[[#This Row],[Ingrediente]],Tabla34[#All],3,0)</f>
        <v>10.046057429999999</v>
      </c>
      <c r="H55" s="11">
        <f>+Tabla1103453454455456479108131138129[[#This Row],[Costo]]*Tabla1103453454455456479108131138129[[#This Row],[Columna1]]</f>
        <v>2009.2114859999999</v>
      </c>
      <c r="I55" s="4"/>
      <c r="J55" s="17" t="s">
        <v>10</v>
      </c>
      <c r="K55" s="18">
        <v>63900</v>
      </c>
    </row>
    <row r="56" spans="2:12" x14ac:dyDescent="0.3">
      <c r="B56" s="7" t="s">
        <v>449</v>
      </c>
      <c r="C56" s="8" t="s">
        <v>188</v>
      </c>
      <c r="D56" s="9">
        <v>60</v>
      </c>
      <c r="E56" s="9">
        <v>0</v>
      </c>
      <c r="F56" s="9">
        <v>60</v>
      </c>
      <c r="G56" s="10">
        <f>+VLOOKUP(Tabla1103453454455456479108131138129[[#This Row],[Ingrediente]],Tabla34[#All],3,0)</f>
        <v>23.317903900000001</v>
      </c>
      <c r="H56" s="11">
        <f>+Tabla1103453454455456479108131138129[[#This Row],[Costo]]*Tabla1103453454455456479108131138129[[#This Row],[Columna1]]</f>
        <v>1399.0742340000002</v>
      </c>
      <c r="I56" s="4"/>
      <c r="J56" s="5" t="s">
        <v>11</v>
      </c>
      <c r="K56" s="12">
        <f>+K55/1.08*0.08</f>
        <v>4733.333333333333</v>
      </c>
    </row>
    <row r="57" spans="2:12" x14ac:dyDescent="0.3">
      <c r="B57" s="21" t="s">
        <v>565</v>
      </c>
      <c r="C57" s="8" t="s">
        <v>188</v>
      </c>
      <c r="D57" s="9">
        <v>20</v>
      </c>
      <c r="E57" s="9">
        <v>0</v>
      </c>
      <c r="F57" s="9">
        <v>20</v>
      </c>
      <c r="G57" s="10">
        <f>+VLOOKUP(Tabla1103453454455456479108131138129[[#This Row],[Ingrediente]],Tabla34[#All],3,0)</f>
        <v>64.196281729999995</v>
      </c>
      <c r="H57" s="11">
        <f>+Tabla1103453454455456479108131138129[[#This Row],[Costo]]*Tabla1103453454455456479108131138129[[#This Row],[Columna1]]</f>
        <v>1283.9256346</v>
      </c>
      <c r="I57" s="4"/>
      <c r="J57" s="5" t="s">
        <v>12</v>
      </c>
      <c r="K57" s="12">
        <f>+K55-K56</f>
        <v>59166.666666666664</v>
      </c>
    </row>
    <row r="58" spans="2:12" x14ac:dyDescent="0.3">
      <c r="B58" s="7" t="s">
        <v>413</v>
      </c>
      <c r="C58" s="8" t="s">
        <v>188</v>
      </c>
      <c r="D58" s="9">
        <v>60</v>
      </c>
      <c r="E58" s="9">
        <v>0</v>
      </c>
      <c r="F58" s="9">
        <v>60</v>
      </c>
      <c r="G58" s="10">
        <f>+VLOOKUP(Tabla1103453454455456479108131138129[[#This Row],[Ingrediente]],Tabla34[#All],3,0)</f>
        <v>17.00824742</v>
      </c>
      <c r="H58" s="11">
        <f>+Tabla1103453454455456479108131138129[[#This Row],[Costo]]*Tabla1103453454455456479108131138129[[#This Row],[Columna1]]</f>
        <v>1020.4948452</v>
      </c>
      <c r="I58" s="4"/>
      <c r="J58" s="5" t="s">
        <v>13</v>
      </c>
      <c r="K58" s="19">
        <f>+K54/K57</f>
        <v>0.37977963323846198</v>
      </c>
    </row>
    <row r="59" spans="2:12" x14ac:dyDescent="0.3">
      <c r="B59" s="7" t="s">
        <v>38</v>
      </c>
      <c r="C59" s="8" t="s">
        <v>188</v>
      </c>
      <c r="D59" s="9">
        <v>40</v>
      </c>
      <c r="E59" s="9">
        <v>0</v>
      </c>
      <c r="F59" s="9">
        <v>40</v>
      </c>
      <c r="G59" s="10">
        <f>+VLOOKUP(Tabla1103453454455456479108131138129[[#This Row],[Ingrediente]],Tabla34[#All],3,0)</f>
        <v>18.859000000000002</v>
      </c>
      <c r="H59" s="11">
        <f>+Tabla1103453454455456479108131138129[[#This Row],[Costo]]*Tabla1103453454455456479108131138129[[#This Row],[Columna1]]</f>
        <v>754.36000000000013</v>
      </c>
      <c r="I59" s="4"/>
      <c r="J59" s="5" t="s">
        <v>14</v>
      </c>
      <c r="K59" s="20">
        <f>+K57-K54</f>
        <v>36696.371700057665</v>
      </c>
    </row>
    <row r="60" spans="2:12" x14ac:dyDescent="0.3">
      <c r="B60" s="7" t="s">
        <v>413</v>
      </c>
      <c r="C60" s="8" t="s">
        <v>188</v>
      </c>
      <c r="D60" s="9">
        <v>30</v>
      </c>
      <c r="E60" s="9">
        <v>0</v>
      </c>
      <c r="F60" s="9">
        <v>30</v>
      </c>
      <c r="G60" s="10">
        <f>+VLOOKUP(Tabla1103453454455456479108131138129[[#This Row],[Ingrediente]],Tabla34[#All],3,0)</f>
        <v>17.00824742</v>
      </c>
      <c r="H60" s="11">
        <f>+Tabla1103453454455456479108131138129[[#This Row],[Costo]]*Tabla1103453454455456479108131138129[[#This Row],[Columna1]]</f>
        <v>510.24742259999999</v>
      </c>
      <c r="I60" s="4"/>
      <c r="J60" s="5" t="s">
        <v>15</v>
      </c>
      <c r="K60" s="22">
        <f>+K59/K54</f>
        <v>1.6331059184843237</v>
      </c>
    </row>
    <row r="61" spans="2:12" x14ac:dyDescent="0.3">
      <c r="B61" s="21" t="s">
        <v>480</v>
      </c>
      <c r="C61" s="8" t="s">
        <v>188</v>
      </c>
      <c r="D61" s="9">
        <v>1</v>
      </c>
      <c r="E61" s="9">
        <v>0</v>
      </c>
      <c r="F61" s="9">
        <v>1</v>
      </c>
      <c r="G61" s="10">
        <f>+VLOOKUP(Tabla1103453454455456479108131138129[[#This Row],[Ingrediente]],Tabla34[#All],3,0)</f>
        <v>328.34</v>
      </c>
      <c r="H61" s="11">
        <f>+Tabla1103453454455456479108131138129[[#This Row],[Costo]]*Tabla1103453454455456479108131138129[[#This Row],[Columna1]]</f>
        <v>328.34</v>
      </c>
      <c r="I61" s="4"/>
    </row>
    <row r="62" spans="2:12" x14ac:dyDescent="0.3">
      <c r="B62" s="7" t="s">
        <v>443</v>
      </c>
      <c r="C62" s="8" t="s">
        <v>188</v>
      </c>
      <c r="D62" s="9">
        <v>2</v>
      </c>
      <c r="E62" s="9">
        <v>0</v>
      </c>
      <c r="F62" s="9">
        <v>2</v>
      </c>
      <c r="G62" s="10">
        <f>+VLOOKUP(Tabla1103453454455456479108131138129[[#This Row],[Ingrediente]],Tabla34[#All],3,0)</f>
        <v>94.613741530000013</v>
      </c>
      <c r="H62" s="11">
        <f>+Tabla1103453454455456479108131138129[[#This Row],[Costo]]*Tabla1103453454455456479108131138129[[#This Row],[Columna1]]</f>
        <v>189.22748306000003</v>
      </c>
    </row>
    <row r="63" spans="2:12" x14ac:dyDescent="0.3">
      <c r="B63" s="7" t="s">
        <v>482</v>
      </c>
      <c r="C63" s="8" t="s">
        <v>188</v>
      </c>
      <c r="D63" s="9">
        <v>2</v>
      </c>
      <c r="E63" s="9">
        <v>0</v>
      </c>
      <c r="F63" s="9">
        <v>2</v>
      </c>
      <c r="G63" s="10">
        <f>+VLOOKUP(Tabla1103453454455456479108131138129[[#This Row],[Ingrediente]],Tabla34[#All],3,0)</f>
        <v>2.6999075600000002</v>
      </c>
      <c r="H63" s="11">
        <f>+Tabla1103453454455456479108131138129[[#This Row],[Costo]]*Tabla1103453454455456479108131138129[[#This Row],[Columna1]]</f>
        <v>5.3998151200000004</v>
      </c>
    </row>
    <row r="64" spans="2:12" s="26" customFormat="1" x14ac:dyDescent="0.3">
      <c r="B64" s="13"/>
      <c r="C64" s="14"/>
      <c r="D64" s="14"/>
      <c r="E64" s="14"/>
      <c r="F64" s="14"/>
      <c r="G64" s="15"/>
      <c r="H64" s="15">
        <f>SUBTOTAL(109,Tabla1103453454455456479108131138129[Total costo])</f>
        <v>21400.28092058</v>
      </c>
    </row>
    <row r="65" spans="2:12" s="26" customFormat="1" x14ac:dyDescent="0.3">
      <c r="B65" s="45"/>
      <c r="C65" s="46"/>
      <c r="D65" s="46"/>
      <c r="E65" s="46"/>
      <c r="F65" s="46"/>
      <c r="G65" s="98"/>
      <c r="H65" s="98"/>
    </row>
    <row r="66" spans="2:12" x14ac:dyDescent="0.3">
      <c r="B66" s="1" t="s">
        <v>125</v>
      </c>
      <c r="C66" s="2"/>
      <c r="D66" s="2"/>
      <c r="E66" s="3"/>
      <c r="F66" s="3"/>
      <c r="G66" s="99"/>
      <c r="H66" s="99"/>
      <c r="I66" s="4"/>
      <c r="J66" s="277" t="s">
        <v>0</v>
      </c>
      <c r="K66" s="277"/>
      <c r="L66" s="44"/>
    </row>
    <row r="67" spans="2:12" x14ac:dyDescent="0.3">
      <c r="B67" s="13" t="s">
        <v>1</v>
      </c>
      <c r="C67" s="14" t="s">
        <v>2</v>
      </c>
      <c r="D67" s="14" t="s">
        <v>3</v>
      </c>
      <c r="E67" s="14" t="s">
        <v>585</v>
      </c>
      <c r="F67" s="14" t="s">
        <v>343</v>
      </c>
      <c r="G67" s="28" t="s">
        <v>4</v>
      </c>
      <c r="H67" s="28" t="s">
        <v>5</v>
      </c>
      <c r="I67" s="4"/>
      <c r="J67" s="5" t="s">
        <v>6</v>
      </c>
      <c r="K67" s="6">
        <f>SUM(Tabla1103453454455456479108132139130[Total costo])</f>
        <v>20762.54181029</v>
      </c>
    </row>
    <row r="68" spans="2:12" x14ac:dyDescent="0.3">
      <c r="B68" s="7" t="s">
        <v>374</v>
      </c>
      <c r="C68" s="8" t="s">
        <v>570</v>
      </c>
      <c r="D68" s="9">
        <v>1</v>
      </c>
      <c r="E68" s="9">
        <v>0</v>
      </c>
      <c r="F68" s="9">
        <v>1</v>
      </c>
      <c r="G68" s="10">
        <f>+VLOOKUP(Tabla1103453454455456479108132139130[[#This Row],[Ingrediente]],Tabla34[#All],3,0)</f>
        <v>15663.995684970001</v>
      </c>
      <c r="H68" s="11">
        <f>+Tabla1103453454455456479108132139130[[#This Row],[Costo]]*Tabla1103453454455456479108132139130[[#This Row],[Columna1]]</f>
        <v>15663.995684970001</v>
      </c>
      <c r="I68" s="4"/>
      <c r="J68" s="5" t="s">
        <v>113</v>
      </c>
      <c r="K68" s="12">
        <f>+K67*5%</f>
        <v>1038.1270905145</v>
      </c>
    </row>
    <row r="69" spans="2:12" x14ac:dyDescent="0.3">
      <c r="B69" s="7" t="s">
        <v>1319</v>
      </c>
      <c r="C69" s="8" t="s">
        <v>188</v>
      </c>
      <c r="D69" s="9">
        <v>240</v>
      </c>
      <c r="E69" s="9">
        <v>0</v>
      </c>
      <c r="F69" s="9">
        <v>240</v>
      </c>
      <c r="G69" s="10">
        <f>+VLOOKUP(Tabla1103453454455456479108132139130[[#This Row],[Ingrediente]],Tabla34[#All],3,0)</f>
        <v>15.555053300000001</v>
      </c>
      <c r="H69" s="11">
        <f>+Tabla1103453454455456479108132139130[[#This Row],[Costo]]*Tabla1103453454455456479108132139130[[#This Row],[Columna1]]</f>
        <v>3733.2127920000003</v>
      </c>
      <c r="I69" s="4"/>
      <c r="J69" s="5" t="s">
        <v>9</v>
      </c>
      <c r="K69" s="12">
        <f>+K67+K68</f>
        <v>21800.6689008045</v>
      </c>
    </row>
    <row r="70" spans="2:12" x14ac:dyDescent="0.3">
      <c r="B70" s="7" t="s">
        <v>691</v>
      </c>
      <c r="C70" s="8" t="s">
        <v>188</v>
      </c>
      <c r="D70" s="9">
        <v>2</v>
      </c>
      <c r="E70" s="9">
        <v>0</v>
      </c>
      <c r="F70" s="9">
        <v>2</v>
      </c>
      <c r="G70" s="10">
        <f>+VLOOKUP(Tabla1103453454455456479108132139130[[#This Row],[Ingrediente]],Tabla34[#All],3,0)</f>
        <v>16</v>
      </c>
      <c r="H70" s="11">
        <f>+Tabla1103453454455456479108132139130[[#This Row],[Costo]]*Tabla1103453454455456479108132139130[[#This Row],[Columna1]]</f>
        <v>32</v>
      </c>
      <c r="I70" s="4"/>
      <c r="J70" s="17" t="s">
        <v>10</v>
      </c>
      <c r="K70" s="18">
        <v>65900</v>
      </c>
    </row>
    <row r="71" spans="2:12" x14ac:dyDescent="0.3">
      <c r="B71" s="7" t="s">
        <v>358</v>
      </c>
      <c r="C71" s="8" t="s">
        <v>570</v>
      </c>
      <c r="D71" s="9">
        <v>1</v>
      </c>
      <c r="E71" s="9">
        <v>0</v>
      </c>
      <c r="F71" s="9">
        <v>1</v>
      </c>
      <c r="G71" s="10">
        <f>+VLOOKUP(Tabla1103453454455456479108132139130[[#This Row],[Ingrediente]],Tabla34[#All],3,0)</f>
        <v>1333.3333333200001</v>
      </c>
      <c r="H71" s="11">
        <f>+Tabla1103453454455456479108132139130[[#This Row],[Costo]]*Tabla1103453454455456479108132139130[[#This Row],[Columna1]]</f>
        <v>1333.3333333200001</v>
      </c>
      <c r="I71" s="4"/>
      <c r="J71" s="5" t="s">
        <v>11</v>
      </c>
      <c r="K71" s="12">
        <f>+K70/1.08*0.08</f>
        <v>4881.4814814814808</v>
      </c>
    </row>
    <row r="72" spans="2:12" x14ac:dyDescent="0.3">
      <c r="B72" s="13"/>
      <c r="C72" s="14"/>
      <c r="D72" s="14"/>
      <c r="E72" s="14"/>
      <c r="F72" s="14"/>
      <c r="G72" s="15"/>
      <c r="H72" s="15">
        <f>SUBTOTAL(109,Tabla1103453454455456479108132139130[Total costo])</f>
        <v>20762.54181029</v>
      </c>
      <c r="I72" s="4"/>
      <c r="J72" s="5" t="s">
        <v>12</v>
      </c>
      <c r="K72" s="12">
        <f>+K70-K71</f>
        <v>61018.518518518518</v>
      </c>
    </row>
    <row r="73" spans="2:12" x14ac:dyDescent="0.3">
      <c r="B73" s="98"/>
      <c r="C73" s="98"/>
      <c r="D73" s="98"/>
      <c r="E73" s="98"/>
      <c r="F73" s="98"/>
      <c r="G73" s="98"/>
      <c r="H73" s="98"/>
      <c r="I73" s="4"/>
      <c r="J73" s="5" t="s">
        <v>13</v>
      </c>
      <c r="K73" s="19">
        <f>+K69/K72</f>
        <v>0.35727955102987646</v>
      </c>
    </row>
    <row r="74" spans="2:12" x14ac:dyDescent="0.3">
      <c r="B74" s="98"/>
      <c r="C74" s="98"/>
      <c r="D74" s="98"/>
      <c r="E74" s="98"/>
      <c r="F74" s="98"/>
      <c r="G74" s="98"/>
      <c r="H74" s="98"/>
      <c r="I74" s="4"/>
      <c r="J74" s="5" t="s">
        <v>14</v>
      </c>
      <c r="K74" s="20">
        <f>+K72-K69</f>
        <v>39217.849617714019</v>
      </c>
    </row>
    <row r="75" spans="2:12" x14ac:dyDescent="0.3">
      <c r="B75" s="98"/>
      <c r="C75" s="98"/>
      <c r="D75" s="98"/>
      <c r="E75" s="98"/>
      <c r="F75" s="98"/>
      <c r="G75" s="98"/>
      <c r="H75" s="98"/>
      <c r="I75" s="4"/>
      <c r="J75" s="5" t="s">
        <v>15</v>
      </c>
      <c r="K75" s="22">
        <f>+K74/K69</f>
        <v>1.7989287299467578</v>
      </c>
    </row>
    <row r="76" spans="2:12" x14ac:dyDescent="0.3">
      <c r="B76" s="98"/>
      <c r="C76" s="98"/>
      <c r="D76" s="98"/>
      <c r="E76" s="98"/>
      <c r="F76" s="98"/>
      <c r="G76" s="98"/>
      <c r="H76" s="98"/>
      <c r="I76" s="4"/>
      <c r="J76" s="4"/>
      <c r="K76" s="23"/>
    </row>
    <row r="77" spans="2:12" x14ac:dyDescent="0.3">
      <c r="B77" s="98"/>
      <c r="C77" s="98"/>
      <c r="D77" s="98"/>
      <c r="E77" s="98"/>
      <c r="F77" s="98"/>
      <c r="G77" s="98"/>
      <c r="H77" s="98"/>
    </row>
    <row r="78" spans="2:12" x14ac:dyDescent="0.3">
      <c r="B78" s="98"/>
      <c r="C78" s="98"/>
      <c r="D78" s="98"/>
      <c r="E78" s="98"/>
      <c r="F78" s="98"/>
      <c r="G78" s="98"/>
      <c r="H78" s="98"/>
    </row>
    <row r="79" spans="2:12" x14ac:dyDescent="0.3">
      <c r="B79" s="98"/>
      <c r="C79" s="98"/>
      <c r="D79" s="98"/>
      <c r="E79" s="98"/>
      <c r="F79" s="98"/>
      <c r="G79" s="98"/>
      <c r="H79" s="98"/>
    </row>
    <row r="80" spans="2:12" x14ac:dyDescent="0.3">
      <c r="B80" s="98"/>
      <c r="C80" s="98"/>
      <c r="D80" s="98"/>
      <c r="E80" s="98"/>
      <c r="F80" s="98"/>
      <c r="G80" s="98"/>
      <c r="H80" s="98"/>
    </row>
    <row r="81" spans="2:12" x14ac:dyDescent="0.3">
      <c r="B81" s="98"/>
      <c r="C81" s="98"/>
      <c r="D81" s="98"/>
      <c r="E81" s="98"/>
      <c r="F81" s="98"/>
      <c r="G81" s="98"/>
      <c r="H81" s="98"/>
    </row>
    <row r="82" spans="2:12" x14ac:dyDescent="0.3">
      <c r="B82" s="98"/>
      <c r="C82" s="98"/>
      <c r="D82" s="98"/>
      <c r="E82" s="98"/>
      <c r="F82" s="98"/>
      <c r="G82" s="98"/>
      <c r="H82" s="98"/>
    </row>
    <row r="83" spans="2:12" x14ac:dyDescent="0.3">
      <c r="B83" s="98"/>
      <c r="C83" s="98"/>
      <c r="D83" s="98"/>
      <c r="E83" s="98"/>
      <c r="F83" s="98"/>
      <c r="G83" s="98"/>
      <c r="H83" s="98"/>
    </row>
    <row r="84" spans="2:12" s="26" customFormat="1" x14ac:dyDescent="0.3">
      <c r="B84" s="98"/>
      <c r="C84" s="98"/>
      <c r="D84" s="98"/>
      <c r="E84" s="98"/>
      <c r="F84" s="98"/>
      <c r="G84" s="98"/>
      <c r="H84" s="98"/>
    </row>
    <row r="85" spans="2:12" x14ac:dyDescent="0.3">
      <c r="B85" s="1" t="s">
        <v>707</v>
      </c>
      <c r="C85" s="2"/>
      <c r="D85" s="2"/>
      <c r="E85" s="3"/>
      <c r="F85" s="3"/>
      <c r="G85" s="99"/>
      <c r="H85" s="99"/>
      <c r="I85" s="4"/>
      <c r="J85" s="277" t="s">
        <v>0</v>
      </c>
      <c r="K85" s="277"/>
      <c r="L85" s="44"/>
    </row>
    <row r="86" spans="2:12" x14ac:dyDescent="0.3">
      <c r="B86" s="13" t="s">
        <v>1</v>
      </c>
      <c r="C86" s="14" t="s">
        <v>2</v>
      </c>
      <c r="D86" s="14" t="s">
        <v>3</v>
      </c>
      <c r="E86" s="14" t="s">
        <v>585</v>
      </c>
      <c r="F86" s="14" t="s">
        <v>343</v>
      </c>
      <c r="G86" s="28" t="s">
        <v>4</v>
      </c>
      <c r="H86" s="28" t="s">
        <v>5</v>
      </c>
      <c r="I86" s="4"/>
      <c r="J86" s="5" t="s">
        <v>6</v>
      </c>
      <c r="K86" s="6" t="e">
        <f>SUM(Tabla1103453454455456479108132139130429[Total costo])</f>
        <v>#N/A</v>
      </c>
    </row>
    <row r="87" spans="2:12" x14ac:dyDescent="0.3">
      <c r="B87" s="7" t="s">
        <v>438</v>
      </c>
      <c r="C87" s="8" t="s">
        <v>188</v>
      </c>
      <c r="D87" s="9">
        <v>15</v>
      </c>
      <c r="E87" s="9">
        <v>10</v>
      </c>
      <c r="F87" s="9">
        <v>16.667000000000002</v>
      </c>
      <c r="G87" s="10">
        <f>+VLOOKUP(Tabla1103453454455456479108132139130429[[#This Row],[Ingrediente]],Tabla34[#All],3,0)</f>
        <v>13</v>
      </c>
      <c r="H87" s="11">
        <f>+Tabla1103453454455456479108132139130429[[#This Row],[Costo]]*Tabla1103453454455456479108132139130429[[#This Row],[Columna1]]</f>
        <v>216.67100000000002</v>
      </c>
      <c r="I87" s="4"/>
      <c r="J87" s="5" t="s">
        <v>113</v>
      </c>
      <c r="K87" s="12" t="e">
        <f>+K86*5%</f>
        <v>#N/A</v>
      </c>
    </row>
    <row r="88" spans="2:12" x14ac:dyDescent="0.3">
      <c r="B88" s="7" t="s">
        <v>442</v>
      </c>
      <c r="C88" s="8" t="s">
        <v>188</v>
      </c>
      <c r="D88" s="9">
        <v>2</v>
      </c>
      <c r="E88" s="9">
        <v>0</v>
      </c>
      <c r="F88" s="9">
        <v>2</v>
      </c>
      <c r="G88" s="10">
        <f>+VLOOKUP(Tabla1103453454455456479108132139130429[[#This Row],[Ingrediente]],Tabla34[#All],3,0)</f>
        <v>20.111000000000001</v>
      </c>
      <c r="H88" s="11">
        <f>+Tabla1103453454455456479108132139130429[[#This Row],[Costo]]*Tabla1103453454455456479108132139130429[[#This Row],[Columna1]]</f>
        <v>40.222000000000001</v>
      </c>
      <c r="I88" s="4"/>
      <c r="J88" s="5" t="s">
        <v>9</v>
      </c>
      <c r="K88" s="12" t="e">
        <f>+K86+K87</f>
        <v>#N/A</v>
      </c>
    </row>
    <row r="89" spans="2:12" x14ac:dyDescent="0.3">
      <c r="B89" s="7" t="s">
        <v>480</v>
      </c>
      <c r="C89" s="8" t="s">
        <v>188</v>
      </c>
      <c r="D89" s="9">
        <v>1</v>
      </c>
      <c r="E89" s="9">
        <v>0</v>
      </c>
      <c r="F89" s="9">
        <v>1</v>
      </c>
      <c r="G89" s="10">
        <f>+VLOOKUP(Tabla1103453454455456479108132139130429[[#This Row],[Ingrediente]],Tabla34[#All],3,0)</f>
        <v>328.34</v>
      </c>
      <c r="H89" s="11">
        <f>+Tabla1103453454455456479108132139130429[[#This Row],[Costo]]*Tabla1103453454455456479108132139130429[[#This Row],[Columna1]]</f>
        <v>328.34</v>
      </c>
      <c r="I89" s="4"/>
      <c r="J89" s="17" t="s">
        <v>10</v>
      </c>
      <c r="K89" s="18">
        <v>62000</v>
      </c>
    </row>
    <row r="90" spans="2:12" x14ac:dyDescent="0.3">
      <c r="B90" s="21" t="s">
        <v>398</v>
      </c>
      <c r="C90" s="8" t="s">
        <v>188</v>
      </c>
      <c r="D90" s="9">
        <v>50</v>
      </c>
      <c r="E90" s="9">
        <v>27</v>
      </c>
      <c r="F90" s="9">
        <v>68.492999999999995</v>
      </c>
      <c r="G90" s="10">
        <f>+VLOOKUP(Tabla1103453454455456479108132139130429[[#This Row],[Ingrediente]],Tabla34[#All],3,0)</f>
        <v>3.7999999999999994</v>
      </c>
      <c r="H90" s="11">
        <f>+Tabla1103453454455456479108132139130429[[#This Row],[Costo]]*Tabla1103453454455456479108132139130429[[#This Row],[Columna1]]</f>
        <v>260.27339999999992</v>
      </c>
      <c r="I90" s="4"/>
      <c r="J90" s="5" t="s">
        <v>11</v>
      </c>
      <c r="K90" s="12">
        <f>+K89/1.08*0.08</f>
        <v>4592.5925925925922</v>
      </c>
    </row>
    <row r="91" spans="2:12" x14ac:dyDescent="0.3">
      <c r="B91" s="7" t="s">
        <v>446</v>
      </c>
      <c r="C91" s="8" t="s">
        <v>188</v>
      </c>
      <c r="D91" s="9">
        <v>3</v>
      </c>
      <c r="E91" s="9">
        <v>40</v>
      </c>
      <c r="F91" s="9">
        <v>5</v>
      </c>
      <c r="G91" s="10">
        <f>+VLOOKUP(Tabla1103453454455456479108132139130429[[#This Row],[Ingrediente]],Tabla34[#All],3,0)</f>
        <v>5.5</v>
      </c>
      <c r="H91" s="11">
        <f>+Tabla1103453454455456479108132139130429[[#This Row],[Costo]]*Tabla1103453454455456479108132139130429[[#This Row],[Columna1]]</f>
        <v>27.5</v>
      </c>
      <c r="I91" s="4"/>
      <c r="J91" s="5" t="s">
        <v>12</v>
      </c>
      <c r="K91" s="12">
        <f>+K89-K90</f>
        <v>57407.407407407409</v>
      </c>
    </row>
    <row r="92" spans="2:12" x14ac:dyDescent="0.3">
      <c r="B92" s="7" t="s">
        <v>459</v>
      </c>
      <c r="C92" s="8" t="s">
        <v>188</v>
      </c>
      <c r="D92" s="9">
        <v>2</v>
      </c>
      <c r="E92" s="9">
        <v>0</v>
      </c>
      <c r="F92" s="9">
        <v>2</v>
      </c>
      <c r="G92" s="10">
        <f>+VLOOKUP(Tabla1103453454455456479108132139130429[[#This Row],[Ingrediente]],Tabla34[#All],3,0)</f>
        <v>58.140352939999993</v>
      </c>
      <c r="H92" s="11">
        <f>+Tabla1103453454455456479108132139130429[[#This Row],[Costo]]*Tabla1103453454455456479108132139130429[[#This Row],[Columna1]]</f>
        <v>116.28070587999999</v>
      </c>
      <c r="I92" s="4"/>
      <c r="J92" s="5" t="s">
        <v>13</v>
      </c>
      <c r="K92" s="19" t="e">
        <f>+K88/K91</f>
        <v>#N/A</v>
      </c>
    </row>
    <row r="93" spans="2:12" x14ac:dyDescent="0.3">
      <c r="B93" s="7" t="s">
        <v>558</v>
      </c>
      <c r="C93" s="8" t="s">
        <v>570</v>
      </c>
      <c r="D93" s="9">
        <v>3</v>
      </c>
      <c r="E93" s="9">
        <v>0</v>
      </c>
      <c r="F93" s="9">
        <v>3</v>
      </c>
      <c r="G93" s="10">
        <f>+VLOOKUP(Tabla1103453454455456479108132139130429[[#This Row],[Ingrediente]],Tabla34[#All],3,0)</f>
        <v>354.16666666999998</v>
      </c>
      <c r="H93" s="11">
        <f>+Tabla1103453454455456479108132139130429[[#This Row],[Costo]]*Tabla1103453454455456479108132139130429[[#This Row],[Columna1]]</f>
        <v>1062.5000000099999</v>
      </c>
      <c r="I93" s="4"/>
      <c r="J93" s="5" t="s">
        <v>14</v>
      </c>
      <c r="K93" s="20" t="e">
        <f>+K91-K88</f>
        <v>#N/A</v>
      </c>
    </row>
    <row r="94" spans="2:12" x14ac:dyDescent="0.3">
      <c r="B94" s="7" t="s">
        <v>443</v>
      </c>
      <c r="C94" s="8" t="s">
        <v>188</v>
      </c>
      <c r="D94" s="9">
        <v>1</v>
      </c>
      <c r="E94" s="9">
        <v>0</v>
      </c>
      <c r="F94" s="9">
        <v>1</v>
      </c>
      <c r="G94" s="10">
        <f>+VLOOKUP(Tabla1103453454455456479108132139130429[[#This Row],[Ingrediente]],Tabla34[#All],3,0)</f>
        <v>94.613741530000013</v>
      </c>
      <c r="H94" s="11">
        <f>+Tabla1103453454455456479108132139130429[[#This Row],[Costo]]*Tabla1103453454455456479108132139130429[[#This Row],[Columna1]]</f>
        <v>94.613741530000013</v>
      </c>
      <c r="I94" s="4"/>
      <c r="J94" s="5" t="s">
        <v>15</v>
      </c>
      <c r="K94" s="22" t="e">
        <f>+K93/K88</f>
        <v>#N/A</v>
      </c>
    </row>
    <row r="95" spans="2:12" x14ac:dyDescent="0.3">
      <c r="B95" s="21" t="s">
        <v>33</v>
      </c>
      <c r="C95" s="8" t="s">
        <v>188</v>
      </c>
      <c r="D95" s="9">
        <v>80</v>
      </c>
      <c r="E95" s="9">
        <v>20</v>
      </c>
      <c r="F95" s="9">
        <v>100</v>
      </c>
      <c r="G95" s="10">
        <f>+VLOOKUP(Tabla1103453454455456479108132139130429[[#This Row],[Ingrediente]],Tabla34[#All],3,0)</f>
        <v>3.4</v>
      </c>
      <c r="H95" s="11">
        <f>+Tabla1103453454455456479108132139130429[[#This Row],[Costo]]*Tabla1103453454455456479108132139130429[[#This Row],[Columna1]]</f>
        <v>340</v>
      </c>
      <c r="I95" s="4"/>
      <c r="J95" s="4"/>
      <c r="K95" s="23"/>
    </row>
    <row r="96" spans="2:12" x14ac:dyDescent="0.3">
      <c r="B96" s="7" t="s">
        <v>482</v>
      </c>
      <c r="C96" s="8" t="s">
        <v>188</v>
      </c>
      <c r="D96" s="9">
        <v>1</v>
      </c>
      <c r="E96" s="9">
        <v>0</v>
      </c>
      <c r="F96" s="9">
        <v>1</v>
      </c>
      <c r="G96" s="10">
        <f>+VLOOKUP(Tabla1103453454455456479108132139130429[[#This Row],[Ingrediente]],Tabla34[#All],3,0)</f>
        <v>2.6999075600000002</v>
      </c>
      <c r="H96" s="11">
        <f>+Tabla1103453454455456479108132139130429[[#This Row],[Costo]]*Tabla1103453454455456479108132139130429[[#This Row],[Columna1]]</f>
        <v>2.6999075600000002</v>
      </c>
    </row>
    <row r="97" spans="2:12" x14ac:dyDescent="0.3">
      <c r="B97" s="7" t="s">
        <v>52</v>
      </c>
      <c r="C97" s="8" t="s">
        <v>188</v>
      </c>
      <c r="D97" s="9">
        <v>40</v>
      </c>
      <c r="E97" s="9">
        <v>0</v>
      </c>
      <c r="F97" s="9">
        <v>40</v>
      </c>
      <c r="G97" s="10">
        <f>+VLOOKUP(Tabla1103453454455456479108132139130429[[#This Row],[Ingrediente]],Tabla34[#All],3,0)</f>
        <v>26.269315670000001</v>
      </c>
      <c r="H97" s="11">
        <f>+Tabla1103453454455456479108132139130429[[#This Row],[Costo]]*Tabla1103453454455456479108132139130429[[#This Row],[Columna1]]</f>
        <v>1050.7726268000001</v>
      </c>
    </row>
    <row r="98" spans="2:12" x14ac:dyDescent="0.3">
      <c r="B98" s="7" t="s">
        <v>420</v>
      </c>
      <c r="C98" s="8" t="s">
        <v>188</v>
      </c>
      <c r="D98" s="9">
        <v>80</v>
      </c>
      <c r="E98" s="9">
        <v>0</v>
      </c>
      <c r="F98" s="9">
        <v>80</v>
      </c>
      <c r="G98" s="10">
        <f>+VLOOKUP(Tabla1103453454455456479108132139130429[[#This Row],[Ingrediente]],Tabla34[#All],3,0)</f>
        <v>8.9250000000000007</v>
      </c>
      <c r="H98" s="11">
        <f>+Tabla1103453454455456479108132139130429[[#This Row],[Costo]]*Tabla1103453454455456479108132139130429[[#This Row],[Columna1]]</f>
        <v>714</v>
      </c>
    </row>
    <row r="99" spans="2:12" x14ac:dyDescent="0.3">
      <c r="B99" s="7" t="s">
        <v>366</v>
      </c>
      <c r="C99" s="8" t="s">
        <v>570</v>
      </c>
      <c r="D99" s="9">
        <v>1</v>
      </c>
      <c r="E99" s="9">
        <v>0</v>
      </c>
      <c r="F99" s="9">
        <v>1</v>
      </c>
      <c r="G99" s="10">
        <f>+VLOOKUP(Tabla1103453454455456479108132139130429[[#This Row],[Ingrediente]],Tabla34[#All],3,0)</f>
        <v>12280</v>
      </c>
      <c r="H99" s="11">
        <f>+Tabla1103453454455456479108132139130429[[#This Row],[Costo]]*Tabla1103453454455456479108132139130429[[#This Row],[Columna1]]</f>
        <v>12280</v>
      </c>
    </row>
    <row r="100" spans="2:12" x14ac:dyDescent="0.3">
      <c r="B100" s="21" t="s">
        <v>95</v>
      </c>
      <c r="C100" s="8" t="s">
        <v>188</v>
      </c>
      <c r="D100" s="9">
        <v>20</v>
      </c>
      <c r="E100" s="9">
        <v>0</v>
      </c>
      <c r="F100" s="9">
        <v>20</v>
      </c>
      <c r="G100" s="10">
        <f>+VLOOKUP(Tabla1103453454455456479108132139130429[[#This Row],[Ingrediente]],Tabla34[#All],3,0)</f>
        <v>4.5393523800000004</v>
      </c>
      <c r="H100" s="11">
        <f>+Tabla1103453454455456479108132139130429[[#This Row],[Costo]]*Tabla1103453454455456479108132139130429[[#This Row],[Columna1]]</f>
        <v>90.787047600000008</v>
      </c>
    </row>
    <row r="101" spans="2:12" x14ac:dyDescent="0.3">
      <c r="B101" s="7" t="s">
        <v>338</v>
      </c>
      <c r="C101" s="8" t="s">
        <v>570</v>
      </c>
      <c r="D101" s="9">
        <v>1</v>
      </c>
      <c r="E101" s="9">
        <v>0</v>
      </c>
      <c r="F101" s="9">
        <v>1</v>
      </c>
      <c r="G101" s="10">
        <f>+VLOOKUP(Tabla1103453454455456479108132139130429[[#This Row],[Ingrediente]],Tabla34[#All],3,0)</f>
        <v>1758.601116</v>
      </c>
      <c r="H101" s="11">
        <f>+Tabla1103453454455456479108132139130429[[#This Row],[Costo]]*Tabla1103453454455456479108132139130429[[#This Row],[Columna1]]</f>
        <v>1758.601116</v>
      </c>
    </row>
    <row r="102" spans="2:12" x14ac:dyDescent="0.3">
      <c r="B102" s="7" t="s">
        <v>1285</v>
      </c>
      <c r="C102" s="8" t="s">
        <v>188</v>
      </c>
      <c r="D102" s="9">
        <v>20</v>
      </c>
      <c r="E102" s="9">
        <v>0</v>
      </c>
      <c r="F102" s="9">
        <v>20</v>
      </c>
      <c r="G102" s="10" t="e">
        <f>+VLOOKUP(Tabla1103453454455456479108132139130429[[#This Row],[Ingrediente]],Tabla34[#All],3,0)</f>
        <v>#N/A</v>
      </c>
      <c r="H102" s="11" t="e">
        <f>+Tabla1103453454455456479108132139130429[[#This Row],[Costo]]*Tabla1103453454455456479108132139130429[[#This Row],[Columna1]]</f>
        <v>#N/A</v>
      </c>
    </row>
    <row r="103" spans="2:12" x14ac:dyDescent="0.3">
      <c r="B103" s="7" t="s">
        <v>476</v>
      </c>
      <c r="C103" s="8" t="s">
        <v>188</v>
      </c>
      <c r="D103" s="9">
        <v>60</v>
      </c>
      <c r="E103" s="9">
        <v>30</v>
      </c>
      <c r="F103" s="9">
        <v>85.713999999999999</v>
      </c>
      <c r="G103" s="10">
        <f>+VLOOKUP(Tabla1103453454455456479108132139130429[[#This Row],[Ingrediente]],Tabla34[#All],3,0)</f>
        <v>2.5</v>
      </c>
      <c r="H103" s="11">
        <f>+Tabla1103453454455456479108132139130429[[#This Row],[Costo]]*Tabla1103453454455456479108132139130429[[#This Row],[Columna1]]</f>
        <v>214.285</v>
      </c>
    </row>
    <row r="104" spans="2:12" x14ac:dyDescent="0.3">
      <c r="B104" s="13"/>
      <c r="C104" s="14"/>
      <c r="D104" s="14"/>
      <c r="E104" s="14"/>
      <c r="F104" s="14"/>
      <c r="G104" s="15"/>
      <c r="H104" s="15" t="e">
        <f>SUBTOTAL(109,Tabla1103453454455456479108132139130429[Total costo])</f>
        <v>#N/A</v>
      </c>
    </row>
    <row r="108" spans="2:12" x14ac:dyDescent="0.3">
      <c r="B108" s="1" t="s">
        <v>802</v>
      </c>
      <c r="C108" s="2"/>
      <c r="D108" s="2"/>
      <c r="E108" s="3"/>
      <c r="F108" s="3"/>
      <c r="G108" s="99"/>
      <c r="H108" s="99"/>
      <c r="I108" s="4"/>
      <c r="J108" s="277" t="s">
        <v>0</v>
      </c>
      <c r="K108" s="277"/>
      <c r="L108" s="44"/>
    </row>
    <row r="109" spans="2:12" x14ac:dyDescent="0.3">
      <c r="B109" s="13" t="s">
        <v>1</v>
      </c>
      <c r="C109" s="14" t="s">
        <v>2</v>
      </c>
      <c r="D109" s="14" t="s">
        <v>3</v>
      </c>
      <c r="E109" s="14" t="s">
        <v>585</v>
      </c>
      <c r="F109" s="14" t="s">
        <v>343</v>
      </c>
      <c r="G109" s="28" t="s">
        <v>4</v>
      </c>
      <c r="H109" s="28" t="s">
        <v>5</v>
      </c>
      <c r="I109" s="4"/>
      <c r="J109" s="5" t="s">
        <v>6</v>
      </c>
      <c r="K109" s="6">
        <f>SUM(Tabla110345345445545647910813213913042975[Total costo])</f>
        <v>14733.783416499999</v>
      </c>
    </row>
    <row r="110" spans="2:12" x14ac:dyDescent="0.3">
      <c r="B110" s="7" t="s">
        <v>445</v>
      </c>
      <c r="C110" s="8" t="s">
        <v>188</v>
      </c>
      <c r="D110" s="9">
        <v>10</v>
      </c>
      <c r="E110" s="9">
        <v>0</v>
      </c>
      <c r="F110" s="9">
        <v>10</v>
      </c>
      <c r="G110" s="10">
        <f>+VLOOKUP(Tabla110345345445545647910813213913042975[[#This Row],[Ingrediente]],Tabla34[#All],3,0)</f>
        <v>39.472999999999999</v>
      </c>
      <c r="H110" s="11">
        <f>+Tabla110345345445545647910813213913042975[[#This Row],[Costo]]*Tabla110345345445545647910813213913042975[[#This Row],[Columna1]]</f>
        <v>394.73</v>
      </c>
      <c r="I110" s="4"/>
      <c r="J110" s="5" t="s">
        <v>113</v>
      </c>
      <c r="K110" s="12">
        <f>+K109*5%</f>
        <v>736.68917082500002</v>
      </c>
    </row>
    <row r="111" spans="2:12" x14ac:dyDescent="0.3">
      <c r="B111" s="7" t="s">
        <v>442</v>
      </c>
      <c r="C111" s="8" t="s">
        <v>188</v>
      </c>
      <c r="D111" s="9">
        <v>1</v>
      </c>
      <c r="E111" s="9">
        <v>0</v>
      </c>
      <c r="F111" s="9">
        <v>1</v>
      </c>
      <c r="G111" s="10">
        <f>+VLOOKUP(Tabla110345345445545647910813213913042975[[#This Row],[Ingrediente]],Tabla34[#All],3,0)</f>
        <v>20.111000000000001</v>
      </c>
      <c r="H111" s="11">
        <f>+Tabla110345345445545647910813213913042975[[#This Row],[Costo]]*Tabla110345345445545647910813213913042975[[#This Row],[Columna1]]</f>
        <v>20.111000000000001</v>
      </c>
      <c r="I111" s="4"/>
      <c r="J111" s="5" t="s">
        <v>9</v>
      </c>
      <c r="K111" s="12">
        <f>+K109+K110</f>
        <v>15470.472587324999</v>
      </c>
    </row>
    <row r="112" spans="2:12" x14ac:dyDescent="0.3">
      <c r="B112" s="7" t="s">
        <v>446</v>
      </c>
      <c r="C112" s="8" t="s">
        <v>188</v>
      </c>
      <c r="D112" s="9">
        <v>3</v>
      </c>
      <c r="E112" s="9">
        <v>40</v>
      </c>
      <c r="F112" s="9">
        <v>5</v>
      </c>
      <c r="G112" s="10">
        <f>+VLOOKUP(Tabla110345345445545647910813213913042975[[#This Row],[Ingrediente]],Tabla34[#All],3,0)</f>
        <v>5.5</v>
      </c>
      <c r="H112" s="11">
        <f>+Tabla110345345445545647910813213913042975[[#This Row],[Costo]]*Tabla110345345445545647910813213913042975[[#This Row],[Columna1]]</f>
        <v>27.5</v>
      </c>
      <c r="I112" s="4"/>
      <c r="J112" s="17" t="s">
        <v>10</v>
      </c>
      <c r="K112" s="18">
        <v>49000</v>
      </c>
    </row>
    <row r="113" spans="2:12" x14ac:dyDescent="0.3">
      <c r="B113" s="7" t="s">
        <v>459</v>
      </c>
      <c r="C113" s="8" t="s">
        <v>188</v>
      </c>
      <c r="D113" s="9">
        <v>4</v>
      </c>
      <c r="E113" s="9">
        <v>0</v>
      </c>
      <c r="F113" s="9">
        <v>4</v>
      </c>
      <c r="G113" s="10">
        <f>+VLOOKUP(Tabla110345345445545647910813213913042975[[#This Row],[Ingrediente]],Tabla34[#All],3,0)</f>
        <v>58.140352939999993</v>
      </c>
      <c r="H113" s="11">
        <f>+Tabla110345345445545647910813213913042975[[#This Row],[Costo]]*Tabla110345345445545647910813213913042975[[#This Row],[Columna1]]</f>
        <v>232.56141175999997</v>
      </c>
      <c r="I113" s="4"/>
      <c r="J113" s="5" t="s">
        <v>11</v>
      </c>
      <c r="K113" s="12">
        <f>+K112/1.08*0.08</f>
        <v>3629.6296296296291</v>
      </c>
    </row>
    <row r="114" spans="2:12" x14ac:dyDescent="0.3">
      <c r="B114" s="7" t="s">
        <v>413</v>
      </c>
      <c r="C114" s="8" t="s">
        <v>188</v>
      </c>
      <c r="D114" s="9">
        <v>150</v>
      </c>
      <c r="E114" s="9">
        <v>0</v>
      </c>
      <c r="F114" s="9">
        <v>150</v>
      </c>
      <c r="G114" s="10">
        <f>+VLOOKUP(Tabla110345345445545647910813213913042975[[#This Row],[Ingrediente]],Tabla34[#All],3,0)</f>
        <v>17.00824742</v>
      </c>
      <c r="H114" s="11">
        <f>+Tabla110345345445545647910813213913042975[[#This Row],[Costo]]*Tabla110345345445545647910813213913042975[[#This Row],[Columna1]]</f>
        <v>2551.2371130000001</v>
      </c>
      <c r="I114" s="4"/>
      <c r="J114" s="5" t="s">
        <v>12</v>
      </c>
      <c r="K114" s="12">
        <f>+K112-K113</f>
        <v>45370.370370370372</v>
      </c>
    </row>
    <row r="115" spans="2:12" x14ac:dyDescent="0.3">
      <c r="B115" s="7" t="s">
        <v>558</v>
      </c>
      <c r="C115" s="8" t="s">
        <v>570</v>
      </c>
      <c r="D115" s="9">
        <v>2</v>
      </c>
      <c r="E115" s="9">
        <v>0</v>
      </c>
      <c r="F115" s="9">
        <v>2</v>
      </c>
      <c r="G115" s="10">
        <f>+VLOOKUP(Tabla110345345445545647910813213913042975[[#This Row],[Ingrediente]],Tabla34[#All],3,0)</f>
        <v>354.16666666999998</v>
      </c>
      <c r="H115" s="11">
        <f>+Tabla110345345445545647910813213913042975[[#This Row],[Costo]]*Tabla110345345445545647910813213913042975[[#This Row],[Columna1]]</f>
        <v>708.33333333999997</v>
      </c>
      <c r="I115" s="4"/>
      <c r="J115" s="5" t="s">
        <v>13</v>
      </c>
      <c r="K115" s="19">
        <f>+K111/K114</f>
        <v>0.34098184478185711</v>
      </c>
    </row>
    <row r="116" spans="2:12" x14ac:dyDescent="0.3">
      <c r="B116" s="21" t="s">
        <v>649</v>
      </c>
      <c r="C116" s="8" t="s">
        <v>188</v>
      </c>
      <c r="D116" s="9">
        <v>1</v>
      </c>
      <c r="E116" s="9">
        <v>0</v>
      </c>
      <c r="F116" s="9">
        <v>1</v>
      </c>
      <c r="G116" s="10">
        <f>+VLOOKUP(Tabla110345345445545647910813213913042975[[#This Row],[Ingrediente]],Tabla34[#All],3,0)</f>
        <v>116.4796</v>
      </c>
      <c r="H116" s="11">
        <f>+Tabla110345345445545647910813213913042975[[#This Row],[Costo]]*Tabla110345345445545647910813213913042975[[#This Row],[Columna1]]</f>
        <v>116.4796</v>
      </c>
      <c r="I116" s="4"/>
      <c r="J116" s="5" t="s">
        <v>14</v>
      </c>
      <c r="K116" s="20">
        <f>+K114-K111</f>
        <v>29899.897783045373</v>
      </c>
    </row>
    <row r="117" spans="2:12" x14ac:dyDescent="0.3">
      <c r="B117" s="21" t="s">
        <v>462</v>
      </c>
      <c r="C117" s="8" t="s">
        <v>188</v>
      </c>
      <c r="D117" s="9">
        <v>120</v>
      </c>
      <c r="E117" s="9">
        <v>5</v>
      </c>
      <c r="F117" s="9">
        <v>126.316</v>
      </c>
      <c r="G117" s="10">
        <f>+VLOOKUP(Tabla110345345445545647910813213913042975[[#This Row],[Ingrediente]],Tabla34[#All],3,0)</f>
        <v>4</v>
      </c>
      <c r="H117" s="11">
        <f>+Tabla110345345445545647910813213913042975[[#This Row],[Costo]]*Tabla110345345445545647910813213913042975[[#This Row],[Columna1]]</f>
        <v>505.26400000000001</v>
      </c>
      <c r="I117" s="4"/>
      <c r="J117" s="5" t="s">
        <v>15</v>
      </c>
      <c r="K117" s="22">
        <f>+K116/K111</f>
        <v>1.9327074602454253</v>
      </c>
    </row>
    <row r="118" spans="2:12" x14ac:dyDescent="0.3">
      <c r="B118" s="21" t="s">
        <v>376</v>
      </c>
      <c r="C118" s="8" t="s">
        <v>188</v>
      </c>
      <c r="D118" s="9">
        <v>40</v>
      </c>
      <c r="E118" s="9">
        <v>0</v>
      </c>
      <c r="F118" s="9">
        <v>40</v>
      </c>
      <c r="G118" s="10">
        <f>+VLOOKUP(Tabla110345345445545647910813213913042975[[#This Row],[Ingrediente]],Tabla34[#All],3,0)</f>
        <v>60.98749999999999</v>
      </c>
      <c r="H118" s="11">
        <f>+Tabla110345345445545647910813213913042975[[#This Row],[Costo]]*Tabla110345345445545647910813213913042975[[#This Row],[Columna1]]</f>
        <v>2439.4999999999995</v>
      </c>
      <c r="I118" s="4"/>
      <c r="J118" s="4"/>
      <c r="K118" s="23"/>
    </row>
    <row r="119" spans="2:12" x14ac:dyDescent="0.3">
      <c r="B119" s="21" t="s">
        <v>482</v>
      </c>
      <c r="C119" s="8" t="s">
        <v>188</v>
      </c>
      <c r="D119" s="9">
        <v>5</v>
      </c>
      <c r="E119" s="9">
        <v>0</v>
      </c>
      <c r="F119" s="9">
        <v>5</v>
      </c>
      <c r="G119" s="10">
        <f>+VLOOKUP(Tabla110345345445545647910813213913042975[[#This Row],[Ingrediente]],Tabla34[#All],3,0)</f>
        <v>2.6999075600000002</v>
      </c>
      <c r="H119" s="11">
        <f>+Tabla110345345445545647910813213913042975[[#This Row],[Costo]]*Tabla110345345445545647910813213913042975[[#This Row],[Columna1]]</f>
        <v>13.499537800000001</v>
      </c>
    </row>
    <row r="120" spans="2:12" x14ac:dyDescent="0.3">
      <c r="B120" s="7" t="s">
        <v>341</v>
      </c>
      <c r="C120" s="8" t="s">
        <v>188</v>
      </c>
      <c r="D120" s="9">
        <v>10</v>
      </c>
      <c r="E120" s="9">
        <v>0</v>
      </c>
      <c r="F120" s="9">
        <v>10</v>
      </c>
      <c r="G120" s="10">
        <f>+VLOOKUP(Tabla110345345445545647910813213913042975[[#This Row],[Ingrediente]],Tabla34[#All],3,0)</f>
        <v>12.80723817</v>
      </c>
      <c r="H120" s="11">
        <f>+Tabla110345345445545647910813213913042975[[#This Row],[Costo]]*Tabla110345345445545647910813213913042975[[#This Row],[Columna1]]</f>
        <v>128.07238169999999</v>
      </c>
    </row>
    <row r="121" spans="2:12" x14ac:dyDescent="0.3">
      <c r="B121" s="7" t="s">
        <v>528</v>
      </c>
      <c r="C121" s="8" t="s">
        <v>188</v>
      </c>
      <c r="D121" s="9">
        <v>100</v>
      </c>
      <c r="E121" s="9">
        <v>0</v>
      </c>
      <c r="F121" s="9">
        <v>100</v>
      </c>
      <c r="G121" s="10">
        <f>+VLOOKUP(Tabla110345345445545647910813213913042975[[#This Row],[Ingrediente]],Tabla34[#All],3,0)</f>
        <v>4.8201292200000001</v>
      </c>
      <c r="H121" s="11">
        <f>+Tabla110345345445545647910813213913042975[[#This Row],[Costo]]*Tabla110345345445545647910813213913042975[[#This Row],[Columna1]]</f>
        <v>482.012922</v>
      </c>
    </row>
    <row r="122" spans="2:12" x14ac:dyDescent="0.3">
      <c r="B122" s="7" t="s">
        <v>449</v>
      </c>
      <c r="C122" s="8" t="s">
        <v>188</v>
      </c>
      <c r="D122" s="9">
        <v>150</v>
      </c>
      <c r="E122" s="9">
        <v>0</v>
      </c>
      <c r="F122" s="9">
        <v>150</v>
      </c>
      <c r="G122" s="10">
        <f>+VLOOKUP(Tabla110345345445545647910813213913042975[[#This Row],[Ingrediente]],Tabla34[#All],3,0)</f>
        <v>23.317903900000001</v>
      </c>
      <c r="H122" s="11">
        <f>+Tabla110345345445545647910813213913042975[[#This Row],[Costo]]*Tabla110345345445545647910813213913042975[[#This Row],[Columna1]]</f>
        <v>3497.6855850000002</v>
      </c>
    </row>
    <row r="123" spans="2:12" x14ac:dyDescent="0.3">
      <c r="B123" s="7" t="s">
        <v>92</v>
      </c>
      <c r="C123" s="8" t="s">
        <v>188</v>
      </c>
      <c r="D123" s="9">
        <v>15</v>
      </c>
      <c r="E123" s="9">
        <v>0</v>
      </c>
      <c r="F123" s="9">
        <v>15</v>
      </c>
      <c r="G123" s="10">
        <f>+VLOOKUP(Tabla110345345445545647910813213913042975[[#This Row],[Ingrediente]],Tabla34[#All],3,0)</f>
        <v>10.625185460000001</v>
      </c>
      <c r="H123" s="11">
        <f>+Tabla110345345445545647910813213913042975[[#This Row],[Costo]]*Tabla110345345445545647910813213913042975[[#This Row],[Columna1]]</f>
        <v>159.3777819</v>
      </c>
    </row>
    <row r="124" spans="2:12" x14ac:dyDescent="0.3">
      <c r="B124" s="7" t="s">
        <v>949</v>
      </c>
      <c r="C124" s="8" t="s">
        <v>570</v>
      </c>
      <c r="D124" s="9">
        <v>1</v>
      </c>
      <c r="E124" s="9">
        <v>0</v>
      </c>
      <c r="F124" s="9">
        <v>1</v>
      </c>
      <c r="G124" s="10">
        <f>+VLOOKUP(Tabla110345345445545647910813213913042975[[#This Row],[Ingrediente]],Tabla34[#All],3,0)</f>
        <v>3457.4187499999994</v>
      </c>
      <c r="H124" s="11">
        <f>+Tabla110345345445545647910813213913042975[[#This Row],[Costo]]*Tabla110345345445545647910813213913042975[[#This Row],[Columna1]]</f>
        <v>3457.4187499999994</v>
      </c>
    </row>
    <row r="125" spans="2:12" x14ac:dyDescent="0.3">
      <c r="B125" s="13"/>
      <c r="C125" s="14"/>
      <c r="D125" s="14"/>
      <c r="E125" s="14"/>
      <c r="F125" s="14"/>
      <c r="G125" s="15"/>
      <c r="H125" s="15">
        <f>SUBTOTAL(109,Tabla110345345445545647910813213913042975[Total costo])</f>
        <v>14733.783416499999</v>
      </c>
    </row>
    <row r="128" spans="2:12" x14ac:dyDescent="0.3">
      <c r="B128" s="1" t="s">
        <v>133</v>
      </c>
      <c r="C128" s="2"/>
      <c r="D128" s="2"/>
      <c r="E128" s="3"/>
      <c r="F128" s="3"/>
      <c r="G128" s="99"/>
      <c r="H128" s="99"/>
      <c r="I128" s="4"/>
      <c r="J128" s="277" t="s">
        <v>0</v>
      </c>
      <c r="K128" s="277"/>
      <c r="L128" s="44"/>
    </row>
    <row r="129" spans="2:11" x14ac:dyDescent="0.3">
      <c r="B129" s="13" t="s">
        <v>1</v>
      </c>
      <c r="C129" s="14" t="s">
        <v>2</v>
      </c>
      <c r="D129" s="14" t="s">
        <v>3</v>
      </c>
      <c r="E129" s="14" t="s">
        <v>585</v>
      </c>
      <c r="F129" s="14" t="s">
        <v>343</v>
      </c>
      <c r="G129" s="28" t="s">
        <v>4</v>
      </c>
      <c r="H129" s="28" t="s">
        <v>5</v>
      </c>
      <c r="I129" s="4"/>
      <c r="J129" s="5" t="s">
        <v>6</v>
      </c>
      <c r="K129" s="6" t="e">
        <f>SUM(Tabla110345345445545647910813414117018983[Total costo])</f>
        <v>#N/A</v>
      </c>
    </row>
    <row r="130" spans="2:11" x14ac:dyDescent="0.3">
      <c r="B130" s="21" t="s">
        <v>442</v>
      </c>
      <c r="C130" s="8" t="s">
        <v>188</v>
      </c>
      <c r="D130" s="9">
        <v>2</v>
      </c>
      <c r="E130" s="9">
        <v>0</v>
      </c>
      <c r="F130" s="9">
        <v>2</v>
      </c>
      <c r="G130" s="10">
        <f>+VLOOKUP(Tabla110345345445545647910813414117018983[[#This Row],[Ingrediente]],Tabla34[#All],3,0)</f>
        <v>20.111000000000001</v>
      </c>
      <c r="H130" s="11">
        <f>+Tabla110345345445545647910813414117018983[[#This Row],[Costo]]*Tabla110345345445545647910813414117018983[[#This Row],[Columna1]]</f>
        <v>40.222000000000001</v>
      </c>
      <c r="I130" s="4"/>
      <c r="J130" s="5" t="s">
        <v>113</v>
      </c>
      <c r="K130" s="12" t="e">
        <f>+K129*5%</f>
        <v>#N/A</v>
      </c>
    </row>
    <row r="131" spans="2:11" x14ac:dyDescent="0.3">
      <c r="B131" s="7" t="s">
        <v>557</v>
      </c>
      <c r="C131" s="8" t="s">
        <v>188</v>
      </c>
      <c r="D131" s="9">
        <v>2</v>
      </c>
      <c r="E131" s="9">
        <v>0</v>
      </c>
      <c r="F131" s="9">
        <v>2</v>
      </c>
      <c r="G131" s="10">
        <f>+VLOOKUP(Tabla110345345445545647910813414117018983[[#This Row],[Ingrediente]],Tabla34[#All],3,0)</f>
        <v>18.138999999999999</v>
      </c>
      <c r="H131" s="11">
        <f>+Tabla110345345445545647910813414117018983[[#This Row],[Costo]]*Tabla110345345445545647910813414117018983[[#This Row],[Columna1]]</f>
        <v>36.277999999999999</v>
      </c>
      <c r="I131" s="4"/>
      <c r="J131" s="5" t="s">
        <v>9</v>
      </c>
      <c r="K131" s="12" t="e">
        <f>+K129+K130</f>
        <v>#N/A</v>
      </c>
    </row>
    <row r="132" spans="2:11" x14ac:dyDescent="0.3">
      <c r="B132" s="21" t="s">
        <v>689</v>
      </c>
      <c r="C132" s="8" t="s">
        <v>188</v>
      </c>
      <c r="D132" s="9">
        <v>2</v>
      </c>
      <c r="E132" s="9">
        <v>0</v>
      </c>
      <c r="F132" s="9">
        <v>2</v>
      </c>
      <c r="G132" s="10">
        <f>+VLOOKUP(Tabla110345345445545647910813414117018983[[#This Row],[Ingrediente]],Tabla34[#All],3,0)</f>
        <v>40.97</v>
      </c>
      <c r="H132" s="11">
        <f>+Tabla110345345445545647910813414117018983[[#This Row],[Costo]]*Tabla110345345445545647910813414117018983[[#This Row],[Columna1]]</f>
        <v>81.94</v>
      </c>
      <c r="I132" s="4"/>
      <c r="J132" s="17" t="s">
        <v>10</v>
      </c>
      <c r="K132" s="18">
        <v>64000</v>
      </c>
    </row>
    <row r="133" spans="2:11" x14ac:dyDescent="0.3">
      <c r="B133" s="21" t="s">
        <v>480</v>
      </c>
      <c r="C133" s="8" t="s">
        <v>188</v>
      </c>
      <c r="D133" s="9">
        <v>1</v>
      </c>
      <c r="E133" s="9">
        <v>0</v>
      </c>
      <c r="F133" s="9">
        <v>1</v>
      </c>
      <c r="G133" s="10">
        <f>+VLOOKUP(Tabla110345345445545647910813414117018983[[#This Row],[Ingrediente]],Tabla34[#All],3,0)</f>
        <v>328.34</v>
      </c>
      <c r="H133" s="11">
        <f>+Tabla110345345445545647910813414117018983[[#This Row],[Costo]]*Tabla110345345445545647910813414117018983[[#This Row],[Columna1]]</f>
        <v>328.34</v>
      </c>
      <c r="I133" s="4"/>
      <c r="J133" s="5" t="s">
        <v>11</v>
      </c>
      <c r="K133" s="12">
        <f>+K132/1.08*0.08</f>
        <v>4740.7407407407409</v>
      </c>
    </row>
    <row r="134" spans="2:11" x14ac:dyDescent="0.3">
      <c r="B134" s="7" t="s">
        <v>459</v>
      </c>
      <c r="C134" s="8" t="s">
        <v>188</v>
      </c>
      <c r="D134" s="9">
        <v>2</v>
      </c>
      <c r="E134" s="9">
        <v>0</v>
      </c>
      <c r="F134" s="9">
        <v>2</v>
      </c>
      <c r="G134" s="10">
        <f>+VLOOKUP(Tabla110345345445545647910813414117018983[[#This Row],[Ingrediente]],Tabla34[#All],3,0)</f>
        <v>58.140352939999993</v>
      </c>
      <c r="H134" s="11">
        <f>+Tabla110345345445545647910813414117018983[[#This Row],[Costo]]*Tabla110345345445545647910813414117018983[[#This Row],[Columna1]]</f>
        <v>116.28070587999999</v>
      </c>
      <c r="I134" s="4"/>
      <c r="J134" s="5" t="s">
        <v>12</v>
      </c>
      <c r="K134" s="12">
        <f>+K132-K133</f>
        <v>59259.259259259255</v>
      </c>
    </row>
    <row r="135" spans="2:11" x14ac:dyDescent="0.3">
      <c r="B135" s="7" t="s">
        <v>413</v>
      </c>
      <c r="C135" s="8" t="s">
        <v>188</v>
      </c>
      <c r="D135" s="9">
        <v>100</v>
      </c>
      <c r="E135" s="9">
        <v>0</v>
      </c>
      <c r="F135" s="9">
        <v>100</v>
      </c>
      <c r="G135" s="10">
        <f>+VLOOKUP(Tabla110345345445545647910813414117018983[[#This Row],[Ingrediente]],Tabla34[#All],3,0)</f>
        <v>17.00824742</v>
      </c>
      <c r="H135" s="11">
        <f>+Tabla110345345445545647910813414117018983[[#This Row],[Costo]]*Tabla110345345445545647910813414117018983[[#This Row],[Columna1]]</f>
        <v>1700.824742</v>
      </c>
      <c r="I135" s="4"/>
      <c r="J135" s="5" t="s">
        <v>13</v>
      </c>
      <c r="K135" s="19" t="e">
        <f>+K131/K134</f>
        <v>#N/A</v>
      </c>
    </row>
    <row r="136" spans="2:11" x14ac:dyDescent="0.3">
      <c r="B136" s="7" t="s">
        <v>558</v>
      </c>
      <c r="C136" s="8" t="s">
        <v>570</v>
      </c>
      <c r="D136" s="9">
        <v>2</v>
      </c>
      <c r="E136" s="9">
        <v>0</v>
      </c>
      <c r="F136" s="9">
        <v>2</v>
      </c>
      <c r="G136" s="10">
        <f>+VLOOKUP(Tabla110345345445545647910813414117018983[[#This Row],[Ingrediente]],Tabla34[#All],3,0)</f>
        <v>354.16666666999998</v>
      </c>
      <c r="H136" s="11">
        <f>+Tabla110345345445545647910813414117018983[[#This Row],[Costo]]*Tabla110345345445545647910813414117018983[[#This Row],[Columna1]]</f>
        <v>708.33333333999997</v>
      </c>
      <c r="I136" s="4"/>
      <c r="J136" s="5" t="s">
        <v>14</v>
      </c>
      <c r="K136" s="20" t="e">
        <f>+K134-K131</f>
        <v>#N/A</v>
      </c>
    </row>
    <row r="137" spans="2:11" x14ac:dyDescent="0.3">
      <c r="B137" s="21" t="s">
        <v>376</v>
      </c>
      <c r="C137" s="8" t="s">
        <v>188</v>
      </c>
      <c r="D137" s="9">
        <v>50</v>
      </c>
      <c r="E137" s="9">
        <v>0</v>
      </c>
      <c r="F137" s="9">
        <v>50</v>
      </c>
      <c r="G137" s="10">
        <f>+VLOOKUP(Tabla110345345445545647910813414117018983[[#This Row],[Ingrediente]],Tabla34[#All],3,0)</f>
        <v>60.98749999999999</v>
      </c>
      <c r="H137" s="11">
        <f>+Tabla110345345445545647910813414117018983[[#This Row],[Costo]]*Tabla110345345445545647910813414117018983[[#This Row],[Columna1]]</f>
        <v>3049.3749999999995</v>
      </c>
      <c r="I137" s="4"/>
      <c r="J137" s="5" t="s">
        <v>15</v>
      </c>
      <c r="K137" s="22" t="e">
        <f>+K136/K131</f>
        <v>#N/A</v>
      </c>
    </row>
    <row r="138" spans="2:11" x14ac:dyDescent="0.3">
      <c r="B138" s="7" t="s">
        <v>52</v>
      </c>
      <c r="C138" s="8" t="s">
        <v>188</v>
      </c>
      <c r="D138" s="9">
        <v>15</v>
      </c>
      <c r="E138" s="9">
        <v>0</v>
      </c>
      <c r="F138" s="9">
        <v>15</v>
      </c>
      <c r="G138" s="10">
        <f>+VLOOKUP(Tabla110345345445545647910813414117018983[[#This Row],[Ingrediente]],Tabla34[#All],3,0)</f>
        <v>26.269315670000001</v>
      </c>
      <c r="H138" s="11">
        <f>+Tabla110345345445545647910813414117018983[[#This Row],[Costo]]*Tabla110345345445545647910813414117018983[[#This Row],[Columna1]]</f>
        <v>394.03973504999999</v>
      </c>
      <c r="I138" s="4"/>
      <c r="J138" s="4"/>
      <c r="K138" s="23"/>
    </row>
    <row r="139" spans="2:11" x14ac:dyDescent="0.3">
      <c r="B139" s="21" t="s">
        <v>420</v>
      </c>
      <c r="C139" s="8" t="s">
        <v>188</v>
      </c>
      <c r="D139" s="9">
        <v>15</v>
      </c>
      <c r="E139" s="9">
        <v>0</v>
      </c>
      <c r="F139" s="9">
        <v>15</v>
      </c>
      <c r="G139" s="10">
        <f>+VLOOKUP(Tabla110345345445545647910813414117018983[[#This Row],[Ingrediente]],Tabla34[#All],3,0)</f>
        <v>8.9250000000000007</v>
      </c>
      <c r="H139" s="11">
        <f>+Tabla110345345445545647910813414117018983[[#This Row],[Costo]]*Tabla110345345445545647910813414117018983[[#This Row],[Columna1]]</f>
        <v>133.875</v>
      </c>
      <c r="I139" s="4"/>
      <c r="J139" s="4"/>
      <c r="K139" s="23"/>
    </row>
    <row r="140" spans="2:11" x14ac:dyDescent="0.3">
      <c r="B140" s="7" t="s">
        <v>366</v>
      </c>
      <c r="C140" s="8" t="s">
        <v>570</v>
      </c>
      <c r="D140" s="267">
        <v>1</v>
      </c>
      <c r="E140" s="9">
        <v>0</v>
      </c>
      <c r="F140" s="9">
        <v>1</v>
      </c>
      <c r="G140" s="10">
        <f>+VLOOKUP(Tabla110345345445545647910813414117018983[[#This Row],[Ingrediente]],Tabla34[#All],3,0)</f>
        <v>12280</v>
      </c>
      <c r="H140" s="11">
        <f>+Tabla110345345445545647910813414117018983[[#This Row],[Costo]]*Tabla110345345445545647910813414117018983[[#This Row],[Columna1]]</f>
        <v>12280</v>
      </c>
    </row>
    <row r="141" spans="2:11" x14ac:dyDescent="0.3">
      <c r="B141" s="7" t="s">
        <v>341</v>
      </c>
      <c r="C141" s="8" t="s">
        <v>188</v>
      </c>
      <c r="D141" s="267">
        <v>10</v>
      </c>
      <c r="E141" s="9">
        <v>0</v>
      </c>
      <c r="F141" s="9">
        <v>10</v>
      </c>
      <c r="G141" s="10">
        <f>+VLOOKUP(Tabla110345345445545647910813414117018983[[#This Row],[Ingrediente]],Tabla34[#All],3,0)</f>
        <v>12.80723817</v>
      </c>
      <c r="H141" s="11">
        <f>+Tabla110345345445545647910813414117018983[[#This Row],[Costo]]*Tabla110345345445545647910813414117018983[[#This Row],[Columna1]]</f>
        <v>128.07238169999999</v>
      </c>
    </row>
    <row r="142" spans="2:11" x14ac:dyDescent="0.3">
      <c r="B142" s="7" t="s">
        <v>100</v>
      </c>
      <c r="C142" s="8" t="s">
        <v>570</v>
      </c>
      <c r="D142" s="267">
        <v>1</v>
      </c>
      <c r="E142" s="9">
        <v>0</v>
      </c>
      <c r="F142" s="9">
        <v>1</v>
      </c>
      <c r="G142" s="10">
        <f>+VLOOKUP(Tabla110345345445545647910813414117018983[[#This Row],[Ingrediente]],Tabla34[#All],3,0)</f>
        <v>1245.63046328</v>
      </c>
      <c r="H142" s="11">
        <f>+Tabla110345345445545647910813414117018983[[#This Row],[Costo]]*Tabla110345345445545647910813414117018983[[#This Row],[Columna1]]</f>
        <v>1245.63046328</v>
      </c>
    </row>
    <row r="143" spans="2:11" x14ac:dyDescent="0.3">
      <c r="B143" s="7" t="s">
        <v>95</v>
      </c>
      <c r="C143" s="8" t="s">
        <v>188</v>
      </c>
      <c r="D143" s="267">
        <v>25</v>
      </c>
      <c r="E143" s="9">
        <v>0</v>
      </c>
      <c r="F143" s="9">
        <v>25</v>
      </c>
      <c r="G143" s="10">
        <f>+VLOOKUP(Tabla110345345445545647910813414117018983[[#This Row],[Ingrediente]],Tabla34[#All],3,0)</f>
        <v>4.5393523800000004</v>
      </c>
      <c r="H143" s="11">
        <f>+Tabla110345345445545647910813414117018983[[#This Row],[Costo]]*Tabla110345345445545647910813414117018983[[#This Row],[Columna1]]</f>
        <v>113.48380950000001</v>
      </c>
    </row>
    <row r="144" spans="2:11" x14ac:dyDescent="0.3">
      <c r="B144" s="7" t="s">
        <v>449</v>
      </c>
      <c r="C144" s="8" t="s">
        <v>188</v>
      </c>
      <c r="D144" s="267">
        <v>120</v>
      </c>
      <c r="E144" s="9">
        <v>0</v>
      </c>
      <c r="F144" s="9">
        <v>120</v>
      </c>
      <c r="G144" s="10">
        <f>+VLOOKUP(Tabla110345345445545647910813414117018983[[#This Row],[Ingrediente]],Tabla34[#All],3,0)</f>
        <v>23.317903900000001</v>
      </c>
      <c r="H144" s="11">
        <f>+Tabla110345345445545647910813414117018983[[#This Row],[Costo]]*Tabla110345345445545647910813414117018983[[#This Row],[Columna1]]</f>
        <v>2798.1484680000003</v>
      </c>
    </row>
    <row r="145" spans="2:8" x14ac:dyDescent="0.3">
      <c r="B145" s="7" t="s">
        <v>92</v>
      </c>
      <c r="C145" s="8" t="s">
        <v>188</v>
      </c>
      <c r="D145" s="267">
        <v>10</v>
      </c>
      <c r="E145" s="9">
        <v>0</v>
      </c>
      <c r="F145" s="9">
        <v>10</v>
      </c>
      <c r="G145" s="10">
        <f>+VLOOKUP(Tabla110345345445545647910813414117018983[[#This Row],[Ingrediente]],Tabla34[#All],3,0)</f>
        <v>10.625185460000001</v>
      </c>
      <c r="H145" s="11">
        <f>+Tabla110345345445545647910813414117018983[[#This Row],[Costo]]*Tabla110345345445545647910813414117018983[[#This Row],[Columna1]]</f>
        <v>106.2518546</v>
      </c>
    </row>
    <row r="146" spans="2:8" x14ac:dyDescent="0.3">
      <c r="B146" s="7" t="s">
        <v>1285</v>
      </c>
      <c r="C146" s="8" t="s">
        <v>188</v>
      </c>
      <c r="D146" s="267">
        <v>15</v>
      </c>
      <c r="E146" s="9">
        <v>0</v>
      </c>
      <c r="F146" s="9">
        <v>15</v>
      </c>
      <c r="G146" s="10" t="e">
        <f>+VLOOKUP(Tabla110345345445545647910813414117018983[[#This Row],[Ingrediente]],Tabla34[#All],3,0)</f>
        <v>#N/A</v>
      </c>
      <c r="H146" s="11" t="e">
        <f>+Tabla110345345445545647910813414117018983[[#This Row],[Costo]]*Tabla110345345445545647910813414117018983[[#This Row],[Columna1]]</f>
        <v>#N/A</v>
      </c>
    </row>
    <row r="147" spans="2:8" x14ac:dyDescent="0.3">
      <c r="B147" s="13"/>
      <c r="C147" s="14"/>
      <c r="D147" s="14"/>
      <c r="E147" s="14"/>
      <c r="F147" s="14"/>
      <c r="G147" s="15"/>
      <c r="H147" s="15" t="e">
        <f>SUBTOTAL(109,Tabla110345345445545647910813414117018983[Total costo])</f>
        <v>#N/A</v>
      </c>
    </row>
  </sheetData>
  <mergeCells count="7">
    <mergeCell ref="J128:K128"/>
    <mergeCell ref="J108:K108"/>
    <mergeCell ref="J6:K6"/>
    <mergeCell ref="J28:K28"/>
    <mergeCell ref="J51:K51"/>
    <mergeCell ref="J66:K66"/>
    <mergeCell ref="J85:K85"/>
  </mergeCells>
  <conditionalFormatting sqref="K13">
    <cfRule type="cellIs" dxfId="599" priority="19" operator="lessThan">
      <formula>0.3</formula>
    </cfRule>
    <cfRule type="cellIs" dxfId="598" priority="20" operator="greaterThan">
      <formula>0.3</formula>
    </cfRule>
  </conditionalFormatting>
  <conditionalFormatting sqref="K35">
    <cfRule type="cellIs" dxfId="597" priority="17" operator="lessThan">
      <formula>0.3</formula>
    </cfRule>
    <cfRule type="cellIs" dxfId="596" priority="18" operator="greaterThan">
      <formula>0.3</formula>
    </cfRule>
  </conditionalFormatting>
  <conditionalFormatting sqref="K58">
    <cfRule type="cellIs" dxfId="595" priority="13" operator="lessThan">
      <formula>0.3</formula>
    </cfRule>
    <cfRule type="cellIs" dxfId="594" priority="14" operator="greaterThan">
      <formula>0.3</formula>
    </cfRule>
  </conditionalFormatting>
  <conditionalFormatting sqref="K73">
    <cfRule type="cellIs" dxfId="593" priority="11" operator="lessThan">
      <formula>0.3</formula>
    </cfRule>
    <cfRule type="cellIs" dxfId="592" priority="12" operator="greaterThan">
      <formula>0.3</formula>
    </cfRule>
  </conditionalFormatting>
  <conditionalFormatting sqref="K92">
    <cfRule type="cellIs" dxfId="591" priority="5" operator="lessThan">
      <formula>0.3</formula>
    </cfRule>
    <cfRule type="cellIs" dxfId="590" priority="6" operator="greaterThan">
      <formula>0.3</formula>
    </cfRule>
  </conditionalFormatting>
  <conditionalFormatting sqref="K115">
    <cfRule type="cellIs" dxfId="589" priority="3" operator="lessThan">
      <formula>0.3</formula>
    </cfRule>
    <cfRule type="cellIs" dxfId="588" priority="4" operator="greaterThan">
      <formula>0.3</formula>
    </cfRule>
  </conditionalFormatting>
  <conditionalFormatting sqref="K135">
    <cfRule type="cellIs" dxfId="587" priority="1" operator="lessThan">
      <formula>0.3</formula>
    </cfRule>
    <cfRule type="cellIs" dxfId="586" priority="2" operator="greaterThan">
      <formula>0.3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tableParts count="7">
    <tablePart r:id="rId4"/>
    <tablePart r:id="rId5"/>
    <tablePart r:id="rId6"/>
    <tablePart r:id="rId7"/>
    <tablePart r:id="rId8"/>
    <tablePart r:id="rId9"/>
    <tablePart r:id="rId10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7FE3B-D13D-4E33-9213-5A756D33EE82}">
  <dimension ref="B6:L177"/>
  <sheetViews>
    <sheetView showGridLines="0" topLeftCell="A155" zoomScaleNormal="100" workbookViewId="0">
      <selection activeCell="J153" sqref="J153"/>
    </sheetView>
  </sheetViews>
  <sheetFormatPr baseColWidth="10" defaultRowHeight="14.4" x14ac:dyDescent="0.3"/>
  <cols>
    <col min="1" max="1" width="2.44140625" customWidth="1"/>
    <col min="2" max="2" width="40.109375" bestFit="1" customWidth="1"/>
    <col min="3" max="6" width="7.77734375" customWidth="1"/>
    <col min="7" max="8" width="10.77734375" customWidth="1"/>
    <col min="9" max="9" width="3.77734375" customWidth="1"/>
    <col min="10" max="10" width="27" bestFit="1" customWidth="1"/>
  </cols>
  <sheetData>
    <row r="6" spans="2:11" x14ac:dyDescent="0.3">
      <c r="B6" s="97" t="s">
        <v>114</v>
      </c>
      <c r="C6" s="88"/>
      <c r="D6" s="88"/>
      <c r="E6" s="88"/>
      <c r="F6" s="88"/>
      <c r="G6" s="88"/>
      <c r="H6" s="88"/>
      <c r="J6" s="277" t="s">
        <v>0</v>
      </c>
      <c r="K6" s="277"/>
    </row>
    <row r="7" spans="2:11" x14ac:dyDescent="0.3">
      <c r="B7" s="91" t="s">
        <v>1</v>
      </c>
      <c r="C7" s="14" t="s">
        <v>2</v>
      </c>
      <c r="D7" s="14" t="s">
        <v>571</v>
      </c>
      <c r="E7" s="14" t="s">
        <v>572</v>
      </c>
      <c r="F7" s="14" t="s">
        <v>573</v>
      </c>
      <c r="G7" s="92" t="s">
        <v>4</v>
      </c>
      <c r="H7" s="92" t="s">
        <v>5</v>
      </c>
      <c r="I7" s="4"/>
      <c r="J7" s="94" t="s">
        <v>6</v>
      </c>
      <c r="K7" s="95">
        <f>SUM(Tabla1103453454455456479108109[Total costo])</f>
        <v>12361.851301942799</v>
      </c>
    </row>
    <row r="8" spans="2:11" x14ac:dyDescent="0.3">
      <c r="B8" s="21" t="s">
        <v>406</v>
      </c>
      <c r="C8" s="109" t="s">
        <v>188</v>
      </c>
      <c r="D8" s="48">
        <v>30</v>
      </c>
      <c r="E8" s="48">
        <v>25</v>
      </c>
      <c r="F8" s="48">
        <v>40</v>
      </c>
      <c r="G8" s="110">
        <f>+VLOOKUP(Tabla1103453454455456479108109[[#This Row],[Ingrediente]],Tabla34[#All],3,0)</f>
        <v>14</v>
      </c>
      <c r="H8" s="111">
        <f>+Tabla1103453454455456479108109[[#This Row],[Costo]]*Tabla1103453454455456479108109[[#This Row],[Unidades]]</f>
        <v>560</v>
      </c>
      <c r="I8" s="4"/>
      <c r="J8" s="5" t="s">
        <v>113</v>
      </c>
      <c r="K8" s="6">
        <f>+K7*5%</f>
        <v>618.09256509713998</v>
      </c>
    </row>
    <row r="9" spans="2:11" x14ac:dyDescent="0.3">
      <c r="B9" s="21" t="s">
        <v>480</v>
      </c>
      <c r="C9" s="109" t="s">
        <v>188</v>
      </c>
      <c r="D9" s="48">
        <v>1</v>
      </c>
      <c r="E9" s="48">
        <v>0</v>
      </c>
      <c r="F9" s="48">
        <v>1</v>
      </c>
      <c r="G9" s="110">
        <f>+VLOOKUP(Tabla1103453454455456479108109[[#This Row],[Ingrediente]],Tabla34[#All],3,0)</f>
        <v>328.34</v>
      </c>
      <c r="H9" s="111">
        <f>+Tabla1103453454455456479108109[[#This Row],[Costo]]*Tabla1103453454455456479108109[[#This Row],[Unidades]]</f>
        <v>328.34</v>
      </c>
      <c r="I9" s="4"/>
      <c r="J9" s="5" t="s">
        <v>9</v>
      </c>
      <c r="K9" s="6">
        <f>+K7+K8</f>
        <v>12979.94386703994</v>
      </c>
    </row>
    <row r="10" spans="2:11" x14ac:dyDescent="0.3">
      <c r="B10" s="7" t="s">
        <v>53</v>
      </c>
      <c r="C10" s="109" t="s">
        <v>188</v>
      </c>
      <c r="D10" s="48">
        <v>50</v>
      </c>
      <c r="E10" s="48">
        <v>10</v>
      </c>
      <c r="F10" s="48">
        <v>55.555999999999997</v>
      </c>
      <c r="G10" s="110">
        <f>+VLOOKUP(Tabla1103453454455456479108109[[#This Row],[Ingrediente]],Tabla34[#All],3,0)</f>
        <v>51.296296300000002</v>
      </c>
      <c r="H10" s="111">
        <f>+Tabla1103453454455456479108109[[#This Row],[Costo]]*Tabla1103453454455456479108109[[#This Row],[Unidades]]</f>
        <v>2849.8170372427999</v>
      </c>
      <c r="I10" s="4"/>
      <c r="J10" s="17" t="s">
        <v>10</v>
      </c>
      <c r="K10" s="112">
        <v>57000</v>
      </c>
    </row>
    <row r="11" spans="2:11" x14ac:dyDescent="0.3">
      <c r="B11" s="7" t="s">
        <v>368</v>
      </c>
      <c r="C11" s="109" t="s">
        <v>188</v>
      </c>
      <c r="D11" s="48">
        <v>50</v>
      </c>
      <c r="E11" s="48">
        <v>10</v>
      </c>
      <c r="F11" s="48">
        <v>55.555999999999997</v>
      </c>
      <c r="G11" s="110">
        <f>+VLOOKUP(Tabla1103453454455456479108109[[#This Row],[Ingrediente]],Tabla34[#All],3,0)</f>
        <v>37</v>
      </c>
      <c r="H11" s="111">
        <f>+Tabla1103453454455456479108109[[#This Row],[Costo]]*Tabla1103453454455456479108109[[#This Row],[Unidades]]</f>
        <v>2055.5720000000001</v>
      </c>
      <c r="I11" s="4"/>
      <c r="J11" s="5" t="s">
        <v>11</v>
      </c>
      <c r="K11" s="6">
        <f>+K10/1.08*0.08</f>
        <v>4222.2222222222217</v>
      </c>
    </row>
    <row r="12" spans="2:11" x14ac:dyDescent="0.3">
      <c r="B12" s="7" t="s">
        <v>84</v>
      </c>
      <c r="C12" s="109" t="s">
        <v>188</v>
      </c>
      <c r="D12" s="48">
        <v>5</v>
      </c>
      <c r="E12" s="48">
        <v>0</v>
      </c>
      <c r="F12" s="48">
        <v>5</v>
      </c>
      <c r="G12" s="110">
        <f>+VLOOKUP(Tabla1103453454455456479108109[[#This Row],[Ingrediente]],Tabla34[#All],3,0)</f>
        <v>15</v>
      </c>
      <c r="H12" s="111">
        <f>+Tabla1103453454455456479108109[[#This Row],[Costo]]*Tabla1103453454455456479108109[[#This Row],[Unidades]]</f>
        <v>75</v>
      </c>
      <c r="I12" s="4"/>
      <c r="J12" s="5" t="s">
        <v>12</v>
      </c>
      <c r="K12" s="6">
        <f>+K10-K11</f>
        <v>52777.777777777781</v>
      </c>
    </row>
    <row r="13" spans="2:11" x14ac:dyDescent="0.3">
      <c r="B13" s="7" t="s">
        <v>1152</v>
      </c>
      <c r="C13" s="109" t="s">
        <v>188</v>
      </c>
      <c r="D13" s="48">
        <v>50</v>
      </c>
      <c r="E13" s="48">
        <v>10</v>
      </c>
      <c r="F13" s="48">
        <v>55.555999999999997</v>
      </c>
      <c r="G13" s="110">
        <f>+VLOOKUP(Tabla1103453454455456479108109[[#This Row],[Ingrediente]],Tabla34[#All],3,0)</f>
        <v>55</v>
      </c>
      <c r="H13" s="111">
        <f>+Tabla1103453454455456479108109[[#This Row],[Costo]]*Tabla1103453454455456479108109[[#This Row],[Unidades]]</f>
        <v>3055.58</v>
      </c>
      <c r="I13" s="4"/>
      <c r="J13" s="5" t="s">
        <v>13</v>
      </c>
      <c r="K13" s="113">
        <f>+K9/K12</f>
        <v>0.2459357785333883</v>
      </c>
    </row>
    <row r="14" spans="2:11" x14ac:dyDescent="0.3">
      <c r="B14" s="21" t="s">
        <v>228</v>
      </c>
      <c r="C14" s="109" t="s">
        <v>188</v>
      </c>
      <c r="D14" s="48">
        <v>10</v>
      </c>
      <c r="E14" s="48">
        <v>0</v>
      </c>
      <c r="F14" s="48">
        <v>10</v>
      </c>
      <c r="G14" s="110">
        <f>+VLOOKUP(Tabla1103453454455456479108109[[#This Row],[Ingrediente]],Tabla34[#All],3,0)</f>
        <v>16.11097131</v>
      </c>
      <c r="H14" s="111">
        <f>+Tabla1103453454455456479108109[[#This Row],[Costo]]*Tabla1103453454455456479108109[[#This Row],[Unidades]]</f>
        <v>161.10971309999999</v>
      </c>
      <c r="I14" s="4"/>
      <c r="J14" s="5" t="s">
        <v>14</v>
      </c>
      <c r="K14" s="20">
        <f>+K12-K9</f>
        <v>39797.833910737842</v>
      </c>
    </row>
    <row r="15" spans="2:11" x14ac:dyDescent="0.3">
      <c r="B15" s="21" t="s">
        <v>226</v>
      </c>
      <c r="C15" s="109" t="s">
        <v>188</v>
      </c>
      <c r="D15" s="48">
        <v>90</v>
      </c>
      <c r="E15" s="48">
        <v>0</v>
      </c>
      <c r="F15" s="48">
        <v>90</v>
      </c>
      <c r="G15" s="110">
        <f>+VLOOKUP(Tabla1103453454455456479108109[[#This Row],[Ingrediente]],Tabla34[#All],3,0)</f>
        <v>10.179495380000001</v>
      </c>
      <c r="H15" s="111">
        <f>+Tabla1103453454455456479108109[[#This Row],[Costo]]*Tabla1103453454455456479108109[[#This Row],[Unidades]]</f>
        <v>916.15458420000004</v>
      </c>
      <c r="I15" s="4"/>
      <c r="J15" s="5" t="s">
        <v>15</v>
      </c>
      <c r="K15" s="22">
        <f>+K14/K9</f>
        <v>3.0661021587155513</v>
      </c>
    </row>
    <row r="16" spans="2:11" x14ac:dyDescent="0.3">
      <c r="B16" s="21" t="s">
        <v>662</v>
      </c>
      <c r="C16" s="109" t="s">
        <v>188</v>
      </c>
      <c r="D16" s="48">
        <v>20</v>
      </c>
      <c r="E16" s="48">
        <v>0</v>
      </c>
      <c r="F16" s="48">
        <v>20</v>
      </c>
      <c r="G16" s="110">
        <f>+VLOOKUP(Tabla1103453454455456479108109[[#This Row],[Ingrediente]],Tabla34[#All],3,0)</f>
        <v>11.90893019</v>
      </c>
      <c r="H16" s="111">
        <f>+Tabla1103453454455456479108109[[#This Row],[Costo]]*Tabla1103453454455456479108109[[#This Row],[Unidades]]</f>
        <v>238.17860379999999</v>
      </c>
      <c r="I16" s="4"/>
      <c r="J16" s="4"/>
      <c r="K16" s="114"/>
    </row>
    <row r="17" spans="2:11" x14ac:dyDescent="0.3">
      <c r="B17" s="7" t="s">
        <v>137</v>
      </c>
      <c r="C17" s="109" t="s">
        <v>188</v>
      </c>
      <c r="D17" s="48">
        <v>30</v>
      </c>
      <c r="E17" s="48">
        <v>0</v>
      </c>
      <c r="F17" s="48">
        <v>30</v>
      </c>
      <c r="G17" s="110">
        <f>+VLOOKUP(Tabla1103453454455456479108109[[#This Row],[Ingrediente]],Tabla34[#All],3,0)</f>
        <v>11.13267572</v>
      </c>
      <c r="H17" s="111">
        <f>+Tabla1103453454455456479108109[[#This Row],[Costo]]*Tabla1103453454455456479108109[[#This Row],[Unidades]]</f>
        <v>333.98027159999998</v>
      </c>
      <c r="I17" s="4"/>
      <c r="J17" s="4"/>
      <c r="K17" s="114"/>
    </row>
    <row r="18" spans="2:11" x14ac:dyDescent="0.3">
      <c r="B18" s="21" t="s">
        <v>449</v>
      </c>
      <c r="C18" s="109" t="s">
        <v>188</v>
      </c>
      <c r="D18" s="48">
        <v>50</v>
      </c>
      <c r="E18" s="48">
        <v>0</v>
      </c>
      <c r="F18" s="48">
        <v>50</v>
      </c>
      <c r="G18" s="110">
        <f>+VLOOKUP(Tabla1103453454455456479108109[[#This Row],[Ingrediente]],Tabla34[#All],3,0)</f>
        <v>23.317903900000001</v>
      </c>
      <c r="H18" s="111">
        <f>+Tabla1103453454455456479108109[[#This Row],[Costo]]*Tabla1103453454455456479108109[[#This Row],[Unidades]]</f>
        <v>1165.8951950000001</v>
      </c>
      <c r="I18" s="4"/>
      <c r="J18" s="4"/>
      <c r="K18" s="114"/>
    </row>
    <row r="19" spans="2:11" x14ac:dyDescent="0.3">
      <c r="B19" s="21" t="s">
        <v>555</v>
      </c>
      <c r="C19" s="109" t="s">
        <v>188</v>
      </c>
      <c r="D19" s="48">
        <v>50</v>
      </c>
      <c r="E19" s="48">
        <v>0</v>
      </c>
      <c r="F19" s="48">
        <v>50</v>
      </c>
      <c r="G19" s="110">
        <f>+VLOOKUP(Tabla1103453454455456479108109[[#This Row],[Ingrediente]],Tabla34[#All],3,0)</f>
        <v>12.444477940000001</v>
      </c>
      <c r="H19" s="111">
        <f>+Tabla1103453454455456479108109[[#This Row],[Costo]]*Tabla1103453454455456479108109[[#This Row],[Unidades]]</f>
        <v>622.22389700000008</v>
      </c>
      <c r="I19" s="4"/>
      <c r="J19" s="4"/>
      <c r="K19" s="114"/>
    </row>
    <row r="20" spans="2:11" x14ac:dyDescent="0.3">
      <c r="B20" s="13"/>
      <c r="C20" s="14"/>
      <c r="D20" s="14"/>
      <c r="E20" s="14"/>
      <c r="F20" s="14"/>
      <c r="G20" s="15"/>
      <c r="H20" s="15">
        <f>SUBTOTAL(109,Tabla1103453454455456479108109[Total costo])</f>
        <v>12361.851301942799</v>
      </c>
    </row>
    <row r="24" spans="2:11" x14ac:dyDescent="0.3">
      <c r="G24" s="24"/>
    </row>
    <row r="25" spans="2:11" x14ac:dyDescent="0.3">
      <c r="B25" s="89" t="s">
        <v>115</v>
      </c>
      <c r="C25" s="90"/>
      <c r="D25" s="90"/>
      <c r="E25" s="90"/>
      <c r="F25" s="90"/>
      <c r="G25" s="90"/>
      <c r="H25" s="90"/>
      <c r="J25" s="277" t="s">
        <v>0</v>
      </c>
      <c r="K25" s="277"/>
    </row>
    <row r="26" spans="2:11" x14ac:dyDescent="0.3">
      <c r="B26" s="91" t="s">
        <v>1</v>
      </c>
      <c r="C26" s="14" t="s">
        <v>2</v>
      </c>
      <c r="D26" s="14" t="s">
        <v>571</v>
      </c>
      <c r="E26" s="14" t="s">
        <v>572</v>
      </c>
      <c r="F26" s="14" t="s">
        <v>573</v>
      </c>
      <c r="G26" s="92" t="s">
        <v>4</v>
      </c>
      <c r="H26" s="92" t="s">
        <v>5</v>
      </c>
      <c r="J26" s="5" t="s">
        <v>6</v>
      </c>
      <c r="K26" s="6">
        <f>+Tabla1103453454455456479108109113[[#Totals],[Total costo]]</f>
        <v>1962.4722353</v>
      </c>
    </row>
    <row r="27" spans="2:11" x14ac:dyDescent="0.3">
      <c r="B27" s="84" t="s">
        <v>512</v>
      </c>
      <c r="C27" s="139" t="s">
        <v>188</v>
      </c>
      <c r="D27" s="48">
        <v>40</v>
      </c>
      <c r="E27" s="48">
        <v>0</v>
      </c>
      <c r="F27" s="48">
        <v>40</v>
      </c>
      <c r="G27" s="110">
        <f>+VLOOKUP(Tabla1103453454455456479108109113[[#This Row],[Ingrediente]],Tabla34[#All],3,0)</f>
        <v>9.7905400900000004</v>
      </c>
      <c r="H27" s="111">
        <f>+Tabla1103453454455456479108109113[[#This Row],[Costo]]*Tabla1103453454455456479108109113[[#This Row],[Unidades]]</f>
        <v>391.62160360000001</v>
      </c>
      <c r="J27" s="5" t="s">
        <v>113</v>
      </c>
      <c r="K27" s="6">
        <f>+K26*5%</f>
        <v>98.123611765000007</v>
      </c>
    </row>
    <row r="28" spans="2:11" x14ac:dyDescent="0.3">
      <c r="B28" s="83" t="s">
        <v>73</v>
      </c>
      <c r="C28" s="139" t="s">
        <v>188</v>
      </c>
      <c r="D28" s="48">
        <v>40</v>
      </c>
      <c r="E28" s="48">
        <v>0</v>
      </c>
      <c r="F28" s="48">
        <v>40</v>
      </c>
      <c r="G28" s="110">
        <f>+VLOOKUP(Tabla1103453454455456479108109113[[#This Row],[Ingrediente]],Tabla34[#All],3,0)</f>
        <v>11.478188469999999</v>
      </c>
      <c r="H28" s="111">
        <f>+Tabla1103453454455456479108109113[[#This Row],[Costo]]*Tabla1103453454455456479108109113[[#This Row],[Unidades]]</f>
        <v>459.12753879999997</v>
      </c>
      <c r="J28" s="5" t="s">
        <v>9</v>
      </c>
      <c r="K28" s="6">
        <f>+K26+K27</f>
        <v>2060.5958470649998</v>
      </c>
    </row>
    <row r="29" spans="2:11" x14ac:dyDescent="0.3">
      <c r="B29" s="84" t="s">
        <v>74</v>
      </c>
      <c r="C29" s="139" t="s">
        <v>188</v>
      </c>
      <c r="D29" s="48">
        <v>30</v>
      </c>
      <c r="E29" s="48">
        <v>0</v>
      </c>
      <c r="F29" s="48">
        <v>30</v>
      </c>
      <c r="G29" s="110">
        <f>+VLOOKUP(Tabla1103453454455456479108109113[[#This Row],[Ingrediente]],Tabla34[#All],3,0)</f>
        <v>12.25316591</v>
      </c>
      <c r="H29" s="111">
        <f>+Tabla1103453454455456479108109113[[#This Row],[Costo]]*Tabla1103453454455456479108109113[[#This Row],[Unidades]]</f>
        <v>367.59497729999998</v>
      </c>
      <c r="J29" s="17" t="s">
        <v>10</v>
      </c>
      <c r="K29" s="112">
        <v>29900</v>
      </c>
    </row>
    <row r="30" spans="2:11" x14ac:dyDescent="0.3">
      <c r="B30" s="83" t="s">
        <v>560</v>
      </c>
      <c r="C30" s="139" t="s">
        <v>188</v>
      </c>
      <c r="D30" s="48">
        <v>30</v>
      </c>
      <c r="E30" s="48">
        <v>0</v>
      </c>
      <c r="F30" s="48">
        <v>30</v>
      </c>
      <c r="G30" s="110">
        <f>+VLOOKUP(Tabla1103453454455456479108109113[[#This Row],[Ingrediente]],Tabla34[#All],3,0)</f>
        <v>24.804270519999999</v>
      </c>
      <c r="H30" s="111">
        <f>+Tabla1103453454455456479108109113[[#This Row],[Costo]]*Tabla1103453454455456479108109113[[#This Row],[Unidades]]</f>
        <v>744.1281156</v>
      </c>
      <c r="J30" s="5" t="s">
        <v>11</v>
      </c>
      <c r="K30" s="6">
        <f>+K29/1.08*0.08</f>
        <v>2214.8148148148148</v>
      </c>
    </row>
    <row r="31" spans="2:11" x14ac:dyDescent="0.3">
      <c r="B31" s="13"/>
      <c r="C31" s="14"/>
      <c r="D31" s="14"/>
      <c r="E31" s="14"/>
      <c r="F31" s="14"/>
      <c r="G31" s="15"/>
      <c r="H31" s="15">
        <f>SUBTOTAL(109,Tabla1103453454455456479108109113[Total costo])</f>
        <v>1962.4722353</v>
      </c>
      <c r="I31" s="4"/>
      <c r="J31" s="5" t="s">
        <v>12</v>
      </c>
      <c r="K31" s="6">
        <f>+K29-K30</f>
        <v>27685.185185185186</v>
      </c>
    </row>
    <row r="32" spans="2:11" x14ac:dyDescent="0.3">
      <c r="G32" s="4"/>
      <c r="H32" s="4"/>
      <c r="I32" s="4"/>
      <c r="J32" s="5" t="s">
        <v>13</v>
      </c>
      <c r="K32" s="113">
        <f>+K28/K31</f>
        <v>7.4429548990976577E-2</v>
      </c>
    </row>
    <row r="33" spans="2:11" x14ac:dyDescent="0.3">
      <c r="G33" s="4"/>
      <c r="H33" s="4"/>
      <c r="I33" s="114"/>
      <c r="J33" s="5" t="s">
        <v>14</v>
      </c>
      <c r="K33" s="20">
        <f>+K31-K28</f>
        <v>25624.589338120186</v>
      </c>
    </row>
    <row r="34" spans="2:11" x14ac:dyDescent="0.3">
      <c r="G34" s="4"/>
      <c r="H34" s="4"/>
      <c r="I34" s="114"/>
      <c r="J34" s="5" t="s">
        <v>15</v>
      </c>
      <c r="K34" s="22">
        <f>+K33/K28</f>
        <v>12.435524110474381</v>
      </c>
    </row>
    <row r="35" spans="2:11" x14ac:dyDescent="0.3">
      <c r="G35" s="4"/>
      <c r="H35" s="4"/>
      <c r="I35" s="114"/>
    </row>
    <row r="36" spans="2:11" x14ac:dyDescent="0.3">
      <c r="B36" s="89" t="s">
        <v>116</v>
      </c>
      <c r="C36" s="90"/>
      <c r="D36" s="90"/>
      <c r="E36" s="90"/>
      <c r="F36" s="90"/>
      <c r="G36" s="90"/>
      <c r="H36" s="90"/>
      <c r="I36" s="114"/>
      <c r="J36" s="277" t="s">
        <v>0</v>
      </c>
      <c r="K36" s="277"/>
    </row>
    <row r="37" spans="2:11" x14ac:dyDescent="0.3">
      <c r="B37" s="91" t="s">
        <v>1</v>
      </c>
      <c r="C37" s="14" t="s">
        <v>2</v>
      </c>
      <c r="D37" s="14" t="s">
        <v>571</v>
      </c>
      <c r="E37" s="14" t="s">
        <v>572</v>
      </c>
      <c r="F37" s="14" t="s">
        <v>573</v>
      </c>
      <c r="G37" s="92" t="s">
        <v>4</v>
      </c>
      <c r="H37" s="92" t="s">
        <v>5</v>
      </c>
      <c r="I37" s="4"/>
      <c r="J37" s="5" t="s">
        <v>6</v>
      </c>
      <c r="K37" s="6">
        <f>SUM(Tabla1103453454455456479108109114[Total costo])</f>
        <v>11281.486871799998</v>
      </c>
    </row>
    <row r="38" spans="2:11" x14ac:dyDescent="0.3">
      <c r="B38" s="21" t="s">
        <v>91</v>
      </c>
      <c r="C38" s="109" t="s">
        <v>188</v>
      </c>
      <c r="D38" s="48">
        <v>40</v>
      </c>
      <c r="E38" s="48">
        <v>0</v>
      </c>
      <c r="F38" s="48">
        <v>40</v>
      </c>
      <c r="G38" s="110">
        <f>+VLOOKUP(Tabla1103453454455456479108109114[[#This Row],[Ingrediente]],Tabla34[#All],3,0)</f>
        <v>17.685474030000002</v>
      </c>
      <c r="H38" s="111">
        <f>+Tabla1103453454455456479108109114[[#This Row],[Costo]]*Tabla1103453454455456479108109114[[#This Row],[Unidades]]</f>
        <v>707.41896120000001</v>
      </c>
      <c r="I38" s="4"/>
      <c r="J38" s="5" t="s">
        <v>113</v>
      </c>
      <c r="K38" s="6">
        <f>+K37*5%</f>
        <v>564.0743435899999</v>
      </c>
    </row>
    <row r="39" spans="2:11" x14ac:dyDescent="0.3">
      <c r="B39" s="7" t="s">
        <v>406</v>
      </c>
      <c r="C39" s="109" t="s">
        <v>188</v>
      </c>
      <c r="D39" s="48">
        <v>40</v>
      </c>
      <c r="E39" s="48">
        <v>25</v>
      </c>
      <c r="F39" s="48">
        <v>53.332999999999998</v>
      </c>
      <c r="G39" s="110">
        <f>+VLOOKUP(Tabla1103453454455456479108109114[[#This Row],[Ingrediente]],Tabla34[#All],3,0)</f>
        <v>14</v>
      </c>
      <c r="H39" s="111">
        <f>+Tabla1103453454455456479108109114[[#This Row],[Costo]]*Tabla1103453454455456479108109114[[#This Row],[Unidades]]</f>
        <v>746.66200000000003</v>
      </c>
      <c r="I39" s="4"/>
      <c r="J39" s="5" t="s">
        <v>9</v>
      </c>
      <c r="K39" s="6">
        <f>+K37+K38</f>
        <v>11845.561215389998</v>
      </c>
    </row>
    <row r="40" spans="2:11" x14ac:dyDescent="0.3">
      <c r="B40" s="21" t="s">
        <v>512</v>
      </c>
      <c r="C40" s="109" t="s">
        <v>188</v>
      </c>
      <c r="D40" s="48">
        <v>20</v>
      </c>
      <c r="E40" s="48">
        <v>0</v>
      </c>
      <c r="F40" s="48">
        <v>20</v>
      </c>
      <c r="G40" s="110">
        <f>+VLOOKUP(Tabla1103453454455456479108109114[[#This Row],[Ingrediente]],Tabla34[#All],3,0)</f>
        <v>9.7905400900000004</v>
      </c>
      <c r="H40" s="111">
        <f>+Tabla1103453454455456479108109114[[#This Row],[Costo]]*Tabla1103453454455456479108109114[[#This Row],[Unidades]]</f>
        <v>195.81080180000001</v>
      </c>
      <c r="I40" s="4"/>
      <c r="J40" s="17" t="s">
        <v>10</v>
      </c>
      <c r="K40" s="112">
        <v>49000</v>
      </c>
    </row>
    <row r="41" spans="2:11" x14ac:dyDescent="0.3">
      <c r="B41" s="21" t="s">
        <v>387</v>
      </c>
      <c r="C41" s="109" t="s">
        <v>570</v>
      </c>
      <c r="D41" s="48">
        <v>1</v>
      </c>
      <c r="E41" s="48">
        <v>0</v>
      </c>
      <c r="F41" s="48">
        <v>1</v>
      </c>
      <c r="G41" s="110">
        <f>+VLOOKUP(Tabla1103453454455456479108109114[[#This Row],[Ingrediente]],Tabla34[#All],3,0)</f>
        <v>8755</v>
      </c>
      <c r="H41" s="111">
        <f>+Tabla1103453454455456479108109114[[#This Row],[Costo]]*Tabla1103453454455456479108109114[[#This Row],[Unidades]]</f>
        <v>8755</v>
      </c>
      <c r="I41" s="4"/>
      <c r="J41" s="5" t="s">
        <v>11</v>
      </c>
      <c r="K41" s="6">
        <f>+K40/1.08*0.08</f>
        <v>3629.6296296296291</v>
      </c>
    </row>
    <row r="42" spans="2:11" x14ac:dyDescent="0.3">
      <c r="B42" s="7" t="s">
        <v>226</v>
      </c>
      <c r="C42" s="109" t="s">
        <v>188</v>
      </c>
      <c r="D42" s="48">
        <v>10</v>
      </c>
      <c r="E42" s="48">
        <v>0</v>
      </c>
      <c r="F42" s="48">
        <v>10</v>
      </c>
      <c r="G42" s="110">
        <f>+VLOOKUP(Tabla1103453454455456479108109114[[#This Row],[Ingrediente]],Tabla34[#All],3,0)</f>
        <v>10.179495380000001</v>
      </c>
      <c r="H42" s="111">
        <f>+Tabla1103453454455456479108109114[[#This Row],[Costo]]*Tabla1103453454455456479108109114[[#This Row],[Unidades]]</f>
        <v>101.7949538</v>
      </c>
      <c r="I42" s="4"/>
      <c r="J42" s="5" t="s">
        <v>12</v>
      </c>
      <c r="K42" s="6">
        <f>+K40-K41</f>
        <v>45370.370370370372</v>
      </c>
    </row>
    <row r="43" spans="2:11" x14ac:dyDescent="0.3">
      <c r="B43" s="7" t="s">
        <v>681</v>
      </c>
      <c r="C43" s="109" t="s">
        <v>188</v>
      </c>
      <c r="D43" s="48">
        <v>30</v>
      </c>
      <c r="E43" s="48">
        <v>0</v>
      </c>
      <c r="F43" s="48">
        <v>30</v>
      </c>
      <c r="G43" s="110">
        <f>+VLOOKUP(Tabla1103453454455456479108109114[[#This Row],[Ingrediente]],Tabla34[#All],3,0)</f>
        <v>22.545488500000001</v>
      </c>
      <c r="H43" s="111">
        <f>+Tabla1103453454455456479108109114[[#This Row],[Costo]]*Tabla1103453454455456479108109114[[#This Row],[Unidades]]</f>
        <v>676.36465500000008</v>
      </c>
      <c r="I43" s="24"/>
      <c r="J43" s="5" t="s">
        <v>13</v>
      </c>
      <c r="K43" s="113">
        <f>+K39/K42</f>
        <v>0.26108583903308569</v>
      </c>
    </row>
    <row r="44" spans="2:11" x14ac:dyDescent="0.3">
      <c r="B44" s="7" t="s">
        <v>398</v>
      </c>
      <c r="C44" s="109" t="s">
        <v>188</v>
      </c>
      <c r="D44" s="48">
        <v>8</v>
      </c>
      <c r="E44" s="48">
        <v>20</v>
      </c>
      <c r="F44" s="48">
        <v>10</v>
      </c>
      <c r="G44" s="110">
        <f>+VLOOKUP(Tabla1103453454455456479108109114[[#This Row],[Ingrediente]],Tabla34[#All],3,0)</f>
        <v>3.7999999999999994</v>
      </c>
      <c r="H44" s="111">
        <f>+Tabla1103453454455456479108109114[[#This Row],[Costo]]*Tabla1103453454455456479108109114[[#This Row],[Unidades]]</f>
        <v>37.999999999999993</v>
      </c>
      <c r="J44" s="5" t="s">
        <v>14</v>
      </c>
      <c r="K44" s="20">
        <f>+K42-K39</f>
        <v>33524.809154980372</v>
      </c>
    </row>
    <row r="45" spans="2:11" x14ac:dyDescent="0.3">
      <c r="B45" s="7" t="s">
        <v>446</v>
      </c>
      <c r="C45" s="109" t="s">
        <v>188</v>
      </c>
      <c r="D45" s="48">
        <v>2</v>
      </c>
      <c r="E45" s="48">
        <v>40</v>
      </c>
      <c r="F45" s="48">
        <v>3.3330000000000002</v>
      </c>
      <c r="G45" s="110">
        <f>+VLOOKUP(Tabla1103453454455456479108109114[[#This Row],[Ingrediente]],Tabla34[#All],3,0)</f>
        <v>5.5</v>
      </c>
      <c r="H45" s="111">
        <f>+Tabla1103453454455456479108109114[[#This Row],[Costo]]*Tabla1103453454455456479108109114[[#This Row],[Unidades]]</f>
        <v>18.331500000000002</v>
      </c>
      <c r="J45" s="5" t="s">
        <v>15</v>
      </c>
      <c r="K45" s="22">
        <f>+K44/K39</f>
        <v>2.8301579423205587</v>
      </c>
    </row>
    <row r="46" spans="2:11" x14ac:dyDescent="0.3">
      <c r="B46" s="7" t="s">
        <v>470</v>
      </c>
      <c r="C46" s="109" t="s">
        <v>188</v>
      </c>
      <c r="D46" s="48">
        <v>5</v>
      </c>
      <c r="E46" s="48">
        <v>5</v>
      </c>
      <c r="F46" s="48">
        <v>5.2629999999999999</v>
      </c>
      <c r="G46" s="110">
        <f>+VLOOKUP(Tabla1103453454455456479108109114[[#This Row],[Ingrediente]],Tabla34[#All],3,0)</f>
        <v>8</v>
      </c>
      <c r="H46" s="111">
        <f>+Tabla1103453454455456479108109114[[#This Row],[Costo]]*Tabla1103453454455456479108109114[[#This Row],[Unidades]]</f>
        <v>42.103999999999999</v>
      </c>
      <c r="J46" s="4"/>
      <c r="K46" s="29"/>
    </row>
    <row r="47" spans="2:11" x14ac:dyDescent="0.3">
      <c r="B47" s="13"/>
      <c r="C47" s="14"/>
      <c r="D47" s="14"/>
      <c r="E47" s="14"/>
      <c r="F47" s="14"/>
      <c r="G47" s="15"/>
      <c r="H47" s="15">
        <f>SUBTOTAL(109,Tabla1103453454455456479108109114[Total costo])</f>
        <v>11281.486871799998</v>
      </c>
      <c r="J47" s="4"/>
      <c r="K47" s="29"/>
    </row>
    <row r="48" spans="2:11" x14ac:dyDescent="0.3">
      <c r="G48" s="4"/>
      <c r="J48" s="4"/>
      <c r="K48" s="29"/>
    </row>
    <row r="49" spans="2:11" x14ac:dyDescent="0.3">
      <c r="G49" s="4"/>
      <c r="J49" s="4"/>
      <c r="K49" s="29"/>
    </row>
    <row r="50" spans="2:11" x14ac:dyDescent="0.3">
      <c r="G50" s="4"/>
      <c r="J50" s="4"/>
      <c r="K50" s="29"/>
    </row>
    <row r="51" spans="2:11" x14ac:dyDescent="0.3">
      <c r="G51" s="4"/>
      <c r="J51" s="4"/>
      <c r="K51" s="29"/>
    </row>
    <row r="52" spans="2:11" x14ac:dyDescent="0.3">
      <c r="G52" s="4"/>
    </row>
    <row r="53" spans="2:11" x14ac:dyDescent="0.3">
      <c r="B53" s="89" t="s">
        <v>117</v>
      </c>
      <c r="C53" s="90"/>
      <c r="D53" s="90"/>
      <c r="E53" s="90"/>
      <c r="F53" s="90"/>
      <c r="G53" s="90"/>
      <c r="H53" s="90"/>
      <c r="J53" s="277" t="s">
        <v>0</v>
      </c>
      <c r="K53" s="277"/>
    </row>
    <row r="54" spans="2:11" x14ac:dyDescent="0.3">
      <c r="B54" s="91" t="s">
        <v>1</v>
      </c>
      <c r="C54" s="14" t="s">
        <v>2</v>
      </c>
      <c r="D54" s="14" t="s">
        <v>571</v>
      </c>
      <c r="E54" s="14" t="s">
        <v>572</v>
      </c>
      <c r="F54" s="14" t="s">
        <v>573</v>
      </c>
      <c r="G54" s="92" t="s">
        <v>4</v>
      </c>
      <c r="H54" s="92" t="s">
        <v>5</v>
      </c>
      <c r="J54" s="5" t="s">
        <v>6</v>
      </c>
      <c r="K54" s="6">
        <f>SUM(Tabla1103453454455456479108109116[Total costo])</f>
        <v>28766.96755695</v>
      </c>
    </row>
    <row r="55" spans="2:11" x14ac:dyDescent="0.3">
      <c r="B55" s="83" t="s">
        <v>38</v>
      </c>
      <c r="C55" s="139" t="s">
        <v>188</v>
      </c>
      <c r="D55" s="48">
        <v>30</v>
      </c>
      <c r="E55" s="48">
        <v>0</v>
      </c>
      <c r="F55" s="48">
        <v>30</v>
      </c>
      <c r="G55" s="110">
        <f>+VLOOKUP(Tabla1103453454455456479108109116[[#This Row],[Ingrediente]],Tabla34[#All],3,0)</f>
        <v>18.859000000000002</v>
      </c>
      <c r="H55" s="111">
        <f>+Tabla1103453454455456479108109116[[#This Row],[Costo]]*Tabla1103453454455456479108109116[[#This Row],[Unidades]]</f>
        <v>565.7700000000001</v>
      </c>
      <c r="J55" s="5" t="s">
        <v>113</v>
      </c>
      <c r="K55" s="6">
        <f>+K54*5%</f>
        <v>1438.3483778475002</v>
      </c>
    </row>
    <row r="56" spans="2:11" x14ac:dyDescent="0.3">
      <c r="B56" s="84" t="s">
        <v>458</v>
      </c>
      <c r="C56" s="139" t="s">
        <v>188</v>
      </c>
      <c r="D56" s="48">
        <v>60</v>
      </c>
      <c r="E56" s="48">
        <v>0</v>
      </c>
      <c r="F56" s="48">
        <v>60</v>
      </c>
      <c r="G56" s="110">
        <f>+VLOOKUP(Tabla1103453454455456479108109116[[#This Row],[Ingrediente]],Tabla34[#All],3,0)</f>
        <v>5</v>
      </c>
      <c r="H56" s="111">
        <f>+Tabla1103453454455456479108109116[[#This Row],[Costo]]*Tabla1103453454455456479108109116[[#This Row],[Unidades]]</f>
        <v>300</v>
      </c>
      <c r="I56" s="4"/>
      <c r="J56" s="5" t="s">
        <v>9</v>
      </c>
      <c r="K56" s="6">
        <f>+K54+K55</f>
        <v>30205.315934797502</v>
      </c>
    </row>
    <row r="57" spans="2:11" x14ac:dyDescent="0.3">
      <c r="B57" s="84" t="s">
        <v>565</v>
      </c>
      <c r="C57" s="139" t="s">
        <v>188</v>
      </c>
      <c r="D57" s="48">
        <v>40</v>
      </c>
      <c r="E57" s="48">
        <v>0</v>
      </c>
      <c r="F57" s="48">
        <v>40</v>
      </c>
      <c r="G57" s="110">
        <f>+VLOOKUP(Tabla1103453454455456479108109116[[#This Row],[Ingrediente]],Tabla34[#All],3,0)</f>
        <v>64.196281729999995</v>
      </c>
      <c r="H57" s="111">
        <f>+Tabla1103453454455456479108109116[[#This Row],[Costo]]*Tabla1103453454455456479108109116[[#This Row],[Unidades]]</f>
        <v>2567.8512691999999</v>
      </c>
      <c r="I57" s="4"/>
      <c r="J57" s="17" t="s">
        <v>10</v>
      </c>
      <c r="K57" s="112">
        <v>99000</v>
      </c>
    </row>
    <row r="58" spans="2:11" x14ac:dyDescent="0.3">
      <c r="B58" s="84" t="s">
        <v>74</v>
      </c>
      <c r="C58" s="139" t="s">
        <v>188</v>
      </c>
      <c r="D58" s="48">
        <v>30</v>
      </c>
      <c r="E58" s="48">
        <v>0</v>
      </c>
      <c r="F58" s="48">
        <v>30</v>
      </c>
      <c r="G58" s="110">
        <f>+VLOOKUP(Tabla1103453454455456479108109116[[#This Row],[Ingrediente]],Tabla34[#All],3,0)</f>
        <v>12.25316591</v>
      </c>
      <c r="H58" s="111">
        <f>+Tabla1103453454455456479108109116[[#This Row],[Costo]]*Tabla1103453454455456479108109116[[#This Row],[Unidades]]</f>
        <v>367.59497729999998</v>
      </c>
      <c r="I58" s="4"/>
      <c r="J58" s="5" t="s">
        <v>11</v>
      </c>
      <c r="K58" s="6">
        <f>+K57/1.08*0.08</f>
        <v>7333.333333333333</v>
      </c>
    </row>
    <row r="59" spans="2:11" x14ac:dyDescent="0.3">
      <c r="B59" s="83" t="s">
        <v>363</v>
      </c>
      <c r="C59" s="139" t="s">
        <v>570</v>
      </c>
      <c r="D59" s="48">
        <v>1</v>
      </c>
      <c r="E59" s="48">
        <v>0</v>
      </c>
      <c r="F59" s="48">
        <v>1</v>
      </c>
      <c r="G59" s="110">
        <f>+VLOOKUP(Tabla1103453454455456479108109116[[#This Row],[Ingrediente]],Tabla34[#All],3,0)</f>
        <v>20955.187312270002</v>
      </c>
      <c r="H59" s="111">
        <f>+Tabla1103453454455456479108109116[[#This Row],[Costo]]*Tabla1103453454455456479108109116[[#This Row],[Unidades]]</f>
        <v>20955.187312270002</v>
      </c>
      <c r="I59" s="4"/>
      <c r="J59" s="5" t="s">
        <v>12</v>
      </c>
      <c r="K59" s="6">
        <f>+K57-K58</f>
        <v>91666.666666666672</v>
      </c>
    </row>
    <row r="60" spans="2:11" x14ac:dyDescent="0.3">
      <c r="B60" s="84" t="s">
        <v>417</v>
      </c>
      <c r="C60" s="139" t="s">
        <v>188</v>
      </c>
      <c r="D60" s="48">
        <v>100</v>
      </c>
      <c r="E60" s="48">
        <v>0</v>
      </c>
      <c r="F60" s="48">
        <v>100</v>
      </c>
      <c r="G60" s="110">
        <f>+VLOOKUP(Tabla1103453454455456479108109116[[#This Row],[Ingrediente]],Tabla34[#All],3,0)</f>
        <v>27</v>
      </c>
      <c r="H60" s="111">
        <f>+Tabla1103453454455456479108109116[[#This Row],[Costo]]*Tabla1103453454455456479108109116[[#This Row],[Unidades]]</f>
        <v>2700</v>
      </c>
      <c r="I60" s="4"/>
      <c r="J60" s="5" t="s">
        <v>13</v>
      </c>
      <c r="K60" s="113">
        <f>+K56/K59</f>
        <v>0.32951253747051817</v>
      </c>
    </row>
    <row r="61" spans="2:11" x14ac:dyDescent="0.3">
      <c r="B61" s="84" t="s">
        <v>398</v>
      </c>
      <c r="C61" s="139" t="s">
        <v>188</v>
      </c>
      <c r="D61" s="48">
        <v>60</v>
      </c>
      <c r="E61" s="48">
        <v>30</v>
      </c>
      <c r="F61" s="48">
        <v>85.713999999999999</v>
      </c>
      <c r="G61" s="110">
        <f>+VLOOKUP(Tabla1103453454455456479108109116[[#This Row],[Ingrediente]],Tabla34[#All],3,0)</f>
        <v>3.7999999999999994</v>
      </c>
      <c r="H61" s="111">
        <f>+Tabla1103453454455456479108109116[[#This Row],[Costo]]*Tabla1103453454455456479108109116[[#This Row],[Unidades]]</f>
        <v>325.71319999999992</v>
      </c>
      <c r="I61" s="4"/>
      <c r="J61" s="5" t="s">
        <v>14</v>
      </c>
      <c r="K61" s="20">
        <f>+K59-K56</f>
        <v>61461.35073186917</v>
      </c>
    </row>
    <row r="62" spans="2:11" x14ac:dyDescent="0.3">
      <c r="B62" s="83" t="s">
        <v>482</v>
      </c>
      <c r="C62" s="139" t="s">
        <v>188</v>
      </c>
      <c r="D62" s="48">
        <v>2</v>
      </c>
      <c r="E62" s="48">
        <v>0</v>
      </c>
      <c r="F62" s="48">
        <v>2</v>
      </c>
      <c r="G62" s="110">
        <f>+VLOOKUP(Tabla1103453454455456479108109116[[#This Row],[Ingrediente]],Tabla34[#All],3,0)</f>
        <v>2.6999075600000002</v>
      </c>
      <c r="H62" s="111">
        <f>+Tabla1103453454455456479108109116[[#This Row],[Costo]]*Tabla1103453454455456479108109116[[#This Row],[Unidades]]</f>
        <v>5.3998151200000004</v>
      </c>
      <c r="I62" s="4"/>
      <c r="J62" s="5" t="s">
        <v>15</v>
      </c>
      <c r="K62" s="22">
        <f>+K61/K56</f>
        <v>2.0347858921436974</v>
      </c>
    </row>
    <row r="63" spans="2:11" x14ac:dyDescent="0.3">
      <c r="B63" s="83" t="s">
        <v>442</v>
      </c>
      <c r="C63" s="139" t="s">
        <v>188</v>
      </c>
      <c r="D63" s="48">
        <v>2</v>
      </c>
      <c r="E63" s="48">
        <v>0</v>
      </c>
      <c r="F63" s="48">
        <v>2</v>
      </c>
      <c r="G63" s="110">
        <f>+VLOOKUP(Tabla1103453454455456479108109116[[#This Row],[Ingrediente]],Tabla34[#All],3,0)</f>
        <v>20.111000000000001</v>
      </c>
      <c r="H63" s="111">
        <f>+Tabla1103453454455456479108109116[[#This Row],[Costo]]*Tabla1103453454455456479108109116[[#This Row],[Unidades]]</f>
        <v>40.222000000000001</v>
      </c>
      <c r="I63" s="4"/>
      <c r="J63" s="4"/>
      <c r="K63" s="114"/>
    </row>
    <row r="64" spans="2:11" x14ac:dyDescent="0.3">
      <c r="B64" s="84" t="s">
        <v>443</v>
      </c>
      <c r="C64" s="139" t="s">
        <v>188</v>
      </c>
      <c r="D64" s="48">
        <v>2</v>
      </c>
      <c r="E64" s="48">
        <v>0</v>
      </c>
      <c r="F64" s="48">
        <v>2</v>
      </c>
      <c r="G64" s="110">
        <f>+VLOOKUP(Tabla1103453454455456479108109116[[#This Row],[Ingrediente]],Tabla34[#All],3,0)</f>
        <v>94.613741530000013</v>
      </c>
      <c r="H64" s="111">
        <f>+Tabla1103453454455456479108109116[[#This Row],[Costo]]*Tabla1103453454455456479108109116[[#This Row],[Unidades]]</f>
        <v>189.22748306000003</v>
      </c>
      <c r="I64" s="4"/>
    </row>
    <row r="65" spans="2:11" x14ac:dyDescent="0.3">
      <c r="B65" s="83" t="s">
        <v>384</v>
      </c>
      <c r="C65" s="139" t="s">
        <v>188</v>
      </c>
      <c r="D65" s="48">
        <v>150</v>
      </c>
      <c r="E65" s="48">
        <v>10</v>
      </c>
      <c r="F65" s="48">
        <v>166.667</v>
      </c>
      <c r="G65" s="110">
        <f>+VLOOKUP(Tabla1103453454455456479108109116[[#This Row],[Ingrediente]],Tabla34[#All],3,0)</f>
        <v>4.5</v>
      </c>
      <c r="H65" s="111">
        <f>+Tabla1103453454455456479108109116[[#This Row],[Costo]]*Tabla1103453454455456479108109116[[#This Row],[Unidades]]</f>
        <v>750.00149999999996</v>
      </c>
    </row>
    <row r="66" spans="2:11" x14ac:dyDescent="0.3">
      <c r="B66" s="13"/>
      <c r="C66" s="14"/>
      <c r="D66" s="14"/>
      <c r="E66" s="14"/>
      <c r="F66" s="14"/>
      <c r="G66" s="15"/>
      <c r="H66" s="15">
        <f>SUBTOTAL(109,Tabla1103453454455456479108109116[Total costo])</f>
        <v>28766.96755695</v>
      </c>
    </row>
    <row r="69" spans="2:11" x14ac:dyDescent="0.3">
      <c r="B69" s="89" t="s">
        <v>118</v>
      </c>
      <c r="C69" s="90"/>
      <c r="D69" s="90"/>
      <c r="E69" s="90"/>
      <c r="F69" s="90"/>
      <c r="G69" s="90"/>
      <c r="H69" s="90"/>
      <c r="J69" s="277" t="s">
        <v>0</v>
      </c>
      <c r="K69" s="277"/>
    </row>
    <row r="70" spans="2:11" x14ac:dyDescent="0.3">
      <c r="B70" s="91" t="s">
        <v>1</v>
      </c>
      <c r="C70" s="14" t="s">
        <v>2</v>
      </c>
      <c r="D70" s="14" t="s">
        <v>571</v>
      </c>
      <c r="E70" s="14" t="s">
        <v>572</v>
      </c>
      <c r="F70" s="14" t="s">
        <v>573</v>
      </c>
      <c r="G70" s="92" t="s">
        <v>4</v>
      </c>
      <c r="H70" s="92" t="s">
        <v>5</v>
      </c>
      <c r="J70" s="94" t="s">
        <v>6</v>
      </c>
      <c r="K70" s="95">
        <f>SUM(Tabla1103453454455456479108109117[Total costo])</f>
        <v>11004.881326050001</v>
      </c>
    </row>
    <row r="71" spans="2:11" x14ac:dyDescent="0.3">
      <c r="B71" s="21" t="s">
        <v>368</v>
      </c>
      <c r="C71" s="109" t="s">
        <v>188</v>
      </c>
      <c r="D71" s="48">
        <v>90</v>
      </c>
      <c r="E71" s="48">
        <v>10</v>
      </c>
      <c r="F71" s="48">
        <v>100</v>
      </c>
      <c r="G71" s="110">
        <f>+VLOOKUP(Tabla1103453454455456479108109117[[#This Row],[Ingrediente]],Tabla34[#All],3,0)</f>
        <v>37</v>
      </c>
      <c r="H71" s="111">
        <f>+Tabla1103453454455456479108109117[[#This Row],[Costo]]*Tabla1103453454455456479108109117[[#This Row],[Unidades]]</f>
        <v>3700</v>
      </c>
      <c r="J71" s="5" t="s">
        <v>113</v>
      </c>
      <c r="K71" s="6">
        <f>+K70*5%</f>
        <v>550.24406630250007</v>
      </c>
    </row>
    <row r="72" spans="2:11" s="96" customFormat="1" x14ac:dyDescent="0.25">
      <c r="B72" s="21" t="s">
        <v>80</v>
      </c>
      <c r="C72" s="109" t="s">
        <v>188</v>
      </c>
      <c r="D72" s="48">
        <v>10</v>
      </c>
      <c r="E72" s="48">
        <v>0</v>
      </c>
      <c r="F72" s="48">
        <v>10</v>
      </c>
      <c r="G72" s="110">
        <f>+VLOOKUP(Tabla1103453454455456479108109117[[#This Row],[Ingrediente]],Tabla34[#All],3,0)</f>
        <v>18</v>
      </c>
      <c r="H72" s="111">
        <f>+Tabla1103453454455456479108109117[[#This Row],[Costo]]*Tabla1103453454455456479108109117[[#This Row],[Unidades]]</f>
        <v>180</v>
      </c>
      <c r="I72" s="93"/>
      <c r="J72" s="5" t="s">
        <v>9</v>
      </c>
      <c r="K72" s="6">
        <f>+K70+K71</f>
        <v>11555.125392352502</v>
      </c>
    </row>
    <row r="73" spans="2:11" x14ac:dyDescent="0.3">
      <c r="B73" s="7" t="s">
        <v>406</v>
      </c>
      <c r="C73" s="109" t="s">
        <v>188</v>
      </c>
      <c r="D73" s="48">
        <v>30</v>
      </c>
      <c r="E73" s="48">
        <v>25</v>
      </c>
      <c r="F73" s="48">
        <v>40</v>
      </c>
      <c r="G73" s="110">
        <f>+VLOOKUP(Tabla1103453454455456479108109117[[#This Row],[Ingrediente]],Tabla34[#All],3,0)</f>
        <v>14</v>
      </c>
      <c r="H73" s="111">
        <f>+Tabla1103453454455456479108109117[[#This Row],[Costo]]*Tabla1103453454455456479108109117[[#This Row],[Unidades]]</f>
        <v>560</v>
      </c>
      <c r="I73" s="4"/>
      <c r="J73" s="17" t="s">
        <v>10</v>
      </c>
      <c r="K73" s="112">
        <v>42000</v>
      </c>
    </row>
    <row r="74" spans="2:11" x14ac:dyDescent="0.3">
      <c r="B74" s="7" t="s">
        <v>101</v>
      </c>
      <c r="C74" s="109" t="s">
        <v>188</v>
      </c>
      <c r="D74" s="48">
        <v>45</v>
      </c>
      <c r="E74" s="48">
        <v>0</v>
      </c>
      <c r="F74" s="48">
        <v>45</v>
      </c>
      <c r="G74" s="110">
        <f>+VLOOKUP(Tabla1103453454455456479108109117[[#This Row],[Ingrediente]],Tabla34[#All],3,0)</f>
        <v>113.58938843</v>
      </c>
      <c r="H74" s="111">
        <f>+Tabla1103453454455456479108109117[[#This Row],[Costo]]*Tabla1103453454455456479108109117[[#This Row],[Unidades]]</f>
        <v>5111.5224793500001</v>
      </c>
      <c r="I74" s="4"/>
      <c r="J74" s="5" t="s">
        <v>11</v>
      </c>
      <c r="K74" s="6">
        <f>+K73/1.08*0.08</f>
        <v>3111.1111111111109</v>
      </c>
    </row>
    <row r="75" spans="2:11" x14ac:dyDescent="0.3">
      <c r="B75" s="7" t="s">
        <v>76</v>
      </c>
      <c r="C75" s="109" t="s">
        <v>188</v>
      </c>
      <c r="D75" s="48">
        <v>5</v>
      </c>
      <c r="E75" s="48">
        <v>0</v>
      </c>
      <c r="F75" s="48">
        <v>5</v>
      </c>
      <c r="G75" s="110">
        <f>+VLOOKUP(Tabla1103453454455456479108109117[[#This Row],[Ingrediente]],Tabla34[#All],3,0)</f>
        <v>8.4791596800000004</v>
      </c>
      <c r="H75" s="111">
        <f>+Tabla1103453454455456479108109117[[#This Row],[Costo]]*Tabla1103453454455456479108109117[[#This Row],[Unidades]]</f>
        <v>42.395798400000004</v>
      </c>
      <c r="I75" s="4"/>
      <c r="J75" s="5" t="s">
        <v>12</v>
      </c>
      <c r="K75" s="6">
        <f>+K73-K74</f>
        <v>38888.888888888891</v>
      </c>
    </row>
    <row r="76" spans="2:11" x14ac:dyDescent="0.3">
      <c r="B76" s="7" t="s">
        <v>480</v>
      </c>
      <c r="C76" s="109" t="s">
        <v>188</v>
      </c>
      <c r="D76" s="48">
        <v>1</v>
      </c>
      <c r="E76" s="48">
        <v>0</v>
      </c>
      <c r="F76" s="48">
        <v>1</v>
      </c>
      <c r="G76" s="110">
        <f>+VLOOKUP(Tabla1103453454455456479108109117[[#This Row],[Ingrediente]],Tabla34[#All],3,0)</f>
        <v>328.34</v>
      </c>
      <c r="H76" s="111">
        <f>+Tabla1103453454455456479108109117[[#This Row],[Costo]]*Tabla1103453454455456479108109117[[#This Row],[Unidades]]</f>
        <v>328.34</v>
      </c>
      <c r="I76" s="4"/>
      <c r="J76" s="5" t="s">
        <v>13</v>
      </c>
      <c r="K76" s="113">
        <f>+K72/K75</f>
        <v>0.29713179580335003</v>
      </c>
    </row>
    <row r="77" spans="2:11" x14ac:dyDescent="0.3">
      <c r="B77" s="21" t="s">
        <v>654</v>
      </c>
      <c r="C77" s="109" t="s">
        <v>188</v>
      </c>
      <c r="D77" s="48">
        <v>30</v>
      </c>
      <c r="E77" s="48">
        <v>0</v>
      </c>
      <c r="F77" s="48">
        <v>30</v>
      </c>
      <c r="G77" s="110">
        <f>+VLOOKUP(Tabla1103453454455456479108109117[[#This Row],[Ingrediente]],Tabla34[#All],3,0)</f>
        <v>28.148148150000001</v>
      </c>
      <c r="H77" s="111">
        <f>+Tabla1103453454455456479108109117[[#This Row],[Costo]]*Tabla1103453454455456479108109117[[#This Row],[Unidades]]</f>
        <v>844.44444450000003</v>
      </c>
      <c r="I77" s="4"/>
      <c r="J77" s="5" t="s">
        <v>14</v>
      </c>
      <c r="K77" s="20">
        <f>+K75-K72</f>
        <v>27333.76349653639</v>
      </c>
    </row>
    <row r="78" spans="2:11" x14ac:dyDescent="0.3">
      <c r="B78" s="21" t="s">
        <v>662</v>
      </c>
      <c r="C78" s="109" t="s">
        <v>188</v>
      </c>
      <c r="D78" s="48">
        <v>20</v>
      </c>
      <c r="E78" s="48">
        <v>0</v>
      </c>
      <c r="F78" s="48">
        <v>20</v>
      </c>
      <c r="G78" s="110">
        <f>+VLOOKUP(Tabla1103453454455456479108109117[[#This Row],[Ingrediente]],Tabla34[#All],3,0)</f>
        <v>11.90893019</v>
      </c>
      <c r="H78" s="111">
        <f>+Tabla1103453454455456479108109117[[#This Row],[Costo]]*Tabla1103453454455456479108109117[[#This Row],[Unidades]]</f>
        <v>238.17860379999999</v>
      </c>
      <c r="I78" s="4"/>
      <c r="J78" s="5" t="s">
        <v>15</v>
      </c>
      <c r="K78" s="22">
        <f>+K77/K72</f>
        <v>2.3655098987178991</v>
      </c>
    </row>
    <row r="79" spans="2:11" x14ac:dyDescent="0.3">
      <c r="B79" s="13"/>
      <c r="C79" s="14"/>
      <c r="D79" s="14"/>
      <c r="E79" s="14"/>
      <c r="F79" s="14"/>
      <c r="G79" s="15"/>
      <c r="H79" s="15">
        <f>SUBTOTAL(109,Tabla1103453454455456479108109117[Total costo])</f>
        <v>11004.881326050001</v>
      </c>
    </row>
    <row r="81" spans="2:12" x14ac:dyDescent="0.3">
      <c r="G81" s="4"/>
    </row>
    <row r="82" spans="2:12" x14ac:dyDescent="0.3">
      <c r="B82" s="89" t="s">
        <v>901</v>
      </c>
      <c r="C82" s="90"/>
      <c r="D82" s="90"/>
      <c r="E82" s="90"/>
      <c r="F82" s="90"/>
      <c r="G82" s="90"/>
      <c r="H82" s="90"/>
      <c r="J82" s="277" t="s">
        <v>0</v>
      </c>
      <c r="K82" s="277"/>
      <c r="L82" s="44"/>
    </row>
    <row r="83" spans="2:12" x14ac:dyDescent="0.3">
      <c r="B83" s="91" t="s">
        <v>1</v>
      </c>
      <c r="C83" s="14" t="s">
        <v>2</v>
      </c>
      <c r="D83" s="14" t="s">
        <v>571</v>
      </c>
      <c r="E83" s="14" t="s">
        <v>572</v>
      </c>
      <c r="F83" s="14" t="s">
        <v>573</v>
      </c>
      <c r="G83" s="92" t="s">
        <v>4</v>
      </c>
      <c r="H83" s="92" t="s">
        <v>5</v>
      </c>
      <c r="J83" s="5" t="s">
        <v>6</v>
      </c>
      <c r="K83" s="6">
        <f>SUM(Tabla1103453454455456479108109117119120[Total costo])</f>
        <v>9600.6059515800007</v>
      </c>
    </row>
    <row r="84" spans="2:12" x14ac:dyDescent="0.3">
      <c r="B84" s="7" t="s">
        <v>399</v>
      </c>
      <c r="C84" s="109" t="s">
        <v>570</v>
      </c>
      <c r="D84" s="48">
        <v>3</v>
      </c>
      <c r="E84" s="48">
        <v>0</v>
      </c>
      <c r="F84" s="48">
        <v>3</v>
      </c>
      <c r="G84" s="110">
        <f>+VLOOKUP(Tabla1103453454455456479108109117119120[[#This Row],[Ingrediente]],Tabla34[#All],3,0)</f>
        <v>1768.50143587</v>
      </c>
      <c r="H84" s="111">
        <f>+Tabla1103453454455456479108109117119120[[#This Row],[Costo]]*Tabla1103453454455456479108109117119120[[#This Row],[Unidades]]</f>
        <v>5305.5043076100001</v>
      </c>
      <c r="J84" s="5" t="s">
        <v>113</v>
      </c>
      <c r="K84" s="6">
        <f>+K83*5%</f>
        <v>480.03029757900003</v>
      </c>
    </row>
    <row r="85" spans="2:12" x14ac:dyDescent="0.3">
      <c r="B85" s="7" t="s">
        <v>480</v>
      </c>
      <c r="C85" s="109" t="s">
        <v>188</v>
      </c>
      <c r="D85" s="48">
        <v>1</v>
      </c>
      <c r="E85" s="48">
        <v>0</v>
      </c>
      <c r="F85" s="48">
        <v>1</v>
      </c>
      <c r="G85" s="110">
        <f>+VLOOKUP(Tabla1103453454455456479108109117119120[[#This Row],[Ingrediente]],Tabla34[#All],3,0)</f>
        <v>328.34</v>
      </c>
      <c r="H85" s="111">
        <f>+Tabla1103453454455456479108109117119120[[#This Row],[Costo]]*Tabla1103453454455456479108109117119120[[#This Row],[Unidades]]</f>
        <v>328.34</v>
      </c>
      <c r="I85" s="4"/>
      <c r="J85" s="5" t="s">
        <v>9</v>
      </c>
      <c r="K85" s="6">
        <f>+K83+K84</f>
        <v>10080.636249159001</v>
      </c>
    </row>
    <row r="86" spans="2:12" x14ac:dyDescent="0.3">
      <c r="B86" s="21" t="s">
        <v>74</v>
      </c>
      <c r="C86" s="109" t="s">
        <v>188</v>
      </c>
      <c r="D86" s="48">
        <v>30</v>
      </c>
      <c r="E86" s="48">
        <v>0</v>
      </c>
      <c r="F86" s="48">
        <v>30</v>
      </c>
      <c r="G86" s="110">
        <f>+VLOOKUP(Tabla1103453454455456479108109117119120[[#This Row],[Ingrediente]],Tabla34[#All],3,0)</f>
        <v>12.25316591</v>
      </c>
      <c r="H86" s="111">
        <f>+Tabla1103453454455456479108109117119120[[#This Row],[Costo]]*Tabla1103453454455456479108109117119120[[#This Row],[Unidades]]</f>
        <v>367.59497729999998</v>
      </c>
      <c r="I86" s="4"/>
      <c r="J86" s="17" t="s">
        <v>10</v>
      </c>
      <c r="K86" s="112">
        <v>32000</v>
      </c>
    </row>
    <row r="87" spans="2:12" x14ac:dyDescent="0.3">
      <c r="B87" s="21" t="s">
        <v>455</v>
      </c>
      <c r="C87" s="109" t="s">
        <v>188</v>
      </c>
      <c r="D87" s="48">
        <v>1</v>
      </c>
      <c r="E87" s="48">
        <v>0</v>
      </c>
      <c r="F87" s="48">
        <v>1</v>
      </c>
      <c r="G87" s="110">
        <f>+VLOOKUP(Tabla1103453454455456479108109117119120[[#This Row],[Ingrediente]],Tabla34[#All],3,0)</f>
        <v>99.166666669999998</v>
      </c>
      <c r="H87" s="111">
        <f>+Tabla1103453454455456479108109117119120[[#This Row],[Costo]]*Tabla1103453454455456479108109117119120[[#This Row],[Unidades]]</f>
        <v>99.166666669999998</v>
      </c>
      <c r="I87" s="4"/>
      <c r="J87" s="5" t="s">
        <v>11</v>
      </c>
      <c r="K87" s="6">
        <f>+K86/1.08*0.08</f>
        <v>2370.3703703703704</v>
      </c>
    </row>
    <row r="88" spans="2:12" x14ac:dyDescent="0.3">
      <c r="B88" s="7" t="s">
        <v>999</v>
      </c>
      <c r="C88" s="109" t="s">
        <v>570</v>
      </c>
      <c r="D88" s="48">
        <v>1</v>
      </c>
      <c r="E88" s="48">
        <v>0</v>
      </c>
      <c r="F88" s="48">
        <v>1</v>
      </c>
      <c r="G88" s="110">
        <f>+VLOOKUP(Tabla1103453454455456479108109117119120[[#This Row],[Ingrediente]],Tabla34[#All],3,0)</f>
        <v>3500</v>
      </c>
      <c r="H88" s="111">
        <f>+Tabla1103453454455456479108109117119120[[#This Row],[Costo]]*Tabla1103453454455456479108109117119120[[#This Row],[Unidades]]</f>
        <v>3500</v>
      </c>
      <c r="I88" s="4"/>
      <c r="J88" s="5" t="s">
        <v>12</v>
      </c>
      <c r="K88" s="6">
        <f>+K86-K87</f>
        <v>29629.629629629628</v>
      </c>
    </row>
    <row r="89" spans="2:12" x14ac:dyDescent="0.3">
      <c r="B89" s="13"/>
      <c r="C89" s="14"/>
      <c r="D89" s="14"/>
      <c r="E89" s="14"/>
      <c r="F89" s="14"/>
      <c r="G89" s="15"/>
      <c r="H89" s="15">
        <f>SUBTOTAL(109,Tabla1103453454455456479108109117119120[Total costo])</f>
        <v>9600.6059515800007</v>
      </c>
      <c r="I89" s="4"/>
      <c r="J89" s="5" t="s">
        <v>13</v>
      </c>
      <c r="K89" s="113">
        <f>+K85/K88</f>
        <v>0.34022147340911629</v>
      </c>
    </row>
    <row r="90" spans="2:12" x14ac:dyDescent="0.3">
      <c r="G90" s="24"/>
      <c r="I90" s="4"/>
      <c r="J90" s="5" t="s">
        <v>14</v>
      </c>
      <c r="K90" s="20">
        <f>+K88-K85</f>
        <v>19548.993380470627</v>
      </c>
    </row>
    <row r="91" spans="2:12" x14ac:dyDescent="0.3">
      <c r="J91" s="5" t="s">
        <v>15</v>
      </c>
      <c r="K91" s="22">
        <f>+K90/K85</f>
        <v>1.9392618578119556</v>
      </c>
    </row>
    <row r="93" spans="2:12" x14ac:dyDescent="0.3">
      <c r="B93" s="89" t="s">
        <v>119</v>
      </c>
      <c r="C93" s="90"/>
      <c r="D93" s="90"/>
      <c r="E93" s="90"/>
      <c r="F93" s="90"/>
      <c r="G93" s="90"/>
      <c r="H93" s="90"/>
      <c r="J93" s="277" t="s">
        <v>0</v>
      </c>
      <c r="K93" s="277"/>
    </row>
    <row r="94" spans="2:12" x14ac:dyDescent="0.3">
      <c r="B94" s="91" t="s">
        <v>1</v>
      </c>
      <c r="C94" s="14" t="s">
        <v>2</v>
      </c>
      <c r="D94" s="14" t="s">
        <v>571</v>
      </c>
      <c r="E94" s="14" t="s">
        <v>572</v>
      </c>
      <c r="F94" s="14" t="s">
        <v>573</v>
      </c>
      <c r="G94" s="92" t="s">
        <v>4</v>
      </c>
      <c r="H94" s="92" t="s">
        <v>5</v>
      </c>
      <c r="J94" s="5" t="s">
        <v>6</v>
      </c>
      <c r="K94" s="6">
        <f>+Tabla1103453454455456479108109117119120122[[#Totals],[Total costo]]</f>
        <v>6996.0744005000006</v>
      </c>
    </row>
    <row r="95" spans="2:12" x14ac:dyDescent="0.3">
      <c r="B95" s="7" t="s">
        <v>88</v>
      </c>
      <c r="C95" s="109" t="s">
        <v>570</v>
      </c>
      <c r="D95" s="48">
        <v>3</v>
      </c>
      <c r="E95" s="48">
        <v>0</v>
      </c>
      <c r="F95" s="48">
        <v>3</v>
      </c>
      <c r="G95" s="110">
        <f>+VLOOKUP(Tabla1103453454455456479108109117119120122[[#This Row],[Ingrediente]],Tabla34[#All],3,0)</f>
        <v>2050.0821666000002</v>
      </c>
      <c r="H95" s="111">
        <f>+Tabla1103453454455456479108109117119120122[[#This Row],[Costo]]*Tabla1103453454455456479108109117119120122[[#This Row],[Unidades]]</f>
        <v>6150.2464998000005</v>
      </c>
      <c r="J95" s="5" t="s">
        <v>113</v>
      </c>
      <c r="K95" s="6">
        <f>+K94*5%</f>
        <v>349.80372002500008</v>
      </c>
    </row>
    <row r="96" spans="2:12" x14ac:dyDescent="0.3">
      <c r="B96" s="21" t="s">
        <v>75</v>
      </c>
      <c r="C96" s="109" t="s">
        <v>188</v>
      </c>
      <c r="D96" s="48">
        <v>30</v>
      </c>
      <c r="E96" s="48">
        <v>0</v>
      </c>
      <c r="F96" s="48">
        <v>30</v>
      </c>
      <c r="G96" s="110">
        <f>+VLOOKUP(Tabla1103453454455456479108109117119120122[[#This Row],[Ingrediente]],Tabla34[#All],3,0)</f>
        <v>17.249596690000001</v>
      </c>
      <c r="H96" s="111">
        <f>+Tabla1103453454455456479108109117119120122[[#This Row],[Costo]]*Tabla1103453454455456479108109117119120122[[#This Row],[Unidades]]</f>
        <v>517.48790070000007</v>
      </c>
      <c r="J96" s="5" t="s">
        <v>9</v>
      </c>
      <c r="K96" s="6">
        <f>+K94+K95</f>
        <v>7345.8781205250007</v>
      </c>
    </row>
    <row r="97" spans="2:11" x14ac:dyDescent="0.3">
      <c r="B97" s="7" t="s">
        <v>480</v>
      </c>
      <c r="C97" s="109" t="s">
        <v>188</v>
      </c>
      <c r="D97" s="48">
        <v>1</v>
      </c>
      <c r="E97" s="48">
        <v>0</v>
      </c>
      <c r="F97" s="48">
        <v>1</v>
      </c>
      <c r="G97" s="110">
        <f>+VLOOKUP(Tabla1103453454455456479108109117119120122[[#This Row],[Ingrediente]],Tabla34[#All],3,0)</f>
        <v>328.34</v>
      </c>
      <c r="H97" s="111">
        <f>+Tabla1103453454455456479108109117119120122[[#This Row],[Costo]]*Tabla1103453454455456479108109117119120122[[#This Row],[Unidades]]</f>
        <v>328.34</v>
      </c>
      <c r="J97" s="17" t="s">
        <v>10</v>
      </c>
      <c r="K97" s="112">
        <v>45000</v>
      </c>
    </row>
    <row r="98" spans="2:11" x14ac:dyDescent="0.3">
      <c r="B98" s="13"/>
      <c r="C98" s="14"/>
      <c r="D98" s="14"/>
      <c r="E98" s="14"/>
      <c r="F98" s="14"/>
      <c r="G98" s="15"/>
      <c r="H98" s="15">
        <f>SUBTOTAL(109,Tabla1103453454455456479108109117119120122[Total costo])</f>
        <v>6996.0744005000006</v>
      </c>
      <c r="J98" s="5" t="s">
        <v>11</v>
      </c>
      <c r="K98" s="6">
        <f>+K97/1.08*0.08</f>
        <v>3333.333333333333</v>
      </c>
    </row>
    <row r="99" spans="2:11" x14ac:dyDescent="0.3">
      <c r="G99" s="4"/>
      <c r="J99" s="5" t="s">
        <v>12</v>
      </c>
      <c r="K99" s="6">
        <f>+K97-K98</f>
        <v>41666.666666666664</v>
      </c>
    </row>
    <row r="100" spans="2:11" x14ac:dyDescent="0.3">
      <c r="G100" s="4"/>
      <c r="J100" s="5" t="s">
        <v>13</v>
      </c>
      <c r="K100" s="113">
        <f>+K96/K99</f>
        <v>0.17630107489260002</v>
      </c>
    </row>
    <row r="101" spans="2:11" x14ac:dyDescent="0.3">
      <c r="G101" s="4"/>
      <c r="J101" s="5" t="s">
        <v>14</v>
      </c>
      <c r="K101" s="20">
        <f>+K99-K96</f>
        <v>34320.788546141666</v>
      </c>
    </row>
    <row r="102" spans="2:11" x14ac:dyDescent="0.3">
      <c r="G102" s="4"/>
      <c r="J102" s="5" t="s">
        <v>15</v>
      </c>
      <c r="K102" s="22">
        <f>+K101/K96</f>
        <v>4.6721151621405888</v>
      </c>
    </row>
    <row r="103" spans="2:11" x14ac:dyDescent="0.3">
      <c r="G103" s="4"/>
    </row>
    <row r="104" spans="2:11" x14ac:dyDescent="0.3">
      <c r="G104" s="4"/>
    </row>
    <row r="105" spans="2:11" x14ac:dyDescent="0.3">
      <c r="B105" s="89" t="s">
        <v>120</v>
      </c>
      <c r="C105" s="90"/>
      <c r="D105" s="90"/>
      <c r="E105" s="90"/>
      <c r="F105" s="90"/>
      <c r="G105" s="90"/>
      <c r="H105" s="90"/>
      <c r="J105" s="277" t="s">
        <v>0</v>
      </c>
      <c r="K105" s="277"/>
    </row>
    <row r="106" spans="2:11" x14ac:dyDescent="0.3">
      <c r="B106" s="91" t="s">
        <v>1</v>
      </c>
      <c r="C106" s="14" t="s">
        <v>2</v>
      </c>
      <c r="D106" s="14" t="s">
        <v>571</v>
      </c>
      <c r="E106" s="14" t="s">
        <v>572</v>
      </c>
      <c r="F106" s="14" t="s">
        <v>573</v>
      </c>
      <c r="G106" s="92" t="s">
        <v>4</v>
      </c>
      <c r="H106" s="92" t="s">
        <v>5</v>
      </c>
      <c r="J106" s="5" t="s">
        <v>6</v>
      </c>
      <c r="K106" s="6">
        <f>SUM(Tabla1103453454455456479108109117119120123[Total costo])</f>
        <v>15610.633232949998</v>
      </c>
    </row>
    <row r="107" spans="2:11" x14ac:dyDescent="0.3">
      <c r="B107" s="7" t="s">
        <v>496</v>
      </c>
      <c r="C107" s="109" t="s">
        <v>188</v>
      </c>
      <c r="D107" s="48">
        <v>30</v>
      </c>
      <c r="E107" s="48">
        <v>0</v>
      </c>
      <c r="F107" s="48">
        <v>30</v>
      </c>
      <c r="G107" s="110">
        <f>+VLOOKUP(Tabla1103453454455456479108109117119120123[[#This Row],[Ingrediente]],Tabla34[#All],3,0)</f>
        <v>94.925892939999997</v>
      </c>
      <c r="H107" s="111">
        <f>+Tabla1103453454455456479108109117119120123[[#This Row],[Costo]]*Tabla1103453454455456479108109117119120123[[#This Row],[Unidades]]</f>
        <v>2847.7767881999998</v>
      </c>
      <c r="J107" s="5" t="s">
        <v>113</v>
      </c>
      <c r="K107" s="6">
        <f>+K106*5%</f>
        <v>780.53166164749996</v>
      </c>
    </row>
    <row r="108" spans="2:11" x14ac:dyDescent="0.3">
      <c r="B108" s="7" t="s">
        <v>1300</v>
      </c>
      <c r="C108" s="109" t="s">
        <v>570</v>
      </c>
      <c r="D108" s="48">
        <v>5</v>
      </c>
      <c r="E108" s="48">
        <v>0</v>
      </c>
      <c r="F108" s="48">
        <v>5</v>
      </c>
      <c r="G108" s="110">
        <f>+VLOOKUP(Tabla1103453454455456479108109117119120123[[#This Row],[Ingrediente]],Tabla34[#All],3,0)</f>
        <v>2037.8580044099999</v>
      </c>
      <c r="H108" s="111">
        <f>+Tabla1103453454455456479108109117119120123[[#This Row],[Costo]]*Tabla1103453454455456479108109117119120123[[#This Row],[Unidades]]</f>
        <v>10189.29002205</v>
      </c>
      <c r="J108" s="5" t="s">
        <v>9</v>
      </c>
      <c r="K108" s="6">
        <f>+K106+K107</f>
        <v>16391.164894597499</v>
      </c>
    </row>
    <row r="109" spans="2:11" x14ac:dyDescent="0.3">
      <c r="B109" s="7" t="s">
        <v>999</v>
      </c>
      <c r="C109" s="109" t="s">
        <v>570</v>
      </c>
      <c r="D109" s="48">
        <v>0.5</v>
      </c>
      <c r="E109" s="48">
        <v>0</v>
      </c>
      <c r="F109" s="48">
        <v>0.5</v>
      </c>
      <c r="G109" s="110">
        <f>+VLOOKUP(Tabla1103453454455456479108109117119120123[[#This Row],[Ingrediente]],Tabla34[#All],3,0)</f>
        <v>3500</v>
      </c>
      <c r="H109" s="111">
        <f>+Tabla1103453454455456479108109117119120123[[#This Row],[Costo]]*Tabla1103453454455456479108109117119120123[[#This Row],[Unidades]]</f>
        <v>1750</v>
      </c>
      <c r="I109" s="4"/>
      <c r="J109" s="17" t="s">
        <v>10</v>
      </c>
      <c r="K109" s="112">
        <v>59000</v>
      </c>
    </row>
    <row r="110" spans="2:11" x14ac:dyDescent="0.3">
      <c r="B110" s="7" t="s">
        <v>995</v>
      </c>
      <c r="C110" s="109" t="s">
        <v>188</v>
      </c>
      <c r="D110" s="48">
        <v>30</v>
      </c>
      <c r="E110" s="48">
        <v>0</v>
      </c>
      <c r="F110" s="48">
        <v>30</v>
      </c>
      <c r="G110" s="110">
        <f>+VLOOKUP(Tabla1103453454455456479108109117119120123[[#This Row],[Ingrediente]],Tabla34[#All],3,0)</f>
        <v>27.452214089999998</v>
      </c>
      <c r="H110" s="111">
        <f>+Tabla1103453454455456479108109117119120123[[#This Row],[Costo]]*Tabla1103453454455456479108109117119120123[[#This Row],[Unidades]]</f>
        <v>823.56642269999998</v>
      </c>
      <c r="J110" s="5" t="s">
        <v>11</v>
      </c>
      <c r="K110" s="6">
        <f>+K109/1.08*0.08</f>
        <v>4370.3703703703704</v>
      </c>
    </row>
    <row r="111" spans="2:11" x14ac:dyDescent="0.3">
      <c r="B111" s="13"/>
      <c r="C111" s="14"/>
      <c r="D111" s="14"/>
      <c r="E111" s="14"/>
      <c r="F111" s="14"/>
      <c r="G111" s="15"/>
      <c r="H111" s="15">
        <f>SUBTOTAL(109,Tabla1103453454455456479108109117119120123[Total costo])</f>
        <v>15610.633232949998</v>
      </c>
      <c r="I111" s="24"/>
      <c r="J111" s="5" t="s">
        <v>12</v>
      </c>
      <c r="K111" s="6">
        <f>+K109-K110</f>
        <v>54629.629629629628</v>
      </c>
    </row>
    <row r="112" spans="2:11" x14ac:dyDescent="0.3">
      <c r="G112" s="4"/>
      <c r="J112" s="5" t="s">
        <v>13</v>
      </c>
      <c r="K112" s="113">
        <f>+K108/K111</f>
        <v>0.30004166247737796</v>
      </c>
    </row>
    <row r="113" spans="2:11" x14ac:dyDescent="0.3">
      <c r="G113" s="4"/>
      <c r="J113" s="5" t="s">
        <v>14</v>
      </c>
      <c r="K113" s="20">
        <f>+K111-K108</f>
        <v>38238.464735032132</v>
      </c>
    </row>
    <row r="114" spans="2:11" x14ac:dyDescent="0.3">
      <c r="G114" s="4"/>
      <c r="J114" s="5" t="s">
        <v>15</v>
      </c>
      <c r="K114" s="22">
        <f>+K113/K108</f>
        <v>2.3328704811965784</v>
      </c>
    </row>
    <row r="115" spans="2:11" x14ac:dyDescent="0.3">
      <c r="G115" s="4"/>
      <c r="I115" s="4"/>
    </row>
    <row r="116" spans="2:11" x14ac:dyDescent="0.3">
      <c r="G116" s="4"/>
      <c r="I116" s="4"/>
    </row>
    <row r="117" spans="2:11" x14ac:dyDescent="0.3">
      <c r="B117" s="89" t="s">
        <v>908</v>
      </c>
      <c r="C117" s="90"/>
      <c r="D117" s="90"/>
      <c r="E117" s="90"/>
      <c r="F117" s="90"/>
      <c r="G117" s="90"/>
      <c r="H117" s="90"/>
      <c r="I117" s="4"/>
      <c r="J117" s="277" t="s">
        <v>0</v>
      </c>
      <c r="K117" s="277"/>
    </row>
    <row r="118" spans="2:11" x14ac:dyDescent="0.3">
      <c r="B118" s="91" t="s">
        <v>1</v>
      </c>
      <c r="C118" s="14" t="s">
        <v>2</v>
      </c>
      <c r="D118" s="14" t="s">
        <v>571</v>
      </c>
      <c r="E118" s="14" t="s">
        <v>572</v>
      </c>
      <c r="F118" s="14" t="s">
        <v>573</v>
      </c>
      <c r="G118" s="92" t="s">
        <v>4</v>
      </c>
      <c r="H118" s="92" t="s">
        <v>5</v>
      </c>
      <c r="I118" s="4"/>
      <c r="J118" s="94" t="s">
        <v>6</v>
      </c>
      <c r="K118" s="95">
        <f>SUM(Tabla1103453454455456479108109117119120123124[Total costo])</f>
        <v>7875.3019555500005</v>
      </c>
    </row>
    <row r="119" spans="2:11" x14ac:dyDescent="0.3">
      <c r="B119" s="7" t="s">
        <v>406</v>
      </c>
      <c r="C119" s="109" t="s">
        <v>188</v>
      </c>
      <c r="D119" s="48">
        <v>30</v>
      </c>
      <c r="E119" s="48">
        <v>25</v>
      </c>
      <c r="F119" s="48">
        <v>40</v>
      </c>
      <c r="G119" s="110">
        <f>+VLOOKUP(Tabla1103453454455456479108109117119120123124[[#This Row],[Ingrediente]],Tabla34[#All],3,0)</f>
        <v>14</v>
      </c>
      <c r="H119" s="111">
        <f>+Tabla1103453454455456479108109117119120123124[[#This Row],[Costo]]*Tabla1103453454455456479108109117119120123124[[#This Row],[Unidades]]</f>
        <v>560</v>
      </c>
      <c r="J119" s="5" t="s">
        <v>113</v>
      </c>
      <c r="K119" s="6">
        <f>+K118*5%</f>
        <v>393.76509777750005</v>
      </c>
    </row>
    <row r="120" spans="2:11" x14ac:dyDescent="0.3">
      <c r="B120" s="21" t="s">
        <v>79</v>
      </c>
      <c r="C120" s="109" t="s">
        <v>188</v>
      </c>
      <c r="D120" s="48">
        <v>20</v>
      </c>
      <c r="E120" s="48">
        <v>0</v>
      </c>
      <c r="F120" s="48">
        <v>20</v>
      </c>
      <c r="G120" s="110">
        <f>+VLOOKUP(Tabla1103453454455456479108109117119120123124[[#This Row],[Ingrediente]],Tabla34[#All],3,0)</f>
        <v>10.36730157</v>
      </c>
      <c r="H120" s="111">
        <f>+Tabla1103453454455456479108109117119120123124[[#This Row],[Costo]]*Tabla1103453454455456479108109117119120123124[[#This Row],[Unidades]]</f>
        <v>207.34603140000002</v>
      </c>
      <c r="I120" s="4"/>
      <c r="J120" s="5" t="s">
        <v>9</v>
      </c>
      <c r="K120" s="6">
        <f>+K118+K119</f>
        <v>8269.0670533275006</v>
      </c>
    </row>
    <row r="121" spans="2:11" s="96" customFormat="1" x14ac:dyDescent="0.25">
      <c r="B121" s="21" t="s">
        <v>689</v>
      </c>
      <c r="C121" s="109" t="s">
        <v>188</v>
      </c>
      <c r="D121" s="48">
        <v>1</v>
      </c>
      <c r="E121" s="48">
        <v>0</v>
      </c>
      <c r="F121" s="48">
        <v>1</v>
      </c>
      <c r="G121" s="110">
        <f>+VLOOKUP(Tabla1103453454455456479108109117119120123124[[#This Row],[Ingrediente]],Tabla34[#All],3,0)</f>
        <v>40.97</v>
      </c>
      <c r="H121" s="111">
        <f>+Tabla1103453454455456479108109117119120123124[[#This Row],[Costo]]*Tabla1103453454455456479108109117119120123124[[#This Row],[Unidades]]</f>
        <v>40.97</v>
      </c>
      <c r="I121" s="93"/>
      <c r="J121" s="17" t="s">
        <v>10</v>
      </c>
      <c r="K121" s="112">
        <v>43000</v>
      </c>
    </row>
    <row r="122" spans="2:11" x14ac:dyDescent="0.3">
      <c r="B122" s="7" t="s">
        <v>562</v>
      </c>
      <c r="C122" s="109" t="s">
        <v>188</v>
      </c>
      <c r="D122" s="48">
        <v>15</v>
      </c>
      <c r="E122" s="48">
        <v>0</v>
      </c>
      <c r="F122" s="48">
        <v>15</v>
      </c>
      <c r="G122" s="110">
        <f>+VLOOKUP(Tabla1103453454455456479108109117119120123124[[#This Row],[Ingrediente]],Tabla34[#All],3,0)</f>
        <v>44.212727269999995</v>
      </c>
      <c r="H122" s="111">
        <f>+Tabla1103453454455456479108109117119120123124[[#This Row],[Costo]]*Tabla1103453454455456479108109117119120123124[[#This Row],[Unidades]]</f>
        <v>663.19090904999996</v>
      </c>
      <c r="I122" s="4"/>
      <c r="J122" s="5" t="s">
        <v>11</v>
      </c>
      <c r="K122" s="6">
        <f>+K121/1.08*0.08</f>
        <v>3185.1851851851848</v>
      </c>
    </row>
    <row r="123" spans="2:11" x14ac:dyDescent="0.3">
      <c r="B123" s="7" t="s">
        <v>654</v>
      </c>
      <c r="C123" s="109" t="s">
        <v>188</v>
      </c>
      <c r="D123" s="48">
        <v>30</v>
      </c>
      <c r="E123" s="48">
        <v>0</v>
      </c>
      <c r="F123" s="48">
        <v>30</v>
      </c>
      <c r="G123" s="110">
        <f>+VLOOKUP(Tabla1103453454455456479108109117119120123124[[#This Row],[Ingrediente]],Tabla34[#All],3,0)</f>
        <v>28.148148150000001</v>
      </c>
      <c r="H123" s="111">
        <f>+Tabla1103453454455456479108109117119120123124[[#This Row],[Costo]]*Tabla1103453454455456479108109117119120123124[[#This Row],[Unidades]]</f>
        <v>844.44444450000003</v>
      </c>
      <c r="J123" s="5" t="s">
        <v>12</v>
      </c>
      <c r="K123" s="6">
        <f>+K121-K122</f>
        <v>39814.814814814818</v>
      </c>
    </row>
    <row r="124" spans="2:11" x14ac:dyDescent="0.3">
      <c r="B124" s="21" t="s">
        <v>1152</v>
      </c>
      <c r="C124" s="109" t="s">
        <v>188</v>
      </c>
      <c r="D124" s="48">
        <v>90</v>
      </c>
      <c r="E124" s="48">
        <v>10</v>
      </c>
      <c r="F124" s="48">
        <v>100</v>
      </c>
      <c r="G124" s="110">
        <f>+VLOOKUP(Tabla1103453454455456479108109117119120123124[[#This Row],[Ingrediente]],Tabla34[#All],3,0)</f>
        <v>55</v>
      </c>
      <c r="H124" s="111">
        <f>+Tabla1103453454455456479108109117119120123124[[#This Row],[Costo]]*Tabla1103453454455456479108109117119120123124[[#This Row],[Unidades]]</f>
        <v>5500</v>
      </c>
      <c r="I124" s="24"/>
      <c r="J124" s="5" t="s">
        <v>13</v>
      </c>
      <c r="K124" s="113">
        <f>+K120/K123</f>
        <v>0.20768819575799302</v>
      </c>
    </row>
    <row r="125" spans="2:11" x14ac:dyDescent="0.3">
      <c r="B125" s="7" t="s">
        <v>567</v>
      </c>
      <c r="C125" s="109" t="s">
        <v>570</v>
      </c>
      <c r="D125" s="48">
        <v>1</v>
      </c>
      <c r="E125" s="48">
        <v>0</v>
      </c>
      <c r="F125" s="48">
        <v>1</v>
      </c>
      <c r="G125" s="110">
        <f>+VLOOKUP(Tabla1103453454455456479108109117119120123124[[#This Row],[Ingrediente]],Tabla34[#All],3,0)</f>
        <v>41.211570600000002</v>
      </c>
      <c r="H125" s="111">
        <f>+Tabla1103453454455456479108109117119120123124[[#This Row],[Costo]]*Tabla1103453454455456479108109117119120123124[[#This Row],[Unidades]]</f>
        <v>41.211570600000002</v>
      </c>
      <c r="J125" s="5" t="s">
        <v>14</v>
      </c>
      <c r="K125" s="20">
        <f>+K123-K120</f>
        <v>31545.747761487317</v>
      </c>
    </row>
    <row r="126" spans="2:11" x14ac:dyDescent="0.3">
      <c r="B126" s="7" t="s">
        <v>557</v>
      </c>
      <c r="C126" s="109" t="s">
        <v>188</v>
      </c>
      <c r="D126" s="48">
        <v>1</v>
      </c>
      <c r="E126" s="48">
        <v>0</v>
      </c>
      <c r="F126" s="48">
        <v>1</v>
      </c>
      <c r="G126" s="110">
        <f>+VLOOKUP(Tabla1103453454455456479108109117119120123124[[#This Row],[Ingrediente]],Tabla34[#All],3,0)</f>
        <v>18.138999999999999</v>
      </c>
      <c r="H126" s="111">
        <f>+Tabla1103453454455456479108109117119120123124[[#This Row],[Costo]]*Tabla1103453454455456479108109117119120123124[[#This Row],[Unidades]]</f>
        <v>18.138999999999999</v>
      </c>
      <c r="J126" s="5" t="s">
        <v>15</v>
      </c>
      <c r="K126" s="22">
        <f>+K125/K120</f>
        <v>3.8149101413796376</v>
      </c>
    </row>
    <row r="127" spans="2:11" x14ac:dyDescent="0.3">
      <c r="B127" s="13"/>
      <c r="C127" s="14"/>
      <c r="D127" s="14"/>
      <c r="E127" s="14"/>
      <c r="F127" s="14"/>
      <c r="G127" s="15"/>
      <c r="H127" s="15">
        <f>SUBTOTAL(109,Tabla1103453454455456479108109117119120123124[Total costo])</f>
        <v>7875.3019555500005</v>
      </c>
    </row>
    <row r="128" spans="2:11" x14ac:dyDescent="0.3">
      <c r="I128" s="4"/>
    </row>
    <row r="129" spans="2:12" x14ac:dyDescent="0.3">
      <c r="B129" s="89" t="s">
        <v>121</v>
      </c>
      <c r="C129" s="90"/>
      <c r="D129" s="90"/>
      <c r="E129" s="90"/>
      <c r="F129" s="90"/>
      <c r="G129" s="90"/>
      <c r="H129" s="90"/>
      <c r="I129" s="4"/>
      <c r="J129" s="277" t="s">
        <v>0</v>
      </c>
      <c r="K129" s="277"/>
    </row>
    <row r="130" spans="2:12" x14ac:dyDescent="0.3">
      <c r="B130" s="91" t="s">
        <v>1</v>
      </c>
      <c r="C130" s="14" t="s">
        <v>2</v>
      </c>
      <c r="D130" s="14" t="s">
        <v>571</v>
      </c>
      <c r="E130" s="14" t="s">
        <v>572</v>
      </c>
      <c r="F130" s="14" t="s">
        <v>573</v>
      </c>
      <c r="G130" s="92" t="s">
        <v>4</v>
      </c>
      <c r="H130" s="92" t="s">
        <v>5</v>
      </c>
      <c r="J130" s="5" t="s">
        <v>6</v>
      </c>
      <c r="K130" s="6">
        <f>SUM(Tabla1103453454455456479108109117119120123124125[Total costo])</f>
        <v>11040.655546960001</v>
      </c>
    </row>
    <row r="131" spans="2:12" x14ac:dyDescent="0.3">
      <c r="B131" s="21" t="s">
        <v>997</v>
      </c>
      <c r="C131" s="109" t="s">
        <v>570</v>
      </c>
      <c r="D131" s="48">
        <v>1</v>
      </c>
      <c r="E131" s="48">
        <v>0</v>
      </c>
      <c r="F131" s="48">
        <v>1</v>
      </c>
      <c r="G131" s="110">
        <f>+VLOOKUP(Tabla1103453454455456479108109117119120123124125[[#This Row],[Ingrediente]],Tabla34[#All],3,0)</f>
        <v>8956.33980075</v>
      </c>
      <c r="H131" s="111">
        <f>+Tabla1103453454455456479108109117119120123124125[[#This Row],[Costo]]*Tabla1103453454455456479108109117119120123124125[[#This Row],[Unidades]]</f>
        <v>8956.33980075</v>
      </c>
      <c r="J131" s="5" t="s">
        <v>113</v>
      </c>
      <c r="K131" s="6">
        <f>+K130*5%</f>
        <v>552.03277734800008</v>
      </c>
    </row>
    <row r="132" spans="2:12" x14ac:dyDescent="0.3">
      <c r="B132" s="21" t="s">
        <v>964</v>
      </c>
      <c r="C132" s="109" t="s">
        <v>188</v>
      </c>
      <c r="D132" s="48">
        <v>1</v>
      </c>
      <c r="E132" s="48">
        <v>0</v>
      </c>
      <c r="F132" s="48">
        <v>1</v>
      </c>
      <c r="G132" s="110">
        <f>+VLOOKUP(Tabla1103453454455456479108109117119120123124125[[#This Row],[Ingrediente]],Tabla34[#All],3,0)</f>
        <v>5.9757462099999996</v>
      </c>
      <c r="H132" s="111">
        <f>+Tabla1103453454455456479108109117119120123124125[[#This Row],[Costo]]*Tabla1103453454455456479108109117119120123124125[[#This Row],[Unidades]]</f>
        <v>5.9757462099999996</v>
      </c>
      <c r="J132" s="5" t="s">
        <v>9</v>
      </c>
      <c r="K132" s="6">
        <f>+K130+K131</f>
        <v>11592.688324308001</v>
      </c>
    </row>
    <row r="133" spans="2:12" x14ac:dyDescent="0.3">
      <c r="B133" s="21" t="s">
        <v>480</v>
      </c>
      <c r="C133" s="109" t="s">
        <v>188</v>
      </c>
      <c r="D133" s="48">
        <v>1</v>
      </c>
      <c r="E133" s="48">
        <v>0</v>
      </c>
      <c r="F133" s="48">
        <v>1</v>
      </c>
      <c r="G133" s="110">
        <f>+VLOOKUP(Tabla1103453454455456479108109117119120123124125[[#This Row],[Ingrediente]],Tabla34[#All],3,0)</f>
        <v>328.34</v>
      </c>
      <c r="H133" s="111">
        <f>+Tabla1103453454455456479108109117119120123124125[[#This Row],[Costo]]*Tabla1103453454455456479108109117119120123124125[[#This Row],[Unidades]]</f>
        <v>328.34</v>
      </c>
      <c r="I133" s="4"/>
      <c r="J133" s="17" t="s">
        <v>10</v>
      </c>
      <c r="K133" s="112">
        <v>39000</v>
      </c>
    </row>
    <row r="134" spans="2:12" x14ac:dyDescent="0.3">
      <c r="B134" s="21" t="s">
        <v>998</v>
      </c>
      <c r="C134" s="109" t="s">
        <v>188</v>
      </c>
      <c r="D134" s="48">
        <v>35</v>
      </c>
      <c r="E134" s="48">
        <v>0</v>
      </c>
      <c r="F134" s="48">
        <v>35</v>
      </c>
      <c r="G134" s="110">
        <f>+VLOOKUP(Tabla1103453454455456479108109117119120123124125[[#This Row],[Ingrediente]],Tabla34[#All],3,0)</f>
        <v>50</v>
      </c>
      <c r="H134" s="111">
        <f>+Tabla1103453454455456479108109117119120123124125[[#This Row],[Costo]]*Tabla1103453454455456479108109117119120123124125[[#This Row],[Unidades]]</f>
        <v>1750</v>
      </c>
      <c r="I134" s="4"/>
      <c r="J134" s="5" t="s">
        <v>11</v>
      </c>
      <c r="K134" s="6">
        <f>+K133/1.08*0.08</f>
        <v>2888.8888888888887</v>
      </c>
    </row>
    <row r="135" spans="2:12" x14ac:dyDescent="0.3">
      <c r="B135" s="13"/>
      <c r="C135" s="14"/>
      <c r="D135" s="14"/>
      <c r="E135" s="14"/>
      <c r="F135" s="14"/>
      <c r="G135" s="15"/>
      <c r="H135" s="15">
        <f>SUBTOTAL(109,Tabla1103453454455456479108109117119120123124125[Total costo])</f>
        <v>11040.655546960001</v>
      </c>
      <c r="I135" s="4"/>
      <c r="J135" s="5" t="s">
        <v>12</v>
      </c>
      <c r="K135" s="6">
        <f>+K133-K134</f>
        <v>36111.111111111109</v>
      </c>
    </row>
    <row r="136" spans="2:12" x14ac:dyDescent="0.3">
      <c r="B136" s="45"/>
      <c r="C136" s="46"/>
      <c r="D136" s="46"/>
      <c r="E136" s="46"/>
      <c r="F136" s="46"/>
      <c r="G136" s="98"/>
      <c r="H136" s="98"/>
      <c r="J136" s="5" t="s">
        <v>13</v>
      </c>
      <c r="K136" s="113">
        <f>+K132/K135</f>
        <v>0.32102829205776007</v>
      </c>
    </row>
    <row r="137" spans="2:12" x14ac:dyDescent="0.3">
      <c r="B137" s="45"/>
      <c r="C137" s="46"/>
      <c r="D137" s="46"/>
      <c r="E137" s="46"/>
      <c r="F137" s="46"/>
      <c r="G137" s="98"/>
      <c r="H137" s="98"/>
      <c r="I137" s="24"/>
      <c r="J137" s="5" t="s">
        <v>14</v>
      </c>
      <c r="K137" s="20">
        <f>+K135-K132</f>
        <v>24518.422786803108</v>
      </c>
    </row>
    <row r="138" spans="2:12" x14ac:dyDescent="0.3">
      <c r="B138" s="222"/>
      <c r="C138" s="223"/>
      <c r="D138" s="223"/>
      <c r="E138" s="223"/>
      <c r="F138" s="223"/>
      <c r="G138" s="98"/>
      <c r="H138" s="98"/>
      <c r="J138" s="5" t="s">
        <v>15</v>
      </c>
      <c r="K138" s="22">
        <f>+K137/K132</f>
        <v>2.1149902508283538</v>
      </c>
    </row>
    <row r="139" spans="2:12" x14ac:dyDescent="0.3">
      <c r="G139" s="4"/>
      <c r="I139" s="4"/>
    </row>
    <row r="140" spans="2:12" x14ac:dyDescent="0.3">
      <c r="I140" s="4"/>
    </row>
    <row r="141" spans="2:12" x14ac:dyDescent="0.3">
      <c r="G141" s="4"/>
      <c r="I141" s="4"/>
    </row>
    <row r="142" spans="2:12" x14ac:dyDescent="0.3">
      <c r="B142" s="1" t="s">
        <v>334</v>
      </c>
      <c r="C142" s="2"/>
      <c r="D142" s="2"/>
      <c r="E142" s="3"/>
      <c r="F142" s="3"/>
      <c r="G142" s="3"/>
      <c r="H142" s="3"/>
      <c r="I142" s="4"/>
      <c r="J142" s="277" t="s">
        <v>0</v>
      </c>
      <c r="K142" s="277"/>
    </row>
    <row r="143" spans="2:12" x14ac:dyDescent="0.3">
      <c r="B143" s="13" t="s">
        <v>1</v>
      </c>
      <c r="C143" s="14" t="s">
        <v>2</v>
      </c>
      <c r="D143" s="14" t="s">
        <v>3</v>
      </c>
      <c r="E143" s="14" t="s">
        <v>343</v>
      </c>
      <c r="F143" s="14" t="s">
        <v>585</v>
      </c>
      <c r="G143" s="28" t="s">
        <v>4</v>
      </c>
      <c r="H143" s="28" t="s">
        <v>5</v>
      </c>
      <c r="I143" s="4"/>
      <c r="J143" s="5" t="s">
        <v>6</v>
      </c>
      <c r="K143" s="6">
        <f>SUM(Tabla11034534544554564791081351121722991461485[Total costo])</f>
        <v>12206.785317290001</v>
      </c>
      <c r="L143" s="44"/>
    </row>
    <row r="144" spans="2:12" x14ac:dyDescent="0.3">
      <c r="B144" s="7" t="s">
        <v>406</v>
      </c>
      <c r="C144" s="109" t="s">
        <v>188</v>
      </c>
      <c r="D144" s="48">
        <v>90</v>
      </c>
      <c r="E144" s="48">
        <v>25</v>
      </c>
      <c r="F144" s="48">
        <v>120</v>
      </c>
      <c r="G144" s="110">
        <f>+VLOOKUP(Tabla11034534544554564791081351121722991461485[[#This Row],[Ingrediente]],Tabla34[#All],3,0)</f>
        <v>14</v>
      </c>
      <c r="H144" s="111">
        <f>+Tabla11034534544554564791081351121722991461485[[#This Row],[Costo]]*Tabla11034534544554564791081351121722991461485[[#This Row],[Columna2]]</f>
        <v>1680</v>
      </c>
      <c r="J144" s="5" t="s">
        <v>113</v>
      </c>
      <c r="K144" s="6">
        <f>+K143*5%</f>
        <v>610.33926586450013</v>
      </c>
    </row>
    <row r="145" spans="2:11" x14ac:dyDescent="0.3">
      <c r="B145" s="21" t="s">
        <v>480</v>
      </c>
      <c r="C145" s="109" t="s">
        <v>188</v>
      </c>
      <c r="D145" s="48">
        <v>1</v>
      </c>
      <c r="E145" s="48">
        <v>10</v>
      </c>
      <c r="F145" s="48">
        <v>1.111</v>
      </c>
      <c r="G145" s="110">
        <f>+VLOOKUP(Tabla11034534544554564791081351121722991461485[[#This Row],[Ingrediente]],Tabla34[#All],3,0)</f>
        <v>328.34</v>
      </c>
      <c r="H145" s="111">
        <f>+Tabla11034534544554564791081351121722991461485[[#This Row],[Costo]]*Tabla11034534544554564791081351121722991461485[[#This Row],[Columna2]]</f>
        <v>364.78573999999998</v>
      </c>
      <c r="I145" s="4"/>
      <c r="J145" s="5" t="s">
        <v>9</v>
      </c>
      <c r="K145" s="6">
        <f>+K143+K144</f>
        <v>12817.124583154502</v>
      </c>
    </row>
    <row r="146" spans="2:11" x14ac:dyDescent="0.3">
      <c r="B146" s="7" t="s">
        <v>373</v>
      </c>
      <c r="C146" s="109" t="s">
        <v>570</v>
      </c>
      <c r="D146" s="48">
        <v>7</v>
      </c>
      <c r="E146" s="48">
        <v>0</v>
      </c>
      <c r="F146" s="48">
        <v>7</v>
      </c>
      <c r="G146" s="110">
        <f>+VLOOKUP(Tabla11034534544554564791081351121722991461485[[#This Row],[Ingrediente]],Tabla34[#All],3,0)</f>
        <v>485.71428571000001</v>
      </c>
      <c r="H146" s="111">
        <f>+Tabla11034534544554564791081351121722991461485[[#This Row],[Costo]]*Tabla11034534544554564791081351121722991461485[[#This Row],[Columna2]]</f>
        <v>3399.9999999700003</v>
      </c>
      <c r="I146" s="4"/>
      <c r="J146" s="17" t="s">
        <v>10</v>
      </c>
      <c r="K146" s="112">
        <v>58000</v>
      </c>
    </row>
    <row r="147" spans="2:11" x14ac:dyDescent="0.3">
      <c r="B147" s="7" t="s">
        <v>558</v>
      </c>
      <c r="C147" s="109" t="s">
        <v>570</v>
      </c>
      <c r="D147" s="48">
        <v>3</v>
      </c>
      <c r="E147" s="48">
        <v>0</v>
      </c>
      <c r="F147" s="48">
        <v>3</v>
      </c>
      <c r="G147" s="110">
        <f>+VLOOKUP(Tabla11034534544554564791081351121722991461485[[#This Row],[Ingrediente]],Tabla34[#All],3,0)</f>
        <v>354.16666666999998</v>
      </c>
      <c r="H147" s="111">
        <f>+Tabla11034534544554564791081351121722991461485[[#This Row],[Costo]]*Tabla11034534544554564791081351121722991461485[[#This Row],[Columna2]]</f>
        <v>1062.5000000099999</v>
      </c>
      <c r="I147" s="4"/>
      <c r="J147" s="5" t="s">
        <v>11</v>
      </c>
      <c r="K147" s="6">
        <f>+K146/1.08*0.08</f>
        <v>4296.2962962962965</v>
      </c>
    </row>
    <row r="148" spans="2:11" x14ac:dyDescent="0.3">
      <c r="B148" s="7" t="s">
        <v>93</v>
      </c>
      <c r="C148" s="109" t="s">
        <v>188</v>
      </c>
      <c r="D148" s="48">
        <v>240</v>
      </c>
      <c r="E148" s="48">
        <v>0</v>
      </c>
      <c r="F148" s="48">
        <v>240</v>
      </c>
      <c r="G148" s="110">
        <f>+VLOOKUP(Tabla11034534544554564791081351121722991461485[[#This Row],[Ingrediente]],Tabla34[#All],3,0)</f>
        <v>1.25441665</v>
      </c>
      <c r="H148" s="111">
        <f>+Tabla11034534544554564791081351121722991461485[[#This Row],[Costo]]*Tabla11034534544554564791081351121722991461485[[#This Row],[Columna2]]</f>
        <v>301.05999600000001</v>
      </c>
      <c r="I148" s="4"/>
      <c r="J148" s="5" t="s">
        <v>12</v>
      </c>
      <c r="K148" s="6">
        <f>+K146-K147</f>
        <v>53703.703703703701</v>
      </c>
    </row>
    <row r="149" spans="2:11" x14ac:dyDescent="0.3">
      <c r="B149" s="7" t="s">
        <v>962</v>
      </c>
      <c r="C149" s="109" t="s">
        <v>188</v>
      </c>
      <c r="D149" s="48">
        <v>70</v>
      </c>
      <c r="E149" s="48">
        <v>0</v>
      </c>
      <c r="F149" s="48">
        <v>70</v>
      </c>
      <c r="G149" s="110">
        <f>+VLOOKUP(Tabla11034534544554564791081351121722991461485[[#This Row],[Ingrediente]],Tabla34[#All],3,0)</f>
        <v>32.346780520000003</v>
      </c>
      <c r="H149" s="111">
        <f>+Tabla11034534544554564791081351121722991461485[[#This Row],[Costo]]*Tabla11034534544554564791081351121722991461485[[#This Row],[Columna2]]</f>
        <v>2264.2746364000004</v>
      </c>
      <c r="I149" s="4"/>
      <c r="J149" s="5" t="s">
        <v>13</v>
      </c>
      <c r="K149" s="113">
        <f>+K145/K148</f>
        <v>0.23866369913460109</v>
      </c>
    </row>
    <row r="150" spans="2:11" x14ac:dyDescent="0.3">
      <c r="B150" s="7" t="s">
        <v>681</v>
      </c>
      <c r="C150" s="109" t="s">
        <v>188</v>
      </c>
      <c r="D150" s="48">
        <v>20</v>
      </c>
      <c r="E150" s="48">
        <v>0</v>
      </c>
      <c r="F150" s="48">
        <v>20</v>
      </c>
      <c r="G150" s="110">
        <f>+VLOOKUP(Tabla11034534544554564791081351121722991461485[[#This Row],[Ingrediente]],Tabla34[#All],3,0)</f>
        <v>22.545488500000001</v>
      </c>
      <c r="H150" s="111">
        <f>+Tabla11034534544554564791081351121722991461485[[#This Row],[Costo]]*Tabla11034534544554564791081351121722991461485[[#This Row],[Columna2]]</f>
        <v>450.90977000000004</v>
      </c>
      <c r="I150" s="4"/>
      <c r="J150" s="5" t="s">
        <v>14</v>
      </c>
      <c r="K150" s="20">
        <f>+K148-K145</f>
        <v>40886.579120549199</v>
      </c>
    </row>
    <row r="151" spans="2:11" x14ac:dyDescent="0.3">
      <c r="B151" s="7" t="s">
        <v>682</v>
      </c>
      <c r="C151" s="109" t="s">
        <v>570</v>
      </c>
      <c r="D151" s="48">
        <v>1</v>
      </c>
      <c r="E151" s="48">
        <v>0</v>
      </c>
      <c r="F151" s="48">
        <v>1</v>
      </c>
      <c r="G151" s="110">
        <f>+VLOOKUP(Tabla11034534544554564791081351121722991461485[[#This Row],[Ingrediente]],Tabla34[#All],3,0)</f>
        <v>1563.62346551</v>
      </c>
      <c r="H151" s="111">
        <f>+Tabla11034534544554564791081351121722991461485[[#This Row],[Costo]]*Tabla11034534544554564791081351121722991461485[[#This Row],[Columna2]]</f>
        <v>1563.62346551</v>
      </c>
      <c r="I151" s="4"/>
      <c r="J151" s="5" t="s">
        <v>15</v>
      </c>
      <c r="K151" s="22">
        <f>+K150/K145</f>
        <v>3.1899962316264192</v>
      </c>
    </row>
    <row r="152" spans="2:11" x14ac:dyDescent="0.3">
      <c r="B152" s="21" t="s">
        <v>964</v>
      </c>
      <c r="C152" s="109" t="s">
        <v>188</v>
      </c>
      <c r="D152" s="48">
        <v>3</v>
      </c>
      <c r="E152" s="48">
        <v>0</v>
      </c>
      <c r="F152" s="48">
        <v>3</v>
      </c>
      <c r="G152" s="110">
        <f>+VLOOKUP(Tabla11034534544554564791081351121722991461485[[#This Row],[Ingrediente]],Tabla34[#All],3,0)</f>
        <v>5.9757462099999996</v>
      </c>
      <c r="H152" s="111">
        <f>+Tabla11034534544554564791081351121722991461485[[#This Row],[Costo]]*Tabla11034534544554564791081351121722991461485[[#This Row],[Columna2]]</f>
        <v>17.927238629999998</v>
      </c>
      <c r="I152" s="4"/>
      <c r="J152" s="4"/>
      <c r="K152" s="114"/>
    </row>
    <row r="153" spans="2:11" x14ac:dyDescent="0.3">
      <c r="B153" s="7" t="s">
        <v>336</v>
      </c>
      <c r="C153" s="109" t="s">
        <v>188</v>
      </c>
      <c r="D153" s="48">
        <v>30</v>
      </c>
      <c r="E153" s="48">
        <v>0</v>
      </c>
      <c r="F153" s="48">
        <v>30</v>
      </c>
      <c r="G153" s="110">
        <f>+VLOOKUP(Tabla11034534544554564791081351121722991461485[[#This Row],[Ingrediente]],Tabla34[#All],3,0)</f>
        <v>25.084593470000002</v>
      </c>
      <c r="H153" s="111">
        <f>+Tabla11034534544554564791081351121722991461485[[#This Row],[Costo]]*Tabla11034534544554564791081351121722991461485[[#This Row],[Columna2]]</f>
        <v>752.53780410000002</v>
      </c>
      <c r="I153" s="4"/>
    </row>
    <row r="154" spans="2:11" x14ac:dyDescent="0.3">
      <c r="B154" s="7" t="s">
        <v>455</v>
      </c>
      <c r="C154" s="109" t="s">
        <v>188</v>
      </c>
      <c r="D154" s="48">
        <v>1</v>
      </c>
      <c r="E154" s="48">
        <v>0</v>
      </c>
      <c r="F154" s="48">
        <v>1</v>
      </c>
      <c r="G154" s="110">
        <f>+VLOOKUP(Tabla11034534544554564791081351121722991461485[[#This Row],[Ingrediente]],Tabla34[#All],3,0)</f>
        <v>99.166666669999998</v>
      </c>
      <c r="H154" s="111">
        <f>+Tabla11034534544554564791081351121722991461485[[#This Row],[Costo]]*Tabla11034534544554564791081351121722991461485[[#This Row],[Columna2]]</f>
        <v>99.166666669999998</v>
      </c>
      <c r="I154" s="4"/>
    </row>
    <row r="155" spans="2:11" x14ac:dyDescent="0.3">
      <c r="B155" s="7" t="s">
        <v>458</v>
      </c>
      <c r="C155" s="109" t="s">
        <v>188</v>
      </c>
      <c r="D155" s="48">
        <v>50</v>
      </c>
      <c r="E155" s="48">
        <v>0</v>
      </c>
      <c r="F155" s="48">
        <v>50</v>
      </c>
      <c r="G155" s="110">
        <f>+VLOOKUP(Tabla11034534544554564791081351121722991461485[[#This Row],[Ingrediente]],Tabla34[#All],3,0)</f>
        <v>5</v>
      </c>
      <c r="H155" s="111">
        <f>+Tabla11034534544554564791081351121722991461485[[#This Row],[Costo]]*Tabla11034534544554564791081351121722991461485[[#This Row],[Columna2]]</f>
        <v>250</v>
      </c>
      <c r="I155" s="4"/>
    </row>
    <row r="156" spans="2:11" x14ac:dyDescent="0.3">
      <c r="B156" s="13"/>
      <c r="C156" s="14"/>
      <c r="D156" s="14"/>
      <c r="E156" s="14"/>
      <c r="F156" s="14"/>
      <c r="G156" s="15"/>
      <c r="H156" s="15">
        <f>SUBTOTAL(109,Tabla11034534544554564791081351121722991461485[Total costo])</f>
        <v>12206.785317290001</v>
      </c>
    </row>
    <row r="159" spans="2:11" x14ac:dyDescent="0.3">
      <c r="B159" s="1"/>
      <c r="C159" s="2"/>
      <c r="D159" s="2"/>
      <c r="E159" s="3"/>
      <c r="F159" s="3"/>
      <c r="G159" s="3"/>
      <c r="H159" s="3"/>
      <c r="I159" s="4"/>
      <c r="J159" s="277" t="s">
        <v>0</v>
      </c>
      <c r="K159" s="277"/>
    </row>
    <row r="160" spans="2:11" x14ac:dyDescent="0.3">
      <c r="B160" s="13" t="s">
        <v>1</v>
      </c>
      <c r="C160" s="14" t="s">
        <v>2</v>
      </c>
      <c r="D160" s="14" t="s">
        <v>3</v>
      </c>
      <c r="E160" s="14" t="s">
        <v>343</v>
      </c>
      <c r="F160" s="14" t="s">
        <v>585</v>
      </c>
      <c r="G160" s="28" t="s">
        <v>4</v>
      </c>
      <c r="H160" s="28" t="s">
        <v>5</v>
      </c>
      <c r="I160" s="4"/>
      <c r="J160" s="5" t="s">
        <v>6</v>
      </c>
      <c r="K160" s="6" t="e">
        <f>SUM(Tabla11034534544554564791081351121722991461485163[Total costo])</f>
        <v>#N/A</v>
      </c>
    </row>
    <row r="161" spans="2:11" x14ac:dyDescent="0.3">
      <c r="B161" s="7"/>
      <c r="C161" s="109"/>
      <c r="D161" s="48"/>
      <c r="E161" s="48"/>
      <c r="F161" s="48"/>
      <c r="G161" s="110" t="e">
        <f>+VLOOKUP(Tabla11034534544554564791081351121722991461485163[[#This Row],[Ingrediente]],Tabla34[#All],3,0)</f>
        <v>#N/A</v>
      </c>
      <c r="H161" s="111" t="e">
        <f>+Tabla11034534544554564791081351121722991461485163[[#This Row],[Costo]]*Tabla11034534544554564791081351121722991461485163[[#This Row],[Columna2]]</f>
        <v>#N/A</v>
      </c>
      <c r="J161" s="5" t="s">
        <v>113</v>
      </c>
      <c r="K161" s="6" t="e">
        <f>+K160*5%</f>
        <v>#N/A</v>
      </c>
    </row>
    <row r="162" spans="2:11" x14ac:dyDescent="0.3">
      <c r="B162" s="21"/>
      <c r="C162" s="109"/>
      <c r="D162" s="48"/>
      <c r="E162" s="48"/>
      <c r="F162" s="48"/>
      <c r="G162" s="110" t="e">
        <f>+VLOOKUP(Tabla11034534544554564791081351121722991461485163[[#This Row],[Ingrediente]],Tabla34[#All],3,0)</f>
        <v>#N/A</v>
      </c>
      <c r="H162" s="111" t="e">
        <f>+Tabla11034534544554564791081351121722991461485163[[#This Row],[Costo]]*Tabla11034534544554564791081351121722991461485163[[#This Row],[Columna2]]</f>
        <v>#N/A</v>
      </c>
      <c r="I162" s="4"/>
      <c r="J162" s="5" t="s">
        <v>9</v>
      </c>
      <c r="K162" s="6" t="e">
        <f>+K160+K161</f>
        <v>#N/A</v>
      </c>
    </row>
    <row r="163" spans="2:11" x14ac:dyDescent="0.3">
      <c r="B163" s="7"/>
      <c r="C163" s="109"/>
      <c r="D163" s="48"/>
      <c r="E163" s="48"/>
      <c r="F163" s="48"/>
      <c r="G163" s="110" t="e">
        <f>+VLOOKUP(Tabla11034534544554564791081351121722991461485163[[#This Row],[Ingrediente]],Tabla34[#All],3,0)</f>
        <v>#N/A</v>
      </c>
      <c r="H163" s="111" t="e">
        <f>+Tabla11034534544554564791081351121722991461485163[[#This Row],[Costo]]*Tabla11034534544554564791081351121722991461485163[[#This Row],[Columna2]]</f>
        <v>#N/A</v>
      </c>
      <c r="I163" s="4"/>
      <c r="J163" s="17" t="s">
        <v>10</v>
      </c>
      <c r="K163" s="112">
        <v>58000</v>
      </c>
    </row>
    <row r="164" spans="2:11" x14ac:dyDescent="0.3">
      <c r="B164" s="7"/>
      <c r="C164" s="109"/>
      <c r="D164" s="48"/>
      <c r="E164" s="48"/>
      <c r="F164" s="48"/>
      <c r="G164" s="110" t="e">
        <f>+VLOOKUP(Tabla11034534544554564791081351121722991461485163[[#This Row],[Ingrediente]],Tabla34[#All],3,0)</f>
        <v>#N/A</v>
      </c>
      <c r="H164" s="111" t="e">
        <f>+Tabla11034534544554564791081351121722991461485163[[#This Row],[Costo]]*Tabla11034534544554564791081351121722991461485163[[#This Row],[Columna2]]</f>
        <v>#N/A</v>
      </c>
      <c r="I164" s="4"/>
      <c r="J164" s="5" t="s">
        <v>11</v>
      </c>
      <c r="K164" s="6">
        <f>+K163/1.08*0.08</f>
        <v>4296.2962962962965</v>
      </c>
    </row>
    <row r="165" spans="2:11" x14ac:dyDescent="0.3">
      <c r="B165" s="7"/>
      <c r="C165" s="109"/>
      <c r="D165" s="48"/>
      <c r="E165" s="48"/>
      <c r="F165" s="48"/>
      <c r="G165" s="110" t="e">
        <f>+VLOOKUP(Tabla11034534544554564791081351121722991461485163[[#This Row],[Ingrediente]],Tabla34[#All],3,0)</f>
        <v>#N/A</v>
      </c>
      <c r="H165" s="111" t="e">
        <f>+Tabla11034534544554564791081351121722991461485163[[#This Row],[Costo]]*Tabla11034534544554564791081351121722991461485163[[#This Row],[Columna2]]</f>
        <v>#N/A</v>
      </c>
      <c r="I165" s="4"/>
      <c r="J165" s="5" t="s">
        <v>12</v>
      </c>
      <c r="K165" s="6">
        <f>+K163-K164</f>
        <v>53703.703703703701</v>
      </c>
    </row>
    <row r="166" spans="2:11" x14ac:dyDescent="0.3">
      <c r="B166" s="7"/>
      <c r="C166" s="109"/>
      <c r="D166" s="48"/>
      <c r="E166" s="48"/>
      <c r="F166" s="48"/>
      <c r="G166" s="110" t="e">
        <f>+VLOOKUP(Tabla11034534544554564791081351121722991461485163[[#This Row],[Ingrediente]],Tabla34[#All],3,0)</f>
        <v>#N/A</v>
      </c>
      <c r="H166" s="111" t="e">
        <f>+Tabla11034534544554564791081351121722991461485163[[#This Row],[Costo]]*Tabla11034534544554564791081351121722991461485163[[#This Row],[Columna2]]</f>
        <v>#N/A</v>
      </c>
      <c r="I166" s="4"/>
      <c r="J166" s="5" t="s">
        <v>13</v>
      </c>
      <c r="K166" s="113" t="e">
        <f>+K162/K165</f>
        <v>#N/A</v>
      </c>
    </row>
    <row r="167" spans="2:11" x14ac:dyDescent="0.3">
      <c r="B167" s="7"/>
      <c r="C167" s="109"/>
      <c r="D167" s="48"/>
      <c r="E167" s="48"/>
      <c r="F167" s="48"/>
      <c r="G167" s="110" t="e">
        <f>+VLOOKUP(Tabla11034534544554564791081351121722991461485163[[#This Row],[Ingrediente]],Tabla34[#All],3,0)</f>
        <v>#N/A</v>
      </c>
      <c r="H167" s="111" t="e">
        <f>+Tabla11034534544554564791081351121722991461485163[[#This Row],[Costo]]*Tabla11034534544554564791081351121722991461485163[[#This Row],[Columna2]]</f>
        <v>#N/A</v>
      </c>
      <c r="I167" s="4"/>
      <c r="J167" s="5" t="s">
        <v>14</v>
      </c>
      <c r="K167" s="20" t="e">
        <f>+K165-K162</f>
        <v>#N/A</v>
      </c>
    </row>
    <row r="168" spans="2:11" x14ac:dyDescent="0.3">
      <c r="B168" s="7"/>
      <c r="C168" s="109"/>
      <c r="D168" s="48"/>
      <c r="E168" s="48"/>
      <c r="F168" s="48"/>
      <c r="G168" s="110" t="e">
        <f>+VLOOKUP(Tabla11034534544554564791081351121722991461485163[[#This Row],[Ingrediente]],Tabla34[#All],3,0)</f>
        <v>#N/A</v>
      </c>
      <c r="H168" s="111" t="e">
        <f>+Tabla11034534544554564791081351121722991461485163[[#This Row],[Costo]]*Tabla11034534544554564791081351121722991461485163[[#This Row],[Columna2]]</f>
        <v>#N/A</v>
      </c>
      <c r="I168" s="4"/>
      <c r="J168" s="5" t="s">
        <v>15</v>
      </c>
      <c r="K168" s="22" t="e">
        <f>+K167/K162</f>
        <v>#N/A</v>
      </c>
    </row>
    <row r="169" spans="2:11" x14ac:dyDescent="0.3">
      <c r="B169" s="21"/>
      <c r="C169" s="109"/>
      <c r="D169" s="48"/>
      <c r="E169" s="48"/>
      <c r="F169" s="48"/>
      <c r="G169" s="110" t="e">
        <f>+VLOOKUP(Tabla11034534544554564791081351121722991461485163[[#This Row],[Ingrediente]],Tabla34[#All],3,0)</f>
        <v>#N/A</v>
      </c>
      <c r="H169" s="111" t="e">
        <f>+Tabla11034534544554564791081351121722991461485163[[#This Row],[Costo]]*Tabla11034534544554564791081351121722991461485163[[#This Row],[Columna2]]</f>
        <v>#N/A</v>
      </c>
      <c r="I169" s="4"/>
      <c r="J169" s="4"/>
      <c r="K169" s="114"/>
    </row>
    <row r="170" spans="2:11" x14ac:dyDescent="0.3">
      <c r="B170" s="7"/>
      <c r="C170" s="109"/>
      <c r="D170" s="48"/>
      <c r="E170" s="48"/>
      <c r="F170" s="48"/>
      <c r="G170" s="110" t="e">
        <f>+VLOOKUP(Tabla11034534544554564791081351121722991461485163[[#This Row],[Ingrediente]],Tabla34[#All],3,0)</f>
        <v>#N/A</v>
      </c>
      <c r="H170" s="111" t="e">
        <f>+Tabla11034534544554564791081351121722991461485163[[#This Row],[Costo]]*Tabla11034534544554564791081351121722991461485163[[#This Row],[Columna2]]</f>
        <v>#N/A</v>
      </c>
      <c r="I170" s="4"/>
    </row>
    <row r="171" spans="2:11" x14ac:dyDescent="0.3">
      <c r="B171" s="7"/>
      <c r="C171" s="109"/>
      <c r="D171" s="48"/>
      <c r="E171" s="48"/>
      <c r="F171" s="48"/>
      <c r="G171" s="110" t="e">
        <f>+VLOOKUP(Tabla11034534544554564791081351121722991461485163[[#This Row],[Ingrediente]],Tabla34[#All],3,0)</f>
        <v>#N/A</v>
      </c>
      <c r="H171" s="111" t="e">
        <f>+Tabla11034534544554564791081351121722991461485163[[#This Row],[Costo]]*Tabla11034534544554564791081351121722991461485163[[#This Row],[Columna2]]</f>
        <v>#N/A</v>
      </c>
      <c r="I171" s="4"/>
    </row>
    <row r="172" spans="2:11" x14ac:dyDescent="0.3">
      <c r="B172" s="7"/>
      <c r="C172" s="109"/>
      <c r="D172" s="48"/>
      <c r="E172" s="48"/>
      <c r="F172" s="48"/>
      <c r="G172" s="110" t="e">
        <f>+VLOOKUP(Tabla11034534544554564791081351121722991461485163[[#This Row],[Ingrediente]],Tabla34[#All],3,0)</f>
        <v>#N/A</v>
      </c>
      <c r="H172" s="111" t="e">
        <f>+Tabla11034534544554564791081351121722991461485163[[#This Row],[Costo]]*Tabla11034534544554564791081351121722991461485163[[#This Row],[Columna2]]</f>
        <v>#N/A</v>
      </c>
      <c r="I172" s="4"/>
    </row>
    <row r="173" spans="2:11" x14ac:dyDescent="0.3">
      <c r="B173" s="7"/>
      <c r="C173" s="109"/>
      <c r="D173" s="215"/>
      <c r="E173" s="48"/>
      <c r="F173" s="215"/>
      <c r="G173" s="110" t="e">
        <f>+VLOOKUP(Tabla11034534544554564791081351121722991461485163[[#This Row],[Ingrediente]],Tabla34[#All],3,0)</f>
        <v>#N/A</v>
      </c>
      <c r="H173" s="111" t="e">
        <f>+Tabla11034534544554564791081351121722991461485163[[#This Row],[Costo]]*Tabla11034534544554564791081351121722991461485163[[#This Row],[Columna2]]</f>
        <v>#N/A</v>
      </c>
    </row>
    <row r="174" spans="2:11" x14ac:dyDescent="0.3">
      <c r="B174" s="21"/>
      <c r="C174" s="109"/>
      <c r="D174" s="48"/>
      <c r="E174" s="48"/>
      <c r="F174" s="48"/>
      <c r="G174" s="110" t="e">
        <f>+VLOOKUP(Tabla11034534544554564791081351121722991461485163[[#This Row],[Ingrediente]],Tabla34[#All],3,0)</f>
        <v>#N/A</v>
      </c>
      <c r="H174" s="111" t="e">
        <f>+Tabla11034534544554564791081351121722991461485163[[#This Row],[Costo]]*Tabla11034534544554564791081351121722991461485163[[#This Row],[Columna2]]</f>
        <v>#N/A</v>
      </c>
    </row>
    <row r="175" spans="2:11" x14ac:dyDescent="0.3">
      <c r="B175" s="7"/>
      <c r="C175" s="109"/>
      <c r="D175" s="48"/>
      <c r="E175" s="48"/>
      <c r="F175" s="48"/>
      <c r="G175" s="110" t="e">
        <f>+VLOOKUP(Tabla11034534544554564791081351121722991461485163[[#This Row],[Ingrediente]],Tabla34[#All],3,0)</f>
        <v>#N/A</v>
      </c>
      <c r="H175" s="111" t="e">
        <f>+Tabla11034534544554564791081351121722991461485163[[#This Row],[Costo]]*Tabla11034534544554564791081351121722991461485163[[#This Row],[Columna2]]</f>
        <v>#N/A</v>
      </c>
    </row>
    <row r="176" spans="2:11" x14ac:dyDescent="0.3">
      <c r="B176" s="21"/>
      <c r="C176" s="109"/>
      <c r="D176" s="48"/>
      <c r="E176" s="48"/>
      <c r="F176" s="48"/>
      <c r="G176" s="110" t="e">
        <f>+VLOOKUP(Tabla11034534544554564791081351121722991461485163[[#This Row],[Ingrediente]],Tabla34[#All],3,0)</f>
        <v>#N/A</v>
      </c>
      <c r="H176" s="111" t="e">
        <f>+Tabla11034534544554564791081351121722991461485163[[#This Row],[Costo]]*Tabla11034534544554564791081351121722991461485163[[#This Row],[Columna2]]</f>
        <v>#N/A</v>
      </c>
    </row>
    <row r="177" spans="2:8" x14ac:dyDescent="0.3">
      <c r="B177" s="13"/>
      <c r="C177" s="14"/>
      <c r="D177" s="14"/>
      <c r="E177" s="14"/>
      <c r="F177" s="14"/>
      <c r="G177" s="15"/>
      <c r="H177" s="15" t="e">
        <f>SUBTOTAL(109,Tabla11034534544554564791081351121722991461485163[Total costo])</f>
        <v>#N/A</v>
      </c>
    </row>
  </sheetData>
  <mergeCells count="12">
    <mergeCell ref="J159:K159"/>
    <mergeCell ref="J142:K142"/>
    <mergeCell ref="J6:K6"/>
    <mergeCell ref="J25:K25"/>
    <mergeCell ref="J36:K36"/>
    <mergeCell ref="J69:K69"/>
    <mergeCell ref="J53:K53"/>
    <mergeCell ref="J93:K93"/>
    <mergeCell ref="J105:K105"/>
    <mergeCell ref="J117:K117"/>
    <mergeCell ref="J129:K129"/>
    <mergeCell ref="J82:K82"/>
  </mergeCells>
  <phoneticPr fontId="20" type="noConversion"/>
  <conditionalFormatting sqref="K13">
    <cfRule type="cellIs" dxfId="585" priority="53" operator="lessThan">
      <formula>0.3</formula>
    </cfRule>
    <cfRule type="cellIs" dxfId="584" priority="54" operator="greaterThan">
      <formula>0.3</formula>
    </cfRule>
  </conditionalFormatting>
  <conditionalFormatting sqref="K32">
    <cfRule type="cellIs" dxfId="583" priority="11" operator="lessThan">
      <formula>0.3</formula>
    </cfRule>
    <cfRule type="cellIs" dxfId="582" priority="12" operator="greaterThan">
      <formula>0.3</formula>
    </cfRule>
  </conditionalFormatting>
  <conditionalFormatting sqref="K43">
    <cfRule type="cellIs" dxfId="581" priority="45" operator="lessThan">
      <formula>0.3</formula>
    </cfRule>
    <cfRule type="cellIs" dxfId="580" priority="46" operator="greaterThan">
      <formula>0.3</formula>
    </cfRule>
  </conditionalFormatting>
  <conditionalFormatting sqref="K60">
    <cfRule type="cellIs" dxfId="579" priority="41" operator="lessThan">
      <formula>0.3</formula>
    </cfRule>
    <cfRule type="cellIs" dxfId="578" priority="42" operator="greaterThan">
      <formula>0.3</formula>
    </cfRule>
  </conditionalFormatting>
  <conditionalFormatting sqref="K76">
    <cfRule type="cellIs" dxfId="577" priority="39" operator="lessThan">
      <formula>0.3</formula>
    </cfRule>
    <cfRule type="cellIs" dxfId="576" priority="40" operator="greaterThan">
      <formula>0.3</formula>
    </cfRule>
  </conditionalFormatting>
  <conditionalFormatting sqref="K89">
    <cfRule type="cellIs" dxfId="575" priority="7" operator="lessThan">
      <formula>0.3</formula>
    </cfRule>
    <cfRule type="cellIs" dxfId="574" priority="8" operator="greaterThan">
      <formula>0.3</formula>
    </cfRule>
  </conditionalFormatting>
  <conditionalFormatting sqref="K100">
    <cfRule type="cellIs" dxfId="573" priority="5" operator="lessThan">
      <formula>0.3</formula>
    </cfRule>
    <cfRule type="cellIs" dxfId="572" priority="6" operator="greaterThan">
      <formula>0.3</formula>
    </cfRule>
  </conditionalFormatting>
  <conditionalFormatting sqref="K112">
    <cfRule type="cellIs" dxfId="571" priority="29" operator="lessThan">
      <formula>0.3</formula>
    </cfRule>
    <cfRule type="cellIs" dxfId="570" priority="30" operator="greaterThan">
      <formula>0.3</formula>
    </cfRule>
  </conditionalFormatting>
  <conditionalFormatting sqref="K124">
    <cfRule type="cellIs" dxfId="569" priority="27" operator="lessThan">
      <formula>0.3</formula>
    </cfRule>
    <cfRule type="cellIs" dxfId="568" priority="28" operator="greaterThan">
      <formula>0.3</formula>
    </cfRule>
  </conditionalFormatting>
  <conditionalFormatting sqref="K136">
    <cfRule type="cellIs" dxfId="567" priority="25" operator="lessThan">
      <formula>0.3</formula>
    </cfRule>
    <cfRule type="cellIs" dxfId="566" priority="26" operator="greaterThan">
      <formula>0.3</formula>
    </cfRule>
  </conditionalFormatting>
  <conditionalFormatting sqref="K149">
    <cfRule type="cellIs" dxfId="565" priority="3" operator="lessThan">
      <formula>0.3</formula>
    </cfRule>
    <cfRule type="cellIs" dxfId="564" priority="4" operator="greaterThan">
      <formula>0.3</formula>
    </cfRule>
  </conditionalFormatting>
  <conditionalFormatting sqref="K166">
    <cfRule type="cellIs" dxfId="563" priority="1" operator="lessThan">
      <formula>0.3</formula>
    </cfRule>
    <cfRule type="cellIs" dxfId="562" priority="2" operator="greaterThan">
      <formula>0.3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tableParts count="12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59593-147A-4EE5-96D2-5896351B0D23}">
  <dimension ref="B3:L281"/>
  <sheetViews>
    <sheetView showGridLines="0" topLeftCell="A37" workbookViewId="0">
      <selection activeCell="F274" sqref="F274"/>
    </sheetView>
  </sheetViews>
  <sheetFormatPr baseColWidth="10" defaultRowHeight="14.4" x14ac:dyDescent="0.3"/>
  <cols>
    <col min="1" max="1" width="4" customWidth="1"/>
    <col min="2" max="2" width="42.5546875" customWidth="1"/>
    <col min="3" max="3" width="10" customWidth="1"/>
    <col min="4" max="4" width="12.21875" customWidth="1"/>
    <col min="6" max="6" width="10.88671875" customWidth="1"/>
    <col min="7" max="7" width="12" bestFit="1" customWidth="1"/>
    <col min="8" max="8" width="14.5546875" customWidth="1"/>
    <col min="9" max="9" width="4.44140625" customWidth="1"/>
    <col min="10" max="10" width="27.21875" bestFit="1" customWidth="1"/>
    <col min="12" max="12" width="12.6640625" bestFit="1" customWidth="1"/>
  </cols>
  <sheetData>
    <row r="3" spans="2:12" x14ac:dyDescent="0.3">
      <c r="L3" s="49"/>
    </row>
    <row r="6" spans="2:12" x14ac:dyDescent="0.3">
      <c r="B6" s="89" t="s">
        <v>60</v>
      </c>
      <c r="C6" s="88"/>
      <c r="D6" s="88"/>
      <c r="E6" s="88"/>
      <c r="F6" s="88"/>
      <c r="G6" s="88"/>
      <c r="H6" s="88"/>
      <c r="J6" s="277" t="s">
        <v>0</v>
      </c>
      <c r="K6" s="277"/>
      <c r="L6" s="44"/>
    </row>
    <row r="7" spans="2:12" ht="26.4" x14ac:dyDescent="0.3">
      <c r="B7" s="13" t="s">
        <v>1</v>
      </c>
      <c r="C7" s="14" t="s">
        <v>2</v>
      </c>
      <c r="D7" s="87" t="s">
        <v>571</v>
      </c>
      <c r="E7" s="87" t="s">
        <v>572</v>
      </c>
      <c r="F7" s="87" t="s">
        <v>573</v>
      </c>
      <c r="G7" s="28" t="s">
        <v>4</v>
      </c>
      <c r="H7" s="28" t="s">
        <v>5</v>
      </c>
      <c r="I7" s="4"/>
      <c r="J7" s="5" t="s">
        <v>6</v>
      </c>
      <c r="K7" s="6" t="e">
        <f>SUM(Tabla1103453454455456479[Total costo])</f>
        <v>#N/A</v>
      </c>
    </row>
    <row r="8" spans="2:12" x14ac:dyDescent="0.3">
      <c r="B8" s="7" t="s">
        <v>687</v>
      </c>
      <c r="C8" s="8" t="s">
        <v>188</v>
      </c>
      <c r="D8" s="9">
        <v>10</v>
      </c>
      <c r="E8" s="9">
        <v>0</v>
      </c>
      <c r="F8" s="9">
        <v>10</v>
      </c>
      <c r="G8" s="10">
        <f>+VLOOKUP(Tabla1103453454455456479[[#This Row],[Ingrediente]],Tabla34[#All],3,0)</f>
        <v>84.475308639999994</v>
      </c>
      <c r="H8" s="11">
        <f>+Tabla1103453454455456479[[#This Row],[Costo]]*Tabla1103453454455456479[[#This Row],[Unidades]]</f>
        <v>844.75308639999992</v>
      </c>
      <c r="I8" s="4"/>
      <c r="J8" s="5" t="s">
        <v>8</v>
      </c>
      <c r="K8" s="12" t="e">
        <f>+K7*5%</f>
        <v>#N/A</v>
      </c>
    </row>
    <row r="9" spans="2:12" x14ac:dyDescent="0.3">
      <c r="B9" s="7" t="s">
        <v>470</v>
      </c>
      <c r="C9" s="8" t="s">
        <v>188</v>
      </c>
      <c r="D9" s="9">
        <v>8</v>
      </c>
      <c r="E9" s="9">
        <v>5</v>
      </c>
      <c r="F9" s="9">
        <v>8.4209999999999994</v>
      </c>
      <c r="G9" s="10">
        <f>+VLOOKUP(Tabla1103453454455456479[[#This Row],[Ingrediente]],Tabla34[#All],3,0)</f>
        <v>8</v>
      </c>
      <c r="H9" s="11">
        <f>+Tabla1103453454455456479[[#This Row],[Costo]]*Tabla1103453454455456479[[#This Row],[Unidades]]</f>
        <v>67.367999999999995</v>
      </c>
      <c r="I9" s="4"/>
      <c r="J9" s="5" t="s">
        <v>9</v>
      </c>
      <c r="K9" s="12" t="e">
        <f>+K7+K8</f>
        <v>#N/A</v>
      </c>
    </row>
    <row r="10" spans="2:12" x14ac:dyDescent="0.3">
      <c r="B10" s="21" t="s">
        <v>442</v>
      </c>
      <c r="C10" s="8" t="s">
        <v>188</v>
      </c>
      <c r="D10" s="9">
        <v>3</v>
      </c>
      <c r="E10" s="9">
        <v>0</v>
      </c>
      <c r="F10" s="9">
        <v>3</v>
      </c>
      <c r="G10" s="10">
        <f>+VLOOKUP(Tabla1103453454455456479[[#This Row],[Ingrediente]],Tabla34[#All],3,0)</f>
        <v>20.111000000000001</v>
      </c>
      <c r="H10" s="11">
        <f>+Tabla1103453454455456479[[#This Row],[Costo]]*Tabla1103453454455456479[[#This Row],[Unidades]]</f>
        <v>60.332999999999998</v>
      </c>
      <c r="I10" s="4"/>
      <c r="J10" s="17" t="s">
        <v>10</v>
      </c>
      <c r="K10" s="18">
        <v>70000</v>
      </c>
    </row>
    <row r="11" spans="2:12" x14ac:dyDescent="0.3">
      <c r="B11" s="21" t="s">
        <v>480</v>
      </c>
      <c r="C11" s="8" t="s">
        <v>188</v>
      </c>
      <c r="D11" s="9">
        <v>1</v>
      </c>
      <c r="E11" s="9">
        <v>0</v>
      </c>
      <c r="F11" s="9">
        <v>1</v>
      </c>
      <c r="G11" s="10">
        <f>+VLOOKUP(Tabla1103453454455456479[[#This Row],[Ingrediente]],Tabla34[#All],3,0)</f>
        <v>328.34</v>
      </c>
      <c r="H11" s="11">
        <f>+Tabla1103453454455456479[[#This Row],[Costo]]*Tabla1103453454455456479[[#This Row],[Unidades]]</f>
        <v>328.34</v>
      </c>
      <c r="I11" s="4"/>
      <c r="J11" s="5" t="s">
        <v>11</v>
      </c>
      <c r="K11" s="12">
        <f>+K10/1.08*0.08</f>
        <v>5185.1851851851852</v>
      </c>
    </row>
    <row r="12" spans="2:12" x14ac:dyDescent="0.3">
      <c r="B12" s="7" t="s">
        <v>373</v>
      </c>
      <c r="C12" s="8" t="s">
        <v>570</v>
      </c>
      <c r="D12" s="9">
        <v>7</v>
      </c>
      <c r="E12" s="9">
        <v>0</v>
      </c>
      <c r="F12" s="9">
        <v>7</v>
      </c>
      <c r="G12" s="10">
        <f>+VLOOKUP(Tabla1103453454455456479[[#This Row],[Ingrediente]],Tabla34[#All],3,0)</f>
        <v>485.71428571000001</v>
      </c>
      <c r="H12" s="11">
        <f>+Tabla1103453454455456479[[#This Row],[Costo]]*Tabla1103453454455456479[[#This Row],[Unidades]]</f>
        <v>3399.9999999700003</v>
      </c>
      <c r="I12" s="4"/>
      <c r="J12" s="5" t="s">
        <v>12</v>
      </c>
      <c r="K12" s="12">
        <f>+K10-K11</f>
        <v>64814.814814814818</v>
      </c>
    </row>
    <row r="13" spans="2:12" x14ac:dyDescent="0.3">
      <c r="B13" s="7" t="s">
        <v>1301</v>
      </c>
      <c r="C13" s="8" t="s">
        <v>570</v>
      </c>
      <c r="D13" s="9">
        <v>0.18</v>
      </c>
      <c r="E13" s="9">
        <v>0</v>
      </c>
      <c r="F13" s="9">
        <v>0.18</v>
      </c>
      <c r="G13" s="10" t="e">
        <f>+VLOOKUP(Tabla1103453454455456479[[#This Row],[Ingrediente]],Tabla34[#All],3,0)</f>
        <v>#N/A</v>
      </c>
      <c r="H13" s="11" t="e">
        <f>+Tabla1103453454455456479[[#This Row],[Costo]]*Tabla1103453454455456479[[#This Row],[Unidades]]</f>
        <v>#N/A</v>
      </c>
      <c r="I13" s="4"/>
      <c r="J13" s="5" t="s">
        <v>13</v>
      </c>
      <c r="K13" s="19" t="e">
        <f>+K9/K12</f>
        <v>#N/A</v>
      </c>
    </row>
    <row r="14" spans="2:12" x14ac:dyDescent="0.3">
      <c r="B14" s="7" t="s">
        <v>446</v>
      </c>
      <c r="C14" s="8" t="s">
        <v>188</v>
      </c>
      <c r="D14" s="9">
        <v>2</v>
      </c>
      <c r="E14" s="9">
        <v>40</v>
      </c>
      <c r="F14" s="9">
        <v>3.3330000000000002</v>
      </c>
      <c r="G14" s="10">
        <f>+VLOOKUP(Tabla1103453454455456479[[#This Row],[Ingrediente]],Tabla34[#All],3,0)</f>
        <v>5.5</v>
      </c>
      <c r="H14" s="11">
        <f>+Tabla1103453454455456479[[#This Row],[Costo]]*Tabla1103453454455456479[[#This Row],[Unidades]]</f>
        <v>18.331500000000002</v>
      </c>
      <c r="I14" s="4"/>
      <c r="J14" s="5" t="s">
        <v>14</v>
      </c>
      <c r="K14" s="20" t="e">
        <f>+K12-K9</f>
        <v>#N/A</v>
      </c>
    </row>
    <row r="15" spans="2:12" x14ac:dyDescent="0.3">
      <c r="B15" s="7" t="s">
        <v>412</v>
      </c>
      <c r="C15" s="8" t="s">
        <v>570</v>
      </c>
      <c r="D15" s="9">
        <v>3</v>
      </c>
      <c r="E15" s="9">
        <v>0</v>
      </c>
      <c r="F15" s="9">
        <v>3</v>
      </c>
      <c r="G15" s="10">
        <f>+VLOOKUP(Tabla1103453454455456479[[#This Row],[Ingrediente]],Tabla34[#All],3,0)</f>
        <v>323.68</v>
      </c>
      <c r="H15" s="11">
        <f>+Tabla1103453454455456479[[#This Row],[Costo]]*Tabla1103453454455456479[[#This Row],[Unidades]]</f>
        <v>971.04</v>
      </c>
      <c r="I15" s="4"/>
      <c r="J15" s="5" t="s">
        <v>15</v>
      </c>
      <c r="K15" s="22" t="e">
        <f>+K14/K9</f>
        <v>#N/A</v>
      </c>
    </row>
    <row r="16" spans="2:12" x14ac:dyDescent="0.3">
      <c r="B16" s="7" t="s">
        <v>376</v>
      </c>
      <c r="C16" s="8" t="s">
        <v>188</v>
      </c>
      <c r="D16" s="9">
        <v>40</v>
      </c>
      <c r="E16" s="9">
        <v>0</v>
      </c>
      <c r="F16" s="9">
        <v>40</v>
      </c>
      <c r="G16" s="10">
        <f>+VLOOKUP(Tabla1103453454455456479[[#This Row],[Ingrediente]],Tabla34[#All],3,0)</f>
        <v>60.98749999999999</v>
      </c>
      <c r="H16" s="11">
        <f>+Tabla1103453454455456479[[#This Row],[Costo]]*Tabla1103453454455456479[[#This Row],[Unidades]]</f>
        <v>2439.4999999999995</v>
      </c>
      <c r="I16" s="4"/>
      <c r="J16" s="4"/>
      <c r="K16" s="23"/>
    </row>
    <row r="17" spans="2:12" x14ac:dyDescent="0.3">
      <c r="B17" s="21" t="s">
        <v>482</v>
      </c>
      <c r="C17" s="8" t="s">
        <v>188</v>
      </c>
      <c r="D17" s="9">
        <v>4</v>
      </c>
      <c r="E17" s="9">
        <v>0</v>
      </c>
      <c r="F17" s="9">
        <v>4</v>
      </c>
      <c r="G17" s="10">
        <f>+VLOOKUP(Tabla1103453454455456479[[#This Row],[Ingrediente]],Tabla34[#All],3,0)</f>
        <v>2.6999075600000002</v>
      </c>
      <c r="H17" s="11">
        <f>+Tabla1103453454455456479[[#This Row],[Costo]]*Tabla1103453454455456479[[#This Row],[Unidades]]</f>
        <v>10.799630240000001</v>
      </c>
      <c r="I17" s="4"/>
      <c r="J17" s="4"/>
      <c r="K17" s="23"/>
    </row>
    <row r="18" spans="2:12" x14ac:dyDescent="0.3">
      <c r="B18" s="21" t="s">
        <v>341</v>
      </c>
      <c r="C18" s="8" t="s">
        <v>188</v>
      </c>
      <c r="D18" s="9">
        <v>20</v>
      </c>
      <c r="E18" s="9">
        <v>0</v>
      </c>
      <c r="F18" s="9">
        <v>20</v>
      </c>
      <c r="G18" s="10">
        <f>+VLOOKUP(Tabla1103453454455456479[[#This Row],[Ingrediente]],Tabla34[#All],3,0)</f>
        <v>12.80723817</v>
      </c>
      <c r="H18" s="11">
        <f>+Tabla1103453454455456479[[#This Row],[Costo]]*Tabla1103453454455456479[[#This Row],[Unidades]]</f>
        <v>256.14476339999999</v>
      </c>
      <c r="I18" s="24"/>
      <c r="J18" s="24"/>
      <c r="K18" s="24"/>
    </row>
    <row r="19" spans="2:12" x14ac:dyDescent="0.3">
      <c r="B19" s="7" t="s">
        <v>465</v>
      </c>
      <c r="C19" s="8" t="s">
        <v>188</v>
      </c>
      <c r="D19" s="9">
        <v>90</v>
      </c>
      <c r="E19" s="9">
        <v>0</v>
      </c>
      <c r="F19" s="9">
        <v>90</v>
      </c>
      <c r="G19" s="10">
        <f>+VLOOKUP(Tabla1103453454455456479[[#This Row],[Ingrediente]],Tabla34[#All],3,0)</f>
        <v>12.761458230000001</v>
      </c>
      <c r="H19" s="11">
        <f>+Tabla1103453454455456479[[#This Row],[Costo]]*Tabla1103453454455456479[[#This Row],[Unidades]]</f>
        <v>1148.5312407000001</v>
      </c>
    </row>
    <row r="20" spans="2:12" x14ac:dyDescent="0.3">
      <c r="B20" s="7" t="s">
        <v>1286</v>
      </c>
      <c r="C20" s="8" t="s">
        <v>188</v>
      </c>
      <c r="D20" s="9">
        <v>50</v>
      </c>
      <c r="E20" s="9">
        <v>0</v>
      </c>
      <c r="F20" s="9">
        <v>50</v>
      </c>
      <c r="G20" s="10" t="e">
        <f>+VLOOKUP(Tabla1103453454455456479[[#This Row],[Ingrediente]],Tabla34[#All],3,0)</f>
        <v>#N/A</v>
      </c>
      <c r="H20" s="11" t="e">
        <f>+Tabla1103453454455456479[[#This Row],[Costo]]*Tabla1103453454455456479[[#This Row],[Unidades]]</f>
        <v>#N/A</v>
      </c>
    </row>
    <row r="21" spans="2:12" x14ac:dyDescent="0.3">
      <c r="B21" s="7" t="s">
        <v>528</v>
      </c>
      <c r="C21" s="8" t="s">
        <v>188</v>
      </c>
      <c r="D21" s="9">
        <v>240</v>
      </c>
      <c r="E21" s="9">
        <v>0</v>
      </c>
      <c r="F21" s="9">
        <v>240</v>
      </c>
      <c r="G21" s="10">
        <f>+VLOOKUP(Tabla1103453454455456479[[#This Row],[Ingrediente]],Tabla34[#All],3,0)</f>
        <v>4.8201292200000001</v>
      </c>
      <c r="H21" s="11">
        <f>+Tabla1103453454455456479[[#This Row],[Costo]]*Tabla1103453454455456479[[#This Row],[Unidades]]</f>
        <v>1156.8310128000001</v>
      </c>
    </row>
    <row r="22" spans="2:12" x14ac:dyDescent="0.3">
      <c r="B22" s="7" t="s">
        <v>137</v>
      </c>
      <c r="C22" s="8" t="s">
        <v>188</v>
      </c>
      <c r="D22" s="9">
        <v>20</v>
      </c>
      <c r="E22" s="9">
        <v>0</v>
      </c>
      <c r="F22" s="9">
        <v>20</v>
      </c>
      <c r="G22" s="10">
        <f>+VLOOKUP(Tabla1103453454455456479[[#This Row],[Ingrediente]],Tabla34[#All],3,0)</f>
        <v>11.13267572</v>
      </c>
      <c r="H22" s="11">
        <f>+Tabla1103453454455456479[[#This Row],[Costo]]*Tabla1103453454455456479[[#This Row],[Unidades]]</f>
        <v>222.65351440000001</v>
      </c>
    </row>
    <row r="23" spans="2:12" x14ac:dyDescent="0.3">
      <c r="B23" s="7" t="s">
        <v>448</v>
      </c>
      <c r="C23" s="8" t="s">
        <v>570</v>
      </c>
      <c r="D23" s="9">
        <v>1</v>
      </c>
      <c r="E23" s="9">
        <v>0</v>
      </c>
      <c r="F23" s="9">
        <v>1</v>
      </c>
      <c r="G23" s="10">
        <f>+VLOOKUP(Tabla1103453454455456479[[#This Row],[Ingrediente]],Tabla34[#All],3,0)</f>
        <v>1511.9012266699999</v>
      </c>
      <c r="H23" s="11">
        <f>+Tabla1103453454455456479[[#This Row],[Costo]]*Tabla1103453454455456479[[#This Row],[Unidades]]</f>
        <v>1511.9012266699999</v>
      </c>
    </row>
    <row r="24" spans="2:12" x14ac:dyDescent="0.3">
      <c r="B24" s="7" t="s">
        <v>92</v>
      </c>
      <c r="C24" s="8" t="s">
        <v>188</v>
      </c>
      <c r="D24" s="9">
        <v>10</v>
      </c>
      <c r="E24" s="9">
        <v>0</v>
      </c>
      <c r="F24" s="9">
        <v>10</v>
      </c>
      <c r="G24" s="10">
        <f>+VLOOKUP(Tabla1103453454455456479[[#This Row],[Ingrediente]],Tabla34[#All],3,0)</f>
        <v>10.625185460000001</v>
      </c>
      <c r="H24" s="11">
        <f>+Tabla1103453454455456479[[#This Row],[Costo]]*Tabla1103453454455456479[[#This Row],[Unidades]]</f>
        <v>106.2518546</v>
      </c>
    </row>
    <row r="25" spans="2:12" x14ac:dyDescent="0.3">
      <c r="B25" s="7" t="s">
        <v>363</v>
      </c>
      <c r="C25" s="8" t="s">
        <v>570</v>
      </c>
      <c r="D25" s="9">
        <v>0.26</v>
      </c>
      <c r="E25" s="9">
        <v>0</v>
      </c>
      <c r="F25" s="9">
        <v>0.26</v>
      </c>
      <c r="G25" s="10">
        <f>+VLOOKUP(Tabla1103453454455456479[[#This Row],[Ingrediente]],Tabla34[#All],3,0)</f>
        <v>20955.187312270002</v>
      </c>
      <c r="H25" s="11">
        <f>+Tabla1103453454455456479[[#This Row],[Costo]]*Tabla1103453454455456479[[#This Row],[Unidades]]</f>
        <v>5448.3487011902007</v>
      </c>
    </row>
    <row r="26" spans="2:12" x14ac:dyDescent="0.3">
      <c r="B26" s="7" t="s">
        <v>533</v>
      </c>
      <c r="C26" s="8" t="s">
        <v>570</v>
      </c>
      <c r="D26" s="9">
        <v>1</v>
      </c>
      <c r="E26" s="9">
        <v>0</v>
      </c>
      <c r="F26" s="9">
        <v>1</v>
      </c>
      <c r="G26" s="10">
        <f>+VLOOKUP(Tabla1103453454455456479[[#This Row],[Ingrediente]],Tabla34[#All],3,0)</f>
        <v>4002.0382164999996</v>
      </c>
      <c r="H26" s="11">
        <f>+Tabla1103453454455456479[[#This Row],[Costo]]*Tabla1103453454455456479[[#This Row],[Unidades]]</f>
        <v>4002.0382164999996</v>
      </c>
    </row>
    <row r="27" spans="2:12" x14ac:dyDescent="0.3">
      <c r="B27" s="7" t="s">
        <v>444</v>
      </c>
      <c r="C27" s="8" t="s">
        <v>188</v>
      </c>
      <c r="D27" s="9">
        <v>3</v>
      </c>
      <c r="E27" s="9">
        <v>0</v>
      </c>
      <c r="F27" s="9">
        <v>3</v>
      </c>
      <c r="G27" s="10">
        <f>+VLOOKUP(Tabla1103453454455456479[[#This Row],[Ingrediente]],Tabla34[#All],3,0)</f>
        <v>39</v>
      </c>
      <c r="H27" s="11">
        <f>+Tabla1103453454455456479[[#This Row],[Costo]]*Tabla1103453454455456479[[#This Row],[Unidades]]</f>
        <v>117</v>
      </c>
    </row>
    <row r="28" spans="2:12" x14ac:dyDescent="0.3">
      <c r="B28" s="13"/>
      <c r="C28" s="14"/>
      <c r="D28" s="14"/>
      <c r="E28" s="14"/>
      <c r="F28" s="14"/>
      <c r="G28" s="15"/>
      <c r="H28" s="15" t="e">
        <f>SUBTOTAL(109,Tabla1103453454455456479[Total costo])</f>
        <v>#N/A</v>
      </c>
    </row>
    <row r="30" spans="2:12" x14ac:dyDescent="0.3">
      <c r="B30" s="89" t="s">
        <v>1302</v>
      </c>
      <c r="C30" s="88"/>
      <c r="D30" s="88"/>
      <c r="E30" s="88"/>
      <c r="F30" s="88"/>
      <c r="G30" s="88"/>
      <c r="H30" s="88"/>
      <c r="J30" s="277" t="s">
        <v>0</v>
      </c>
      <c r="K30" s="277"/>
    </row>
    <row r="31" spans="2:12" ht="26.4" x14ac:dyDescent="0.3">
      <c r="B31" s="13" t="s">
        <v>1</v>
      </c>
      <c r="C31" s="14" t="s">
        <v>2</v>
      </c>
      <c r="D31" s="87" t="s">
        <v>571</v>
      </c>
      <c r="E31" s="87" t="s">
        <v>572</v>
      </c>
      <c r="F31" s="87" t="s">
        <v>573</v>
      </c>
      <c r="G31" s="28" t="s">
        <v>4</v>
      </c>
      <c r="H31" s="28" t="s">
        <v>5</v>
      </c>
      <c r="I31" s="4"/>
      <c r="J31" s="5" t="s">
        <v>6</v>
      </c>
      <c r="K31" s="6">
        <f>SUM(Tabla110345345445545647919[Total costo])</f>
        <v>17442.991560809998</v>
      </c>
      <c r="L31" s="44"/>
    </row>
    <row r="32" spans="2:12" x14ac:dyDescent="0.3">
      <c r="B32" s="21" t="s">
        <v>470</v>
      </c>
      <c r="C32" s="8" t="s">
        <v>188</v>
      </c>
      <c r="D32" s="9">
        <v>15</v>
      </c>
      <c r="E32" s="9">
        <v>10</v>
      </c>
      <c r="F32" s="9">
        <v>16.667000000000002</v>
      </c>
      <c r="G32" s="10">
        <f>+VLOOKUP(Tabla110345345445545647919[[#This Row],[Ingrediente]],Tabla34[#All],3,0)</f>
        <v>8</v>
      </c>
      <c r="H32" s="11">
        <f>+Tabla110345345445545647919[[#This Row],[Costo]]*Tabla110345345445545647919[[#This Row],[Unidades]]</f>
        <v>133.33600000000001</v>
      </c>
      <c r="I32" s="4"/>
      <c r="J32" s="5" t="s">
        <v>8</v>
      </c>
      <c r="K32" s="12">
        <f>+K31*5%</f>
        <v>872.14957804049993</v>
      </c>
    </row>
    <row r="33" spans="2:11" x14ac:dyDescent="0.3">
      <c r="B33" s="7" t="s">
        <v>373</v>
      </c>
      <c r="C33" s="8" t="s">
        <v>570</v>
      </c>
      <c r="D33" s="9">
        <v>7</v>
      </c>
      <c r="E33" s="9">
        <v>0</v>
      </c>
      <c r="F33" s="9">
        <v>7</v>
      </c>
      <c r="G33" s="10">
        <f>+VLOOKUP(Tabla110345345445545647919[[#This Row],[Ingrediente]],Tabla34[#All],3,0)</f>
        <v>485.71428571000001</v>
      </c>
      <c r="H33" s="11">
        <f>+Tabla110345345445545647919[[#This Row],[Costo]]*Tabla110345345445545647919[[#This Row],[Unidades]]</f>
        <v>3399.9999999700003</v>
      </c>
      <c r="I33" s="4"/>
      <c r="J33" s="5" t="s">
        <v>9</v>
      </c>
      <c r="K33" s="12">
        <f>+K31+K32</f>
        <v>18315.141138850497</v>
      </c>
    </row>
    <row r="34" spans="2:11" x14ac:dyDescent="0.3">
      <c r="B34" s="21" t="s">
        <v>490</v>
      </c>
      <c r="C34" s="8" t="s">
        <v>188</v>
      </c>
      <c r="D34" s="9">
        <v>15</v>
      </c>
      <c r="E34" s="9">
        <v>30</v>
      </c>
      <c r="F34" s="9">
        <v>21.428999999999998</v>
      </c>
      <c r="G34" s="10">
        <f>+VLOOKUP(Tabla110345345445545647919[[#This Row],[Ingrediente]],Tabla34[#All],3,0)</f>
        <v>5</v>
      </c>
      <c r="H34" s="11">
        <f>+Tabla110345345445545647919[[#This Row],[Costo]]*Tabla110345345445545647919[[#This Row],[Unidades]]</f>
        <v>107.145</v>
      </c>
      <c r="I34" s="4"/>
      <c r="J34" s="17" t="s">
        <v>10</v>
      </c>
      <c r="K34" s="18">
        <v>64000</v>
      </c>
    </row>
    <row r="35" spans="2:11" x14ac:dyDescent="0.3">
      <c r="B35" s="7" t="s">
        <v>446</v>
      </c>
      <c r="C35" s="8" t="s">
        <v>188</v>
      </c>
      <c r="D35" s="9">
        <v>3</v>
      </c>
      <c r="E35" s="9">
        <v>40</v>
      </c>
      <c r="F35" s="9">
        <v>5</v>
      </c>
      <c r="G35" s="10">
        <f>+VLOOKUP(Tabla110345345445545647919[[#This Row],[Ingrediente]],Tabla34[#All],3,0)</f>
        <v>5.5</v>
      </c>
      <c r="H35" s="11">
        <f>+Tabla110345345445545647919[[#This Row],[Costo]]*Tabla110345345445545647919[[#This Row],[Unidades]]</f>
        <v>27.5</v>
      </c>
      <c r="I35" s="4"/>
      <c r="J35" s="5" t="s">
        <v>11</v>
      </c>
      <c r="K35" s="12">
        <f>+K34/1.08*0.08</f>
        <v>4740.7407407407409</v>
      </c>
    </row>
    <row r="36" spans="2:11" x14ac:dyDescent="0.3">
      <c r="B36" s="21" t="s">
        <v>459</v>
      </c>
      <c r="C36" s="8" t="s">
        <v>188</v>
      </c>
      <c r="D36" s="9">
        <v>1</v>
      </c>
      <c r="E36" s="9">
        <v>0</v>
      </c>
      <c r="F36" s="9">
        <v>1</v>
      </c>
      <c r="G36" s="10">
        <f>+VLOOKUP(Tabla110345345445545647919[[#This Row],[Ingrediente]],Tabla34[#All],3,0)</f>
        <v>58.140352939999993</v>
      </c>
      <c r="H36" s="11">
        <f>+Tabla110345345445545647919[[#This Row],[Costo]]*Tabla110345345445545647919[[#This Row],[Unidades]]</f>
        <v>58.140352939999993</v>
      </c>
      <c r="I36" s="4"/>
      <c r="J36" s="5" t="s">
        <v>12</v>
      </c>
      <c r="K36" s="12">
        <f>+K34-K35</f>
        <v>59259.259259259255</v>
      </c>
    </row>
    <row r="37" spans="2:11" x14ac:dyDescent="0.3">
      <c r="B37" s="21" t="s">
        <v>368</v>
      </c>
      <c r="C37" s="8" t="s">
        <v>188</v>
      </c>
      <c r="D37" s="9">
        <v>50</v>
      </c>
      <c r="E37" s="9">
        <v>10</v>
      </c>
      <c r="F37" s="9">
        <v>55.555999999999997</v>
      </c>
      <c r="G37" s="10">
        <f>+VLOOKUP(Tabla110345345445545647919[[#This Row],[Ingrediente]],Tabla34[#All],3,0)</f>
        <v>37</v>
      </c>
      <c r="H37" s="11">
        <f>+Tabla110345345445545647919[[#This Row],[Costo]]*Tabla110345345445545647919[[#This Row],[Unidades]]</f>
        <v>2055.5720000000001</v>
      </c>
      <c r="I37" s="4"/>
      <c r="J37" s="5" t="s">
        <v>13</v>
      </c>
      <c r="K37" s="19">
        <f>+K33/K36</f>
        <v>0.30906800671810214</v>
      </c>
    </row>
    <row r="38" spans="2:11" x14ac:dyDescent="0.3">
      <c r="B38" s="7" t="s">
        <v>412</v>
      </c>
      <c r="C38" s="8" t="s">
        <v>570</v>
      </c>
      <c r="D38" s="9">
        <v>3</v>
      </c>
      <c r="E38" s="9">
        <v>0</v>
      </c>
      <c r="F38" s="9">
        <v>3</v>
      </c>
      <c r="G38" s="10">
        <f>+VLOOKUP(Tabla110345345445545647919[[#This Row],[Ingrediente]],Tabla34[#All],3,0)</f>
        <v>323.68</v>
      </c>
      <c r="H38" s="11">
        <f>+Tabla110345345445545647919[[#This Row],[Costo]]*Tabla110345345445545647919[[#This Row],[Unidades]]</f>
        <v>971.04</v>
      </c>
      <c r="I38" s="4"/>
      <c r="J38" s="5" t="s">
        <v>14</v>
      </c>
      <c r="K38" s="20">
        <f>+K36-K33</f>
        <v>40944.118120408762</v>
      </c>
    </row>
    <row r="39" spans="2:11" x14ac:dyDescent="0.3">
      <c r="B39" s="7" t="s">
        <v>402</v>
      </c>
      <c r="C39" s="8" t="s">
        <v>188</v>
      </c>
      <c r="D39" s="9">
        <v>20</v>
      </c>
      <c r="E39" s="9">
        <v>0</v>
      </c>
      <c r="F39" s="9">
        <v>20</v>
      </c>
      <c r="G39" s="10">
        <f>+VLOOKUP(Tabla110345345445545647919[[#This Row],[Ingrediente]],Tabla34[#All],3,0)</f>
        <v>13.050000000000002</v>
      </c>
      <c r="H39" s="11">
        <f>+Tabla110345345445545647919[[#This Row],[Costo]]*Tabla110345345445545647919[[#This Row],[Unidades]]</f>
        <v>261.00000000000006</v>
      </c>
      <c r="I39" s="4"/>
      <c r="J39" s="5" t="s">
        <v>15</v>
      </c>
      <c r="K39" s="22">
        <f>+K38/K33</f>
        <v>2.2355338574791084</v>
      </c>
    </row>
    <row r="40" spans="2:11" x14ac:dyDescent="0.3">
      <c r="B40" s="7" t="s">
        <v>376</v>
      </c>
      <c r="C40" s="8" t="s">
        <v>188</v>
      </c>
      <c r="D40" s="9">
        <v>40</v>
      </c>
      <c r="E40" s="9">
        <v>0</v>
      </c>
      <c r="F40" s="9">
        <v>40</v>
      </c>
      <c r="G40" s="10">
        <f>+VLOOKUP(Tabla110345345445545647919[[#This Row],[Ingrediente]],Tabla34[#All],3,0)</f>
        <v>60.98749999999999</v>
      </c>
      <c r="H40" s="11">
        <f>+Tabla110345345445545647919[[#This Row],[Costo]]*Tabla110345345445545647919[[#This Row],[Unidades]]</f>
        <v>2439.4999999999995</v>
      </c>
      <c r="I40" s="4"/>
      <c r="J40" s="4"/>
      <c r="K40" s="23"/>
    </row>
    <row r="41" spans="2:11" x14ac:dyDescent="0.3">
      <c r="B41" s="21" t="s">
        <v>420</v>
      </c>
      <c r="C41" s="8" t="s">
        <v>188</v>
      </c>
      <c r="D41" s="9">
        <v>15</v>
      </c>
      <c r="E41" s="9">
        <v>0</v>
      </c>
      <c r="F41" s="9">
        <v>15</v>
      </c>
      <c r="G41" s="10">
        <f>+VLOOKUP(Tabla110345345445545647919[[#This Row],[Ingrediente]],Tabla34[#All],3,0)</f>
        <v>8.9250000000000007</v>
      </c>
      <c r="H41" s="11">
        <f>+Tabla110345345445545647919[[#This Row],[Costo]]*Tabla110345345445545647919[[#This Row],[Unidades]]</f>
        <v>133.875</v>
      </c>
      <c r="I41" s="4"/>
      <c r="J41" s="4"/>
      <c r="K41" s="23"/>
    </row>
    <row r="42" spans="2:11" x14ac:dyDescent="0.3">
      <c r="B42" s="21" t="s">
        <v>528</v>
      </c>
      <c r="C42" s="8" t="s">
        <v>188</v>
      </c>
      <c r="D42" s="9">
        <v>240</v>
      </c>
      <c r="E42" s="9">
        <v>0</v>
      </c>
      <c r="F42" s="9">
        <v>240</v>
      </c>
      <c r="G42" s="10">
        <f>+VLOOKUP(Tabla110345345445545647919[[#This Row],[Ingrediente]],Tabla34[#All],3,0)</f>
        <v>4.8201292200000001</v>
      </c>
      <c r="H42" s="11">
        <f>+Tabla110345345445545647919[[#This Row],[Costo]]*Tabla110345345445545647919[[#This Row],[Unidades]]</f>
        <v>1156.8310128000001</v>
      </c>
      <c r="I42" s="24"/>
      <c r="J42" s="24"/>
      <c r="K42" s="24"/>
    </row>
    <row r="43" spans="2:11" x14ac:dyDescent="0.3">
      <c r="B43" s="21" t="s">
        <v>449</v>
      </c>
      <c r="C43" s="8" t="s">
        <v>188</v>
      </c>
      <c r="D43" s="9">
        <v>80</v>
      </c>
      <c r="E43" s="9">
        <v>0</v>
      </c>
      <c r="F43" s="9">
        <v>80</v>
      </c>
      <c r="G43" s="10">
        <f>+VLOOKUP(Tabla110345345445545647919[[#This Row],[Ingrediente]],Tabla34[#All],3,0)</f>
        <v>23.317903900000001</v>
      </c>
      <c r="H43" s="11">
        <f>+Tabla110345345445545647919[[#This Row],[Costo]]*Tabla110345345445545647919[[#This Row],[Unidades]]</f>
        <v>1865.4323120000001</v>
      </c>
      <c r="I43" s="24"/>
      <c r="J43" s="24"/>
      <c r="K43" s="24"/>
    </row>
    <row r="44" spans="2:11" x14ac:dyDescent="0.3">
      <c r="B44" s="7" t="s">
        <v>533</v>
      </c>
      <c r="C44" s="8" t="s">
        <v>570</v>
      </c>
      <c r="D44" s="9">
        <v>1</v>
      </c>
      <c r="E44" s="9">
        <v>0</v>
      </c>
      <c r="F44" s="9">
        <v>1</v>
      </c>
      <c r="G44" s="10">
        <f>+VLOOKUP(Tabla110345345445545647919[[#This Row],[Ingrediente]],Tabla34[#All],3,0)</f>
        <v>4002.0382164999996</v>
      </c>
      <c r="H44" s="11">
        <f>+Tabla110345345445545647919[[#This Row],[Costo]]*Tabla110345345445545647919[[#This Row],[Unidades]]</f>
        <v>4002.0382164999996</v>
      </c>
      <c r="I44" s="24"/>
      <c r="J44" s="24"/>
      <c r="K44" s="24"/>
    </row>
    <row r="45" spans="2:11" x14ac:dyDescent="0.3">
      <c r="B45" s="7" t="s">
        <v>398</v>
      </c>
      <c r="C45" s="8" t="s">
        <v>188</v>
      </c>
      <c r="D45" s="9">
        <v>20</v>
      </c>
      <c r="E45" s="9">
        <v>27</v>
      </c>
      <c r="F45" s="9">
        <v>27.396999999999998</v>
      </c>
      <c r="G45" s="10">
        <f>+VLOOKUP(Tabla110345345445545647919[[#This Row],[Ingrediente]],Tabla34[#All],3,0)</f>
        <v>3.7999999999999994</v>
      </c>
      <c r="H45" s="11">
        <f>+Tabla110345345445545647919[[#This Row],[Costo]]*Tabla110345345445545647919[[#This Row],[Unidades]]</f>
        <v>104.10859999999998</v>
      </c>
    </row>
    <row r="46" spans="2:11" x14ac:dyDescent="0.3">
      <c r="B46" s="7" t="s">
        <v>446</v>
      </c>
      <c r="C46" s="8" t="s">
        <v>188</v>
      </c>
      <c r="D46" s="9">
        <v>3</v>
      </c>
      <c r="E46" s="9">
        <v>40</v>
      </c>
      <c r="F46" s="9">
        <v>5</v>
      </c>
      <c r="G46" s="10">
        <f>+VLOOKUP(Tabla110345345445545647919[[#This Row],[Ingrediente]],Tabla34[#All],3,0)</f>
        <v>5.5</v>
      </c>
      <c r="H46" s="11">
        <f>+Tabla110345345445545647919[[#This Row],[Costo]]*Tabla110345345445545647919[[#This Row],[Unidades]]</f>
        <v>27.5</v>
      </c>
    </row>
    <row r="47" spans="2:11" x14ac:dyDescent="0.3">
      <c r="B47" s="7" t="s">
        <v>470</v>
      </c>
      <c r="C47" s="8" t="s">
        <v>188</v>
      </c>
      <c r="D47" s="9">
        <v>3</v>
      </c>
      <c r="E47" s="9">
        <v>10</v>
      </c>
      <c r="F47" s="9">
        <v>3.3330000000000002</v>
      </c>
      <c r="G47" s="10">
        <f>+VLOOKUP(Tabla110345345445545647919[[#This Row],[Ingrediente]],Tabla34[#All],3,0)</f>
        <v>8</v>
      </c>
      <c r="H47" s="11">
        <f>+Tabla110345345445545647919[[#This Row],[Costo]]*Tabla110345345445545647919[[#This Row],[Unidades]]</f>
        <v>26.664000000000001</v>
      </c>
    </row>
    <row r="48" spans="2:11" x14ac:dyDescent="0.3">
      <c r="B48" s="7" t="s">
        <v>341</v>
      </c>
      <c r="C48" s="8" t="s">
        <v>188</v>
      </c>
      <c r="D48" s="9">
        <v>10</v>
      </c>
      <c r="E48" s="9">
        <v>0</v>
      </c>
      <c r="F48" s="9">
        <v>10</v>
      </c>
      <c r="G48" s="10">
        <f>+VLOOKUP(Tabla110345345445545647919[[#This Row],[Ingrediente]],Tabla34[#All],3,0)</f>
        <v>12.80723817</v>
      </c>
      <c r="H48" s="11">
        <f>+Tabla110345345445545647919[[#This Row],[Costo]]*Tabla110345345445545647919[[#This Row],[Unidades]]</f>
        <v>128.07238169999999</v>
      </c>
    </row>
    <row r="49" spans="2:12" x14ac:dyDescent="0.3">
      <c r="B49" s="21" t="s">
        <v>526</v>
      </c>
      <c r="C49" s="8" t="s">
        <v>188</v>
      </c>
      <c r="D49" s="9">
        <v>10</v>
      </c>
      <c r="E49" s="9">
        <v>0</v>
      </c>
      <c r="F49" s="9">
        <v>10</v>
      </c>
      <c r="G49" s="10">
        <f>+VLOOKUP(Tabla110345345445545647919[[#This Row],[Ingrediente]],Tabla34[#All],3,0)</f>
        <v>23.747277729999997</v>
      </c>
      <c r="H49" s="11">
        <f>+Tabla110345345445545647919[[#This Row],[Costo]]*Tabla110345345445545647919[[#This Row],[Unidades]]</f>
        <v>237.47277729999996</v>
      </c>
    </row>
    <row r="50" spans="2:12" x14ac:dyDescent="0.3">
      <c r="B50" s="21" t="s">
        <v>35</v>
      </c>
      <c r="C50" s="8" t="s">
        <v>188</v>
      </c>
      <c r="D50" s="9">
        <v>5</v>
      </c>
      <c r="E50" s="9">
        <v>0</v>
      </c>
      <c r="F50" s="9">
        <v>5</v>
      </c>
      <c r="G50" s="10">
        <f>+VLOOKUP(Tabla110345345445545647919[[#This Row],[Ingrediente]],Tabla34[#All],3,0)</f>
        <v>4.7460000000000004</v>
      </c>
      <c r="H50" s="11">
        <f>+Tabla110345345445545647919[[#This Row],[Costo]]*Tabla110345345445545647919[[#This Row],[Unidades]]</f>
        <v>23.730000000000004</v>
      </c>
    </row>
    <row r="51" spans="2:12" x14ac:dyDescent="0.3">
      <c r="B51" s="21" t="s">
        <v>442</v>
      </c>
      <c r="C51" s="8" t="s">
        <v>188</v>
      </c>
      <c r="D51" s="9">
        <v>4</v>
      </c>
      <c r="E51" s="9">
        <v>0</v>
      </c>
      <c r="F51" s="9">
        <v>4</v>
      </c>
      <c r="G51" s="10">
        <f>+VLOOKUP(Tabla110345345445545647919[[#This Row],[Ingrediente]],Tabla34[#All],3,0)</f>
        <v>20.111000000000001</v>
      </c>
      <c r="H51" s="11">
        <f>+Tabla110345345445545647919[[#This Row],[Costo]]*Tabla110345345445545647919[[#This Row],[Unidades]]</f>
        <v>80.444000000000003</v>
      </c>
    </row>
    <row r="52" spans="2:12" x14ac:dyDescent="0.3">
      <c r="B52" s="7" t="s">
        <v>226</v>
      </c>
      <c r="C52" s="8" t="s">
        <v>188</v>
      </c>
      <c r="D52" s="9">
        <v>20</v>
      </c>
      <c r="E52" s="264">
        <v>0</v>
      </c>
      <c r="F52" s="9">
        <v>20</v>
      </c>
      <c r="G52" s="10">
        <f>+VLOOKUP(Tabla110345345445545647919[[#This Row],[Ingrediente]],Tabla34[#All],3,0)</f>
        <v>10.179495380000001</v>
      </c>
      <c r="H52" s="11">
        <f>+Tabla110345345445545647919[[#This Row],[Costo]]*Tabla110345345445545647919[[#This Row],[Unidades]]</f>
        <v>203.5899076</v>
      </c>
    </row>
    <row r="53" spans="2:12" x14ac:dyDescent="0.3">
      <c r="B53" s="13"/>
      <c r="C53" s="14"/>
      <c r="D53" s="14"/>
      <c r="E53" s="14"/>
      <c r="F53" s="14"/>
      <c r="G53" s="15"/>
      <c r="H53" s="15">
        <f>SUBTOTAL(109,Tabla110345345445545647919[Total costo])</f>
        <v>17442.991560809998</v>
      </c>
    </row>
    <row r="54" spans="2:12" s="26" customFormat="1" x14ac:dyDescent="0.3">
      <c r="B54" s="222"/>
      <c r="C54" s="223"/>
      <c r="D54" s="223"/>
      <c r="E54" s="223"/>
      <c r="F54" s="223"/>
      <c r="G54" s="268"/>
      <c r="H54" s="268"/>
    </row>
    <row r="55" spans="2:12" x14ac:dyDescent="0.3">
      <c r="B55" s="89" t="s">
        <v>67</v>
      </c>
      <c r="C55" s="88"/>
      <c r="D55" s="88"/>
      <c r="E55" s="88"/>
      <c r="F55" s="88"/>
      <c r="G55" s="88"/>
      <c r="H55" s="88"/>
      <c r="J55" s="277" t="s">
        <v>0</v>
      </c>
      <c r="K55" s="277"/>
    </row>
    <row r="56" spans="2:12" ht="26.4" x14ac:dyDescent="0.3">
      <c r="B56" s="13" t="s">
        <v>1</v>
      </c>
      <c r="C56" s="14" t="s">
        <v>2</v>
      </c>
      <c r="D56" s="87" t="s">
        <v>571</v>
      </c>
      <c r="E56" s="87" t="s">
        <v>572</v>
      </c>
      <c r="F56" s="87" t="s">
        <v>573</v>
      </c>
      <c r="G56" s="28" t="s">
        <v>4</v>
      </c>
      <c r="H56" s="28" t="s">
        <v>5</v>
      </c>
      <c r="I56" s="4"/>
      <c r="J56" s="5" t="s">
        <v>6</v>
      </c>
      <c r="K56" s="6">
        <f>SUM(Tabla11034534544554564791921[Total costo])</f>
        <v>16504.88167572</v>
      </c>
      <c r="L56" s="44"/>
    </row>
    <row r="57" spans="2:12" x14ac:dyDescent="0.3">
      <c r="B57" s="7" t="s">
        <v>687</v>
      </c>
      <c r="C57" s="8" t="s">
        <v>188</v>
      </c>
      <c r="D57" s="9">
        <v>40</v>
      </c>
      <c r="E57" s="9">
        <v>0</v>
      </c>
      <c r="F57" s="9">
        <v>40</v>
      </c>
      <c r="G57" s="10">
        <f>+VLOOKUP(Tabla11034534544554564791921[[#This Row],[Ingrediente]],Tabla34[#All],3,0)</f>
        <v>84.475308639999994</v>
      </c>
      <c r="H57" s="11">
        <f>+Tabla11034534544554564791921[[#This Row],[Costo]]*Tabla11034534544554564791921[[#This Row],[Unidades Netas]]</f>
        <v>3379.0123455999997</v>
      </c>
      <c r="I57" s="4"/>
      <c r="J57" s="5" t="s">
        <v>8</v>
      </c>
      <c r="K57" s="12">
        <f>+K56*5%</f>
        <v>825.24408378600003</v>
      </c>
    </row>
    <row r="58" spans="2:12" x14ac:dyDescent="0.3">
      <c r="B58" s="7" t="s">
        <v>470</v>
      </c>
      <c r="C58" s="8" t="s">
        <v>188</v>
      </c>
      <c r="D58" s="9">
        <v>15</v>
      </c>
      <c r="E58" s="9">
        <v>10</v>
      </c>
      <c r="F58" s="9">
        <v>16.667000000000002</v>
      </c>
      <c r="G58" s="10">
        <f>+VLOOKUP(Tabla11034534544554564791921[[#This Row],[Ingrediente]],Tabla34[#All],3,0)</f>
        <v>8</v>
      </c>
      <c r="H58" s="11">
        <f>+Tabla11034534544554564791921[[#This Row],[Costo]]*Tabla11034534544554564791921[[#This Row],[Unidades Netas]]</f>
        <v>120</v>
      </c>
      <c r="I58" s="4"/>
      <c r="J58" s="5" t="s">
        <v>9</v>
      </c>
      <c r="K58" s="12">
        <f>+K56+K57</f>
        <v>17330.125759506001</v>
      </c>
    </row>
    <row r="59" spans="2:12" x14ac:dyDescent="0.3">
      <c r="B59" s="7" t="s">
        <v>442</v>
      </c>
      <c r="C59" s="8" t="s">
        <v>188</v>
      </c>
      <c r="D59" s="9">
        <v>4</v>
      </c>
      <c r="E59" s="9">
        <v>0</v>
      </c>
      <c r="F59" s="9">
        <v>4</v>
      </c>
      <c r="G59" s="10">
        <f>+VLOOKUP(Tabla11034534544554564791921[[#This Row],[Ingrediente]],Tabla34[#All],3,0)</f>
        <v>20.111000000000001</v>
      </c>
      <c r="H59" s="11">
        <f>+Tabla11034534544554564791921[[#This Row],[Costo]]*Tabla11034534544554564791921[[#This Row],[Unidades Netas]]</f>
        <v>80.444000000000003</v>
      </c>
      <c r="I59" s="4"/>
      <c r="J59" s="17" t="s">
        <v>10</v>
      </c>
      <c r="K59" s="18">
        <v>68000</v>
      </c>
    </row>
    <row r="60" spans="2:12" x14ac:dyDescent="0.3">
      <c r="B60" s="7" t="s">
        <v>557</v>
      </c>
      <c r="C60" s="8" t="s">
        <v>188</v>
      </c>
      <c r="D60" s="9">
        <v>2</v>
      </c>
      <c r="E60" s="9">
        <v>0</v>
      </c>
      <c r="F60" s="9">
        <v>2</v>
      </c>
      <c r="G60" s="10">
        <f>+VLOOKUP(Tabla11034534544554564791921[[#This Row],[Ingrediente]],Tabla34[#All],3,0)</f>
        <v>18.138999999999999</v>
      </c>
      <c r="H60" s="11">
        <f>+Tabla11034534544554564791921[[#This Row],[Costo]]*Tabla11034534544554564791921[[#This Row],[Unidades Netas]]</f>
        <v>36.277999999999999</v>
      </c>
      <c r="I60" s="4"/>
      <c r="J60" s="5" t="s">
        <v>11</v>
      </c>
      <c r="K60" s="12">
        <f>+K59/1.08*0.08</f>
        <v>5037.0370370370365</v>
      </c>
    </row>
    <row r="61" spans="2:12" x14ac:dyDescent="0.3">
      <c r="B61" s="7" t="s">
        <v>689</v>
      </c>
      <c r="C61" s="8" t="s">
        <v>188</v>
      </c>
      <c r="D61" s="9">
        <v>2</v>
      </c>
      <c r="E61" s="9">
        <v>0</v>
      </c>
      <c r="F61" s="9">
        <v>2</v>
      </c>
      <c r="G61" s="10">
        <f>+VLOOKUP(Tabla11034534544554564791921[[#This Row],[Ingrediente]],Tabla34[#All],3,0)</f>
        <v>40.97</v>
      </c>
      <c r="H61" s="11">
        <f>+Tabla11034534544554564791921[[#This Row],[Costo]]*Tabla11034534544554564791921[[#This Row],[Unidades Netas]]</f>
        <v>81.94</v>
      </c>
      <c r="I61" s="4"/>
      <c r="J61" s="5" t="s">
        <v>12</v>
      </c>
      <c r="K61" s="12">
        <f>+K59-K60</f>
        <v>62962.962962962964</v>
      </c>
    </row>
    <row r="62" spans="2:12" x14ac:dyDescent="0.3">
      <c r="B62" s="21" t="s">
        <v>373</v>
      </c>
      <c r="C62" s="8" t="s">
        <v>570</v>
      </c>
      <c r="D62" s="9">
        <v>7</v>
      </c>
      <c r="E62" s="9">
        <v>0</v>
      </c>
      <c r="F62" s="9">
        <v>7</v>
      </c>
      <c r="G62" s="10">
        <f>+VLOOKUP(Tabla11034534544554564791921[[#This Row],[Ingrediente]],Tabla34[#All],3,0)</f>
        <v>485.71428571000001</v>
      </c>
      <c r="H62" s="11">
        <f>+Tabla11034534544554564791921[[#This Row],[Costo]]*Tabla11034534544554564791921[[#This Row],[Unidades Netas]]</f>
        <v>3399.9999999700003</v>
      </c>
      <c r="I62" s="4"/>
      <c r="J62" s="5" t="s">
        <v>13</v>
      </c>
      <c r="K62" s="19">
        <f>+K58/K61</f>
        <v>0.27524317382744828</v>
      </c>
    </row>
    <row r="63" spans="2:12" x14ac:dyDescent="0.3">
      <c r="B63" s="21" t="s">
        <v>490</v>
      </c>
      <c r="C63" s="8" t="s">
        <v>188</v>
      </c>
      <c r="D63" s="9">
        <v>15</v>
      </c>
      <c r="E63" s="9">
        <v>30</v>
      </c>
      <c r="F63" s="9">
        <v>21.428999999999998</v>
      </c>
      <c r="G63" s="10">
        <f>+VLOOKUP(Tabla11034534544554564791921[[#This Row],[Ingrediente]],Tabla34[#All],3,0)</f>
        <v>5</v>
      </c>
      <c r="H63" s="11">
        <f>+Tabla11034534544554564791921[[#This Row],[Costo]]*Tabla11034534544554564791921[[#This Row],[Unidades Netas]]</f>
        <v>75</v>
      </c>
      <c r="I63" s="4"/>
      <c r="J63" s="5" t="s">
        <v>14</v>
      </c>
      <c r="K63" s="20">
        <f>+K61-K58</f>
        <v>45632.837203456962</v>
      </c>
    </row>
    <row r="64" spans="2:12" x14ac:dyDescent="0.3">
      <c r="B64" s="21" t="s">
        <v>691</v>
      </c>
      <c r="C64" s="8" t="s">
        <v>188</v>
      </c>
      <c r="D64" s="9">
        <v>2</v>
      </c>
      <c r="E64" s="9">
        <v>0</v>
      </c>
      <c r="F64" s="9">
        <v>2</v>
      </c>
      <c r="G64" s="10">
        <f>+VLOOKUP(Tabla11034534544554564791921[[#This Row],[Ingrediente]],Tabla34[#All],3,0)</f>
        <v>16</v>
      </c>
      <c r="H64" s="11">
        <f>+Tabla11034534544554564791921[[#This Row],[Costo]]*Tabla11034534544554564791921[[#This Row],[Unidades Netas]]</f>
        <v>32</v>
      </c>
      <c r="I64" s="4"/>
      <c r="J64" s="5" t="s">
        <v>15</v>
      </c>
      <c r="K64" s="22">
        <f>+K63/K58</f>
        <v>2.633150955550696</v>
      </c>
    </row>
    <row r="65" spans="2:12" x14ac:dyDescent="0.3">
      <c r="B65" s="7" t="s">
        <v>417</v>
      </c>
      <c r="C65" s="8" t="s">
        <v>188</v>
      </c>
      <c r="D65" s="9">
        <v>60</v>
      </c>
      <c r="E65" s="9">
        <v>10</v>
      </c>
      <c r="F65" s="9">
        <v>66.667000000000002</v>
      </c>
      <c r="G65" s="10">
        <f>+VLOOKUP(Tabla11034534544554564791921[[#This Row],[Ingrediente]],Tabla34[#All],3,0)</f>
        <v>27</v>
      </c>
      <c r="H65" s="11">
        <f>+Tabla11034534544554564791921[[#This Row],[Costo]]*Tabla11034534544554564791921[[#This Row],[Unidades Netas]]</f>
        <v>1620</v>
      </c>
      <c r="I65" s="4"/>
      <c r="J65" s="4"/>
      <c r="K65" s="23"/>
    </row>
    <row r="66" spans="2:12" x14ac:dyDescent="0.3">
      <c r="B66" s="21" t="s">
        <v>412</v>
      </c>
      <c r="C66" s="8" t="s">
        <v>570</v>
      </c>
      <c r="D66" s="9">
        <v>3</v>
      </c>
      <c r="E66" s="9">
        <v>0</v>
      </c>
      <c r="F66" s="9">
        <v>3</v>
      </c>
      <c r="G66" s="10">
        <f>+VLOOKUP(Tabla11034534544554564791921[[#This Row],[Ingrediente]],Tabla34[#All],3,0)</f>
        <v>323.68</v>
      </c>
      <c r="H66" s="11">
        <f>+Tabla11034534544554564791921[[#This Row],[Costo]]*Tabla11034534544554564791921[[#This Row],[Unidades Netas]]</f>
        <v>971.04</v>
      </c>
      <c r="I66" s="4"/>
      <c r="J66" s="4"/>
      <c r="K66" s="23"/>
    </row>
    <row r="67" spans="2:12" x14ac:dyDescent="0.3">
      <c r="B67" s="7" t="s">
        <v>420</v>
      </c>
      <c r="C67" s="8" t="s">
        <v>188</v>
      </c>
      <c r="D67" s="9">
        <v>80</v>
      </c>
      <c r="E67" s="9">
        <v>0</v>
      </c>
      <c r="F67" s="9">
        <v>80</v>
      </c>
      <c r="G67" s="10">
        <f>+VLOOKUP(Tabla11034534544554564791921[[#This Row],[Ingrediente]],Tabla34[#All],3,0)</f>
        <v>8.9250000000000007</v>
      </c>
      <c r="H67" s="11">
        <f>+Tabla11034534544554564791921[[#This Row],[Costo]]*Tabla11034534544554564791921[[#This Row],[Unidades Netas]]</f>
        <v>714</v>
      </c>
      <c r="I67" s="24"/>
      <c r="J67" s="24"/>
      <c r="K67" s="24"/>
    </row>
    <row r="68" spans="2:12" x14ac:dyDescent="0.3">
      <c r="B68" s="21" t="s">
        <v>528</v>
      </c>
      <c r="C68" s="8" t="s">
        <v>188</v>
      </c>
      <c r="D68" s="9">
        <v>240</v>
      </c>
      <c r="E68" s="9">
        <v>0</v>
      </c>
      <c r="F68" s="9">
        <v>240</v>
      </c>
      <c r="G68" s="10">
        <f>+VLOOKUP(Tabla11034534544554564791921[[#This Row],[Ingrediente]],Tabla34[#All],3,0)</f>
        <v>4.8201292200000001</v>
      </c>
      <c r="H68" s="11">
        <f>+Tabla11034534544554564791921[[#This Row],[Costo]]*Tabla11034534544554564791921[[#This Row],[Unidades Netas]]</f>
        <v>1156.8310128000001</v>
      </c>
    </row>
    <row r="69" spans="2:12" x14ac:dyDescent="0.3">
      <c r="B69" s="21" t="s">
        <v>512</v>
      </c>
      <c r="C69" s="8" t="s">
        <v>188</v>
      </c>
      <c r="D69" s="9">
        <v>5</v>
      </c>
      <c r="E69" s="9">
        <v>0</v>
      </c>
      <c r="F69" s="9">
        <v>5</v>
      </c>
      <c r="G69" s="10">
        <f>+VLOOKUP(Tabla11034534544554564791921[[#This Row],[Ingrediente]],Tabla34[#All],3,0)</f>
        <v>9.7905400900000004</v>
      </c>
      <c r="H69" s="11">
        <f>+Tabla11034534544554564791921[[#This Row],[Costo]]*Tabla11034534544554564791921[[#This Row],[Unidades Netas]]</f>
        <v>48.952700450000002</v>
      </c>
      <c r="I69" s="24"/>
      <c r="J69" s="24"/>
      <c r="K69" s="24"/>
    </row>
    <row r="70" spans="2:12" x14ac:dyDescent="0.3">
      <c r="B70" s="21" t="s">
        <v>499</v>
      </c>
      <c r="C70" s="8" t="s">
        <v>188</v>
      </c>
      <c r="D70" s="9">
        <v>10</v>
      </c>
      <c r="E70" s="9">
        <v>0</v>
      </c>
      <c r="F70" s="9">
        <v>10</v>
      </c>
      <c r="G70" s="10">
        <f>+VLOOKUP(Tabla11034534544554564791921[[#This Row],[Ingrediente]],Tabla34[#All],3,0)</f>
        <v>3.57</v>
      </c>
      <c r="H70" s="11">
        <f>+Tabla11034534544554564791921[[#This Row],[Costo]]*Tabla11034534544554564791921[[#This Row],[Unidades Netas]]</f>
        <v>35.699999999999996</v>
      </c>
      <c r="I70" s="24"/>
      <c r="J70" s="24"/>
      <c r="K70" s="24"/>
    </row>
    <row r="71" spans="2:12" x14ac:dyDescent="0.3">
      <c r="B71" s="21" t="s">
        <v>1207</v>
      </c>
      <c r="C71" s="8" t="s">
        <v>188</v>
      </c>
      <c r="D71" s="9">
        <v>40</v>
      </c>
      <c r="E71" s="9">
        <v>0</v>
      </c>
      <c r="F71" s="9">
        <v>40</v>
      </c>
      <c r="G71" s="10">
        <f>+VLOOKUP(Tabla11034534544554564791921[[#This Row],[Ingrediente]],Tabla34[#All],3,0)</f>
        <v>18.791135010000001</v>
      </c>
      <c r="H71" s="11">
        <f>+Tabla11034534544554564791921[[#This Row],[Costo]]*Tabla11034534544554564791921[[#This Row],[Unidades Netas]]</f>
        <v>751.64540040000009</v>
      </c>
      <c r="I71" s="24"/>
      <c r="J71" s="24"/>
      <c r="K71" s="24"/>
    </row>
    <row r="72" spans="2:12" x14ac:dyDescent="0.3">
      <c r="B72" s="21" t="s">
        <v>533</v>
      </c>
      <c r="C72" s="8" t="s">
        <v>570</v>
      </c>
      <c r="D72" s="9">
        <v>1</v>
      </c>
      <c r="E72" s="9">
        <v>0</v>
      </c>
      <c r="F72" s="9">
        <v>1</v>
      </c>
      <c r="G72" s="10">
        <f>+VLOOKUP(Tabla11034534544554564791921[[#This Row],[Ingrediente]],Tabla34[#All],3,0)</f>
        <v>4002.0382164999996</v>
      </c>
      <c r="H72" s="11">
        <f>+Tabla11034534544554564791921[[#This Row],[Costo]]*Tabla11034534544554564791921[[#This Row],[Unidades Netas]]</f>
        <v>4002.0382164999996</v>
      </c>
      <c r="I72" s="24"/>
      <c r="J72" s="24"/>
      <c r="K72" s="24"/>
    </row>
    <row r="73" spans="2:12" x14ac:dyDescent="0.3">
      <c r="B73" s="13"/>
      <c r="C73" s="14"/>
      <c r="D73" s="14"/>
      <c r="E73" s="15"/>
      <c r="F73" s="15"/>
      <c r="G73" s="15"/>
      <c r="H73" s="15">
        <f>SUBTOTAL(109,Tabla11034534544554564791921[Total costo])</f>
        <v>16504.88167572</v>
      </c>
    </row>
    <row r="75" spans="2:12" x14ac:dyDescent="0.3">
      <c r="B75" s="89" t="s">
        <v>62</v>
      </c>
      <c r="C75" s="90"/>
      <c r="D75" s="90"/>
      <c r="E75" s="90"/>
      <c r="F75" s="90"/>
      <c r="G75" s="90"/>
      <c r="H75" s="90"/>
      <c r="J75" s="277" t="s">
        <v>0</v>
      </c>
      <c r="K75" s="277"/>
    </row>
    <row r="76" spans="2:12" s="96" customFormat="1" x14ac:dyDescent="0.3">
      <c r="B76" s="91" t="s">
        <v>1</v>
      </c>
      <c r="C76" s="14" t="s">
        <v>2</v>
      </c>
      <c r="D76" s="14" t="s">
        <v>571</v>
      </c>
      <c r="E76" s="14" t="s">
        <v>572</v>
      </c>
      <c r="F76" s="14" t="s">
        <v>573</v>
      </c>
      <c r="G76" s="92" t="s">
        <v>4</v>
      </c>
      <c r="H76" s="92" t="s">
        <v>5</v>
      </c>
      <c r="I76" s="93"/>
      <c r="J76" s="94" t="s">
        <v>6</v>
      </c>
      <c r="K76" s="95">
        <f>SUM(Tabla1103453454455456479192122[Total costo])</f>
        <v>10478.2687606</v>
      </c>
      <c r="L76" s="251"/>
    </row>
    <row r="77" spans="2:12" x14ac:dyDescent="0.3">
      <c r="B77" s="7" t="s">
        <v>417</v>
      </c>
      <c r="C77" s="8" t="s">
        <v>188</v>
      </c>
      <c r="D77" s="9">
        <v>100</v>
      </c>
      <c r="E77" s="9">
        <v>10</v>
      </c>
      <c r="F77" s="9">
        <v>111.111</v>
      </c>
      <c r="G77" s="10">
        <f>+VLOOKUP(Tabla1103453454455456479192122[[#This Row],[Ingrediente]],Tabla34[#All],3,0)</f>
        <v>27</v>
      </c>
      <c r="H77" s="11">
        <f>+Tabla1103453454455456479192122[[#This Row],[Costo]]*Tabla1103453454455456479192122[[#This Row],[Unidades]]</f>
        <v>2999.9970000000003</v>
      </c>
      <c r="I77" s="4"/>
      <c r="J77" s="5" t="s">
        <v>8</v>
      </c>
      <c r="K77" s="12">
        <f>+K76*5%</f>
        <v>523.91343803000007</v>
      </c>
    </row>
    <row r="78" spans="2:12" x14ac:dyDescent="0.3">
      <c r="B78" s="21" t="s">
        <v>687</v>
      </c>
      <c r="C78" s="8" t="s">
        <v>188</v>
      </c>
      <c r="D78" s="9">
        <v>40</v>
      </c>
      <c r="E78" s="9">
        <v>0</v>
      </c>
      <c r="F78" s="9">
        <v>40</v>
      </c>
      <c r="G78" s="10">
        <f>+VLOOKUP(Tabla1103453454455456479192122[[#This Row],[Ingrediente]],Tabla34[#All],3,0)</f>
        <v>84.475308639999994</v>
      </c>
      <c r="H78" s="11">
        <f>+Tabla1103453454455456479192122[[#This Row],[Costo]]*Tabla1103453454455456479192122[[#This Row],[Unidades]]</f>
        <v>3379.0123455999997</v>
      </c>
      <c r="I78" s="4"/>
      <c r="J78" s="5" t="s">
        <v>9</v>
      </c>
      <c r="K78" s="12">
        <f>+K76+K77</f>
        <v>11002.18219863</v>
      </c>
    </row>
    <row r="79" spans="2:12" x14ac:dyDescent="0.3">
      <c r="B79" s="21" t="s">
        <v>528</v>
      </c>
      <c r="C79" s="8" t="s">
        <v>188</v>
      </c>
      <c r="D79" s="9">
        <v>240</v>
      </c>
      <c r="E79" s="9">
        <v>0</v>
      </c>
      <c r="F79" s="9">
        <v>240</v>
      </c>
      <c r="G79" s="10">
        <f>+VLOOKUP(Tabla1103453454455456479192122[[#This Row],[Ingrediente]],Tabla34[#All],3,0)</f>
        <v>4.8201292200000001</v>
      </c>
      <c r="H79" s="11">
        <f>+Tabla1103453454455456479192122[[#This Row],[Costo]]*Tabla1103453454455456479192122[[#This Row],[Unidades]]</f>
        <v>1156.8310128000001</v>
      </c>
      <c r="I79" s="4"/>
      <c r="J79" s="17" t="s">
        <v>10</v>
      </c>
      <c r="K79" s="18">
        <v>62000</v>
      </c>
    </row>
    <row r="80" spans="2:12" x14ac:dyDescent="0.3">
      <c r="B80" s="21" t="s">
        <v>512</v>
      </c>
      <c r="C80" s="8" t="s">
        <v>188</v>
      </c>
      <c r="D80" s="9">
        <v>20</v>
      </c>
      <c r="E80" s="9">
        <v>0</v>
      </c>
      <c r="F80" s="9">
        <v>20</v>
      </c>
      <c r="G80" s="10">
        <f>+VLOOKUP(Tabla1103453454455456479192122[[#This Row],[Ingrediente]],Tabla34[#All],3,0)</f>
        <v>9.7905400900000004</v>
      </c>
      <c r="H80" s="11">
        <f>+Tabla1103453454455456479192122[[#This Row],[Costo]]*Tabla1103453454455456479192122[[#This Row],[Unidades]]</f>
        <v>195.81080180000001</v>
      </c>
      <c r="I80" s="4"/>
      <c r="J80" s="5" t="s">
        <v>11</v>
      </c>
      <c r="K80" s="12">
        <f>+K79/1.08*0.08</f>
        <v>4592.5925925925922</v>
      </c>
    </row>
    <row r="81" spans="2:12" x14ac:dyDescent="0.3">
      <c r="B81" s="7" t="s">
        <v>420</v>
      </c>
      <c r="C81" s="8" t="s">
        <v>188</v>
      </c>
      <c r="D81" s="9">
        <v>80</v>
      </c>
      <c r="E81" s="9">
        <v>0</v>
      </c>
      <c r="F81" s="9">
        <v>80</v>
      </c>
      <c r="G81" s="10">
        <f>+VLOOKUP(Tabla1103453454455456479192122[[#This Row],[Ingrediente]],Tabla34[#All],3,0)</f>
        <v>8.9250000000000007</v>
      </c>
      <c r="H81" s="11">
        <f>+Tabla1103453454455456479192122[[#This Row],[Costo]]*Tabla1103453454455456479192122[[#This Row],[Unidades]]</f>
        <v>714</v>
      </c>
      <c r="I81" s="4"/>
      <c r="J81" s="5" t="s">
        <v>12</v>
      </c>
      <c r="K81" s="12">
        <f>+K79-K80</f>
        <v>57407.407407407409</v>
      </c>
    </row>
    <row r="82" spans="2:12" x14ac:dyDescent="0.3">
      <c r="B82" s="7" t="s">
        <v>470</v>
      </c>
      <c r="C82" s="8" t="s">
        <v>188</v>
      </c>
      <c r="D82" s="9">
        <v>15</v>
      </c>
      <c r="E82" s="9">
        <v>10</v>
      </c>
      <c r="F82" s="9">
        <v>16.667000000000002</v>
      </c>
      <c r="G82" s="10">
        <f>+VLOOKUP(Tabla1103453454455456479192122[[#This Row],[Ingrediente]],Tabla34[#All],3,0)</f>
        <v>8</v>
      </c>
      <c r="H82" s="11">
        <f>+Tabla1103453454455456479192122[[#This Row],[Costo]]*Tabla1103453454455456479192122[[#This Row],[Unidades]]</f>
        <v>133.33600000000001</v>
      </c>
      <c r="I82" s="4"/>
      <c r="J82" s="5" t="s">
        <v>13</v>
      </c>
      <c r="K82" s="19">
        <f>+K78/K81</f>
        <v>0.19165091571807097</v>
      </c>
    </row>
    <row r="83" spans="2:12" x14ac:dyDescent="0.3">
      <c r="B83" s="7" t="s">
        <v>689</v>
      </c>
      <c r="C83" s="8" t="s">
        <v>188</v>
      </c>
      <c r="D83" s="9">
        <v>2</v>
      </c>
      <c r="E83" s="9">
        <v>0</v>
      </c>
      <c r="F83" s="9">
        <v>2</v>
      </c>
      <c r="G83" s="10">
        <f>+VLOOKUP(Tabla1103453454455456479192122[[#This Row],[Ingrediente]],Tabla34[#All],3,0)</f>
        <v>40.97</v>
      </c>
      <c r="H83" s="11">
        <f>+Tabla1103453454455456479192122[[#This Row],[Costo]]*Tabla1103453454455456479192122[[#This Row],[Unidades]]</f>
        <v>81.94</v>
      </c>
      <c r="I83" s="4"/>
      <c r="J83" s="5" t="s">
        <v>14</v>
      </c>
      <c r="K83" s="20">
        <f>+K81-K78</f>
        <v>46405.22520877741</v>
      </c>
    </row>
    <row r="84" spans="2:12" x14ac:dyDescent="0.3">
      <c r="B84" s="7" t="s">
        <v>490</v>
      </c>
      <c r="C84" s="8" t="s">
        <v>188</v>
      </c>
      <c r="D84" s="9">
        <v>15</v>
      </c>
      <c r="E84" s="9">
        <v>30</v>
      </c>
      <c r="F84" s="9">
        <v>21.428999999999998</v>
      </c>
      <c r="G84" s="10">
        <f>+VLOOKUP(Tabla1103453454455456479192122[[#This Row],[Ingrediente]],Tabla34[#All],3,0)</f>
        <v>5</v>
      </c>
      <c r="H84" s="11">
        <f>+Tabla1103453454455456479192122[[#This Row],[Costo]]*Tabla1103453454455456479192122[[#This Row],[Unidades]]</f>
        <v>107.145</v>
      </c>
      <c r="I84" s="4"/>
      <c r="J84" s="5" t="s">
        <v>15</v>
      </c>
      <c r="K84" s="22">
        <f>+K83/K78</f>
        <v>4.2178200988669161</v>
      </c>
    </row>
    <row r="85" spans="2:12" x14ac:dyDescent="0.3">
      <c r="B85" s="7" t="s">
        <v>491</v>
      </c>
      <c r="C85" s="8" t="s">
        <v>188</v>
      </c>
      <c r="D85" s="9">
        <v>3</v>
      </c>
      <c r="E85" s="9">
        <v>30</v>
      </c>
      <c r="F85" s="9">
        <v>4.2859999999999996</v>
      </c>
      <c r="G85" s="10">
        <f>+VLOOKUP(Tabla1103453454455456479192122[[#This Row],[Ingrediente]],Tabla34[#All],3,0)</f>
        <v>9.8000000000000007</v>
      </c>
      <c r="H85" s="11">
        <f>+Tabla1103453454455456479192122[[#This Row],[Costo]]*Tabla1103453454455456479192122[[#This Row],[Unidades]]</f>
        <v>42.002800000000001</v>
      </c>
      <c r="I85" s="4"/>
      <c r="J85" s="4"/>
      <c r="K85" s="23"/>
    </row>
    <row r="86" spans="2:12" x14ac:dyDescent="0.3">
      <c r="B86" s="21" t="s">
        <v>1207</v>
      </c>
      <c r="C86" s="8" t="s">
        <v>188</v>
      </c>
      <c r="D86" s="9">
        <v>40</v>
      </c>
      <c r="E86" s="9">
        <v>0</v>
      </c>
      <c r="F86" s="9">
        <v>40</v>
      </c>
      <c r="G86" s="10">
        <f>+VLOOKUP(Tabla1103453454455456479192122[[#This Row],[Ingrediente]],Tabla34[#All],3,0)</f>
        <v>18.791135010000001</v>
      </c>
      <c r="H86" s="11">
        <f>+Tabla1103453454455456479192122[[#This Row],[Costo]]*Tabla1103453454455456479192122[[#This Row],[Unidades]]</f>
        <v>751.64540040000009</v>
      </c>
      <c r="I86" s="4"/>
      <c r="J86" s="4"/>
      <c r="K86" s="23"/>
    </row>
    <row r="87" spans="2:12" x14ac:dyDescent="0.3">
      <c r="B87" s="7" t="s">
        <v>337</v>
      </c>
      <c r="C87" s="8" t="s">
        <v>570</v>
      </c>
      <c r="D87" s="9">
        <v>1</v>
      </c>
      <c r="E87" s="9">
        <v>0</v>
      </c>
      <c r="F87" s="9">
        <v>1</v>
      </c>
      <c r="G87" s="10">
        <f>+VLOOKUP(Tabla1103453454455456479192122[[#This Row],[Ingrediente]],Tabla34[#All],3,0)</f>
        <v>497.5</v>
      </c>
      <c r="H87" s="11">
        <f>+Tabla1103453454455456479192122[[#This Row],[Costo]]*Tabla1103453454455456479192122[[#This Row],[Unidades]]</f>
        <v>497.5</v>
      </c>
      <c r="I87" s="24"/>
      <c r="J87" s="24"/>
      <c r="K87" s="24"/>
    </row>
    <row r="88" spans="2:12" x14ac:dyDescent="0.3">
      <c r="B88" s="21" t="s">
        <v>398</v>
      </c>
      <c r="C88" s="8" t="s">
        <v>188</v>
      </c>
      <c r="D88" s="9">
        <v>60</v>
      </c>
      <c r="E88" s="9">
        <v>35</v>
      </c>
      <c r="F88" s="9">
        <v>92.308000000000007</v>
      </c>
      <c r="G88" s="10">
        <f>+VLOOKUP(Tabla1103453454455456479192122[[#This Row],[Ingrediente]],Tabla34[#All],3,0)</f>
        <v>3.7999999999999994</v>
      </c>
      <c r="H88" s="11">
        <f>+Tabla1103453454455456479192122[[#This Row],[Costo]]*Tabla1103453454455456479192122[[#This Row],[Unidades]]</f>
        <v>350.7704</v>
      </c>
    </row>
    <row r="89" spans="2:12" x14ac:dyDescent="0.3">
      <c r="B89" s="21" t="s">
        <v>557</v>
      </c>
      <c r="C89" s="8" t="s">
        <v>188</v>
      </c>
      <c r="D89" s="9">
        <v>2</v>
      </c>
      <c r="E89" s="9">
        <v>0</v>
      </c>
      <c r="F89" s="9">
        <v>2</v>
      </c>
      <c r="G89" s="10">
        <f>+VLOOKUP(Tabla1103453454455456479192122[[#This Row],[Ingrediente]],Tabla34[#All],3,0)</f>
        <v>18.138999999999999</v>
      </c>
      <c r="H89" s="11">
        <f>+Tabla1103453454455456479192122[[#This Row],[Costo]]*Tabla1103453454455456479192122[[#This Row],[Unidades]]</f>
        <v>36.277999999999999</v>
      </c>
    </row>
    <row r="90" spans="2:12" x14ac:dyDescent="0.3">
      <c r="B90" s="21" t="s">
        <v>691</v>
      </c>
      <c r="C90" s="8" t="s">
        <v>188</v>
      </c>
      <c r="D90" s="9">
        <v>2</v>
      </c>
      <c r="E90" s="9">
        <v>0</v>
      </c>
      <c r="F90" s="9">
        <v>2</v>
      </c>
      <c r="G90" s="10">
        <f>+VLOOKUP(Tabla1103453454455456479192122[[#This Row],[Ingrediente]],Tabla34[#All],3,0)</f>
        <v>16</v>
      </c>
      <c r="H90" s="11">
        <f>+Tabla1103453454455456479192122[[#This Row],[Costo]]*Tabla1103453454455456479192122[[#This Row],[Unidades]]</f>
        <v>32</v>
      </c>
    </row>
    <row r="91" spans="2:12" x14ac:dyDescent="0.3">
      <c r="B91" s="13"/>
      <c r="C91" s="14"/>
      <c r="D91" s="14"/>
      <c r="E91" s="14"/>
      <c r="F91" s="14"/>
      <c r="G91" s="15"/>
      <c r="H91" s="15">
        <f>SUBTOTAL(109,Tabla1103453454455456479192122[Total costo])</f>
        <v>10478.2687606</v>
      </c>
    </row>
    <row r="93" spans="2:12" x14ac:dyDescent="0.3">
      <c r="B93" s="97" t="s">
        <v>63</v>
      </c>
      <c r="C93" s="88"/>
      <c r="D93" s="88"/>
      <c r="E93" s="88"/>
      <c r="F93" s="88"/>
      <c r="G93" s="88"/>
      <c r="H93" s="88"/>
      <c r="J93" s="277" t="s">
        <v>0</v>
      </c>
      <c r="K93" s="277"/>
    </row>
    <row r="94" spans="2:12" s="96" customFormat="1" x14ac:dyDescent="0.3">
      <c r="B94" s="91" t="s">
        <v>1</v>
      </c>
      <c r="C94" s="14" t="s">
        <v>2</v>
      </c>
      <c r="D94" s="14" t="s">
        <v>571</v>
      </c>
      <c r="E94" s="14" t="s">
        <v>572</v>
      </c>
      <c r="F94" s="14" t="s">
        <v>573</v>
      </c>
      <c r="G94" s="92" t="s">
        <v>4</v>
      </c>
      <c r="H94" s="92" t="s">
        <v>5</v>
      </c>
      <c r="I94" s="93"/>
      <c r="J94" s="94" t="s">
        <v>6</v>
      </c>
      <c r="K94" s="95">
        <f>SUM(Tabla1103453454455456479192123[Total costo])</f>
        <v>16984.151560599999</v>
      </c>
      <c r="L94" s="251"/>
    </row>
    <row r="95" spans="2:12" x14ac:dyDescent="0.3">
      <c r="B95" s="21" t="s">
        <v>417</v>
      </c>
      <c r="C95" s="8" t="s">
        <v>188</v>
      </c>
      <c r="D95" s="9">
        <v>60</v>
      </c>
      <c r="E95" s="9">
        <v>10</v>
      </c>
      <c r="F95" s="9">
        <v>66.667000000000002</v>
      </c>
      <c r="G95" s="10">
        <f>+VLOOKUP(Tabla1103453454455456479192123[[#This Row],[Ingrediente]],Tabla34[#All],3,0)</f>
        <v>27</v>
      </c>
      <c r="H95" s="11">
        <f>+Tabla1103453454455456479192123[[#This Row],[Costo]]*Tabla1103453454455456479192123[[#This Row],[Unidades]]</f>
        <v>1800.009</v>
      </c>
      <c r="I95" s="4"/>
      <c r="J95" s="5" t="s">
        <v>8</v>
      </c>
      <c r="K95" s="12">
        <f>+K94*5%</f>
        <v>849.20757803000004</v>
      </c>
    </row>
    <row r="96" spans="2:12" x14ac:dyDescent="0.3">
      <c r="B96" s="21" t="s">
        <v>687</v>
      </c>
      <c r="C96" s="8" t="s">
        <v>188</v>
      </c>
      <c r="D96" s="9">
        <v>40</v>
      </c>
      <c r="E96" s="9">
        <v>0</v>
      </c>
      <c r="F96" s="9">
        <v>40</v>
      </c>
      <c r="G96" s="10">
        <f>+VLOOKUP(Tabla1103453454455456479192123[[#This Row],[Ingrediente]],Tabla34[#All],3,0)</f>
        <v>84.475308639999994</v>
      </c>
      <c r="H96" s="11">
        <f>+Tabla1103453454455456479192123[[#This Row],[Costo]]*Tabla1103453454455456479192123[[#This Row],[Unidades]]</f>
        <v>3379.0123455999997</v>
      </c>
      <c r="I96" s="4"/>
      <c r="J96" s="5" t="s">
        <v>9</v>
      </c>
      <c r="K96" s="12">
        <f>+K94+K95</f>
        <v>17833.35913863</v>
      </c>
    </row>
    <row r="97" spans="2:11" x14ac:dyDescent="0.3">
      <c r="B97" s="7" t="s">
        <v>528</v>
      </c>
      <c r="C97" s="8" t="s">
        <v>188</v>
      </c>
      <c r="D97" s="9">
        <v>240</v>
      </c>
      <c r="E97" s="9">
        <v>0</v>
      </c>
      <c r="F97" s="9">
        <v>240</v>
      </c>
      <c r="G97" s="10">
        <f>+VLOOKUP(Tabla1103453454455456479192123[[#This Row],[Ingrediente]],Tabla34[#All],3,0)</f>
        <v>4.8201292200000001</v>
      </c>
      <c r="H97" s="11">
        <f>+Tabla1103453454455456479192123[[#This Row],[Costo]]*Tabla1103453454455456479192123[[#This Row],[Unidades]]</f>
        <v>1156.8310128000001</v>
      </c>
      <c r="I97" s="4"/>
      <c r="J97" s="17" t="s">
        <v>10</v>
      </c>
      <c r="K97" s="18">
        <v>68000</v>
      </c>
    </row>
    <row r="98" spans="2:11" x14ac:dyDescent="0.3">
      <c r="B98" s="7" t="s">
        <v>512</v>
      </c>
      <c r="C98" s="8" t="s">
        <v>188</v>
      </c>
      <c r="D98" s="9">
        <v>20</v>
      </c>
      <c r="E98" s="9">
        <v>0</v>
      </c>
      <c r="F98" s="9">
        <v>20</v>
      </c>
      <c r="G98" s="10">
        <f>+VLOOKUP(Tabla1103453454455456479192123[[#This Row],[Ingrediente]],Tabla34[#All],3,0)</f>
        <v>9.7905400900000004</v>
      </c>
      <c r="H98" s="11">
        <f>+Tabla1103453454455456479192123[[#This Row],[Costo]]*Tabla1103453454455456479192123[[#This Row],[Unidades]]</f>
        <v>195.81080180000001</v>
      </c>
      <c r="I98" s="4"/>
      <c r="J98" s="5" t="s">
        <v>11</v>
      </c>
      <c r="K98" s="12">
        <f>+K97/1.08*0.08</f>
        <v>5037.0370370370365</v>
      </c>
    </row>
    <row r="99" spans="2:11" x14ac:dyDescent="0.3">
      <c r="B99" s="7" t="s">
        <v>420</v>
      </c>
      <c r="C99" s="8" t="s">
        <v>188</v>
      </c>
      <c r="D99" s="9">
        <v>80</v>
      </c>
      <c r="E99" s="9">
        <v>0</v>
      </c>
      <c r="F99" s="9">
        <v>80</v>
      </c>
      <c r="G99" s="10">
        <f>+VLOOKUP(Tabla1103453454455456479192123[[#This Row],[Ingrediente]],Tabla34[#All],3,0)</f>
        <v>8.9250000000000007</v>
      </c>
      <c r="H99" s="11">
        <f>+Tabla1103453454455456479192123[[#This Row],[Costo]]*Tabla1103453454455456479192123[[#This Row],[Unidades]]</f>
        <v>714</v>
      </c>
      <c r="I99" s="4"/>
      <c r="J99" s="5" t="s">
        <v>12</v>
      </c>
      <c r="K99" s="12">
        <f>+K97-K98</f>
        <v>62962.962962962964</v>
      </c>
    </row>
    <row r="100" spans="2:11" x14ac:dyDescent="0.3">
      <c r="B100" s="7" t="s">
        <v>470</v>
      </c>
      <c r="C100" s="8" t="s">
        <v>188</v>
      </c>
      <c r="D100" s="9">
        <v>15</v>
      </c>
      <c r="E100" s="9">
        <v>10</v>
      </c>
      <c r="F100" s="9">
        <v>16.667000000000002</v>
      </c>
      <c r="G100" s="10">
        <f>+VLOOKUP(Tabla1103453454455456479192123[[#This Row],[Ingrediente]],Tabla34[#All],3,0)</f>
        <v>8</v>
      </c>
      <c r="H100" s="11">
        <f>+Tabla1103453454455456479192123[[#This Row],[Costo]]*Tabla1103453454455456479192123[[#This Row],[Unidades]]</f>
        <v>133.33600000000001</v>
      </c>
      <c r="I100" s="4"/>
      <c r="J100" s="5" t="s">
        <v>13</v>
      </c>
      <c r="K100" s="19">
        <f>+K96/K99</f>
        <v>0.28323570396647646</v>
      </c>
    </row>
    <row r="101" spans="2:11" x14ac:dyDescent="0.3">
      <c r="B101" s="21" t="s">
        <v>689</v>
      </c>
      <c r="C101" s="8" t="s">
        <v>188</v>
      </c>
      <c r="D101" s="9">
        <v>2</v>
      </c>
      <c r="E101" s="9">
        <v>0</v>
      </c>
      <c r="F101" s="9">
        <v>2</v>
      </c>
      <c r="G101" s="10">
        <f>+VLOOKUP(Tabla1103453454455456479192123[[#This Row],[Ingrediente]],Tabla34[#All],3,0)</f>
        <v>40.97</v>
      </c>
      <c r="H101" s="11">
        <f>+Tabla1103453454455456479192123[[#This Row],[Costo]]*Tabla1103453454455456479192123[[#This Row],[Unidades]]</f>
        <v>81.94</v>
      </c>
      <c r="I101" s="4"/>
      <c r="J101" s="5" t="s">
        <v>14</v>
      </c>
      <c r="K101" s="20">
        <f>+K99-K96</f>
        <v>45129.603824332968</v>
      </c>
    </row>
    <row r="102" spans="2:11" x14ac:dyDescent="0.3">
      <c r="B102" s="21" t="s">
        <v>490</v>
      </c>
      <c r="C102" s="8" t="s">
        <v>188</v>
      </c>
      <c r="D102" s="9">
        <v>15</v>
      </c>
      <c r="E102" s="9">
        <v>30</v>
      </c>
      <c r="F102" s="9">
        <v>21.428999999999998</v>
      </c>
      <c r="G102" s="10">
        <f>+VLOOKUP(Tabla1103453454455456479192123[[#This Row],[Ingrediente]],Tabla34[#All],3,0)</f>
        <v>5</v>
      </c>
      <c r="H102" s="11">
        <f>+Tabla1103453454455456479192123[[#This Row],[Costo]]*Tabla1103453454455456479192123[[#This Row],[Unidades]]</f>
        <v>107.145</v>
      </c>
      <c r="I102" s="4"/>
      <c r="J102" s="5" t="s">
        <v>15</v>
      </c>
      <c r="K102" s="22">
        <f>+K101/K96</f>
        <v>2.5306283282645721</v>
      </c>
    </row>
    <row r="103" spans="2:11" x14ac:dyDescent="0.3">
      <c r="B103" s="7" t="s">
        <v>442</v>
      </c>
      <c r="C103" s="8" t="s">
        <v>188</v>
      </c>
      <c r="D103" s="9">
        <v>4</v>
      </c>
      <c r="E103" s="9">
        <v>0</v>
      </c>
      <c r="F103" s="9">
        <v>4</v>
      </c>
      <c r="G103" s="10">
        <f>+VLOOKUP(Tabla1103453454455456479192123[[#This Row],[Ingrediente]],Tabla34[#All],3,0)</f>
        <v>20.111000000000001</v>
      </c>
      <c r="H103" s="11">
        <f>+Tabla1103453454455456479192123[[#This Row],[Costo]]*Tabla1103453454455456479192123[[#This Row],[Unidades]]</f>
        <v>80.444000000000003</v>
      </c>
      <c r="I103" s="4"/>
      <c r="J103" s="4"/>
      <c r="K103" s="23"/>
    </row>
    <row r="104" spans="2:11" x14ac:dyDescent="0.3">
      <c r="B104" s="7" t="s">
        <v>366</v>
      </c>
      <c r="C104" s="8" t="s">
        <v>570</v>
      </c>
      <c r="D104" s="9">
        <v>0.5</v>
      </c>
      <c r="E104" s="9">
        <v>0</v>
      </c>
      <c r="F104" s="9">
        <v>0.5</v>
      </c>
      <c r="G104" s="10">
        <f>+VLOOKUP(Tabla1103453454455456479192123[[#This Row],[Ingrediente]],Tabla34[#All],3,0)</f>
        <v>12280</v>
      </c>
      <c r="H104" s="11">
        <f>+Tabla1103453454455456479192123[[#This Row],[Costo]]*Tabla1103453454455456479192123[[#This Row],[Unidades]]</f>
        <v>6140</v>
      </c>
      <c r="I104" s="4"/>
      <c r="J104" s="4"/>
      <c r="K104" s="23"/>
    </row>
    <row r="105" spans="2:11" x14ac:dyDescent="0.3">
      <c r="B105" s="21" t="s">
        <v>1005</v>
      </c>
      <c r="C105" s="8" t="s">
        <v>570</v>
      </c>
      <c r="D105" s="9">
        <v>0.5</v>
      </c>
      <c r="E105" s="9">
        <v>0</v>
      </c>
      <c r="F105" s="9">
        <v>0.5</v>
      </c>
      <c r="G105" s="10">
        <f>+VLOOKUP(Tabla1103453454455456479192123[[#This Row],[Ingrediente]],Tabla34[#All],3,0)</f>
        <v>4680</v>
      </c>
      <c r="H105" s="11">
        <f>+Tabla1103453454455456479192123[[#This Row],[Costo]]*Tabla1103453454455456479192123[[#This Row],[Unidades]]</f>
        <v>2340</v>
      </c>
      <c r="I105" s="24"/>
      <c r="J105" s="24"/>
      <c r="K105" s="24"/>
    </row>
    <row r="106" spans="2:11" x14ac:dyDescent="0.3">
      <c r="B106" s="7" t="s">
        <v>1207</v>
      </c>
      <c r="C106" s="8" t="s">
        <v>188</v>
      </c>
      <c r="D106" s="9">
        <v>40</v>
      </c>
      <c r="E106" s="9">
        <v>0</v>
      </c>
      <c r="F106" s="9">
        <v>40</v>
      </c>
      <c r="G106" s="10">
        <f>+VLOOKUP(Tabla1103453454455456479192123[[#This Row],[Ingrediente]],Tabla34[#All],3,0)</f>
        <v>18.791135010000001</v>
      </c>
      <c r="H106" s="11">
        <f>+Tabla1103453454455456479192123[[#This Row],[Costo]]*Tabla1103453454455456479192123[[#This Row],[Unidades]]</f>
        <v>751.64540040000009</v>
      </c>
    </row>
    <row r="107" spans="2:11" x14ac:dyDescent="0.3">
      <c r="B107" s="7" t="s">
        <v>499</v>
      </c>
      <c r="C107" s="8" t="s">
        <v>188</v>
      </c>
      <c r="D107" s="9">
        <v>10</v>
      </c>
      <c r="E107" s="264">
        <v>0</v>
      </c>
      <c r="F107" s="9">
        <v>10</v>
      </c>
      <c r="G107" s="10">
        <f>+VLOOKUP(Tabla1103453454455456479192123[[#This Row],[Ingrediente]],Tabla34[#All],3,0)</f>
        <v>3.57</v>
      </c>
      <c r="H107" s="11">
        <f>+Tabla1103453454455456479192123[[#This Row],[Costo]]*Tabla1103453454455456479192123[[#This Row],[Unidades]]</f>
        <v>35.699999999999996</v>
      </c>
    </row>
    <row r="108" spans="2:11" x14ac:dyDescent="0.3">
      <c r="B108" s="7" t="s">
        <v>557</v>
      </c>
      <c r="C108" s="8" t="s">
        <v>188</v>
      </c>
      <c r="D108" s="9">
        <v>2</v>
      </c>
      <c r="E108" s="264">
        <v>0</v>
      </c>
      <c r="F108" s="9">
        <v>2</v>
      </c>
      <c r="G108" s="10">
        <f>+VLOOKUP(Tabla1103453454455456479192123[[#This Row],[Ingrediente]],Tabla34[#All],3,0)</f>
        <v>18.138999999999999</v>
      </c>
      <c r="H108" s="11">
        <f>+Tabla1103453454455456479192123[[#This Row],[Costo]]*Tabla1103453454455456479192123[[#This Row],[Unidades]]</f>
        <v>36.277999999999999</v>
      </c>
    </row>
    <row r="109" spans="2:11" x14ac:dyDescent="0.3">
      <c r="B109" s="7" t="s">
        <v>691</v>
      </c>
      <c r="C109" s="8" t="s">
        <v>188</v>
      </c>
      <c r="D109" s="9">
        <v>2</v>
      </c>
      <c r="E109" s="264">
        <v>0</v>
      </c>
      <c r="F109" s="9">
        <v>2</v>
      </c>
      <c r="G109" s="10">
        <f>+VLOOKUP(Tabla1103453454455456479192123[[#This Row],[Ingrediente]],Tabla34[#All],3,0)</f>
        <v>16</v>
      </c>
      <c r="H109" s="11">
        <f>+Tabla1103453454455456479192123[[#This Row],[Costo]]*Tabla1103453454455456479192123[[#This Row],[Unidades]]</f>
        <v>32</v>
      </c>
    </row>
    <row r="110" spans="2:11" x14ac:dyDescent="0.3">
      <c r="B110" s="13"/>
      <c r="C110" s="14"/>
      <c r="D110" s="14"/>
      <c r="E110" s="14"/>
      <c r="F110" s="14"/>
      <c r="G110" s="15"/>
      <c r="H110" s="15">
        <f>SUBTOTAL(109,Tabla1103453454455456479192123[Total costo])</f>
        <v>16984.151560599999</v>
      </c>
    </row>
    <row r="111" spans="2:11" s="26" customFormat="1" x14ac:dyDescent="0.3">
      <c r="B111" s="222"/>
      <c r="C111" s="223"/>
      <c r="D111" s="223"/>
      <c r="E111" s="223"/>
      <c r="F111" s="223"/>
      <c r="G111" s="268"/>
      <c r="H111" s="268"/>
    </row>
    <row r="112" spans="2:11" x14ac:dyDescent="0.3">
      <c r="B112" s="89" t="s">
        <v>64</v>
      </c>
      <c r="C112" s="90"/>
      <c r="D112" s="90"/>
      <c r="E112" s="90"/>
      <c r="F112" s="90"/>
      <c r="G112" s="90"/>
      <c r="H112" s="90"/>
      <c r="J112" s="277" t="s">
        <v>0</v>
      </c>
      <c r="K112" s="277"/>
    </row>
    <row r="113" spans="2:12" s="96" customFormat="1" ht="26.4" x14ac:dyDescent="0.3">
      <c r="B113" s="91" t="s">
        <v>1</v>
      </c>
      <c r="C113" s="14" t="s">
        <v>2</v>
      </c>
      <c r="D113" s="87" t="s">
        <v>571</v>
      </c>
      <c r="E113" s="87" t="s">
        <v>572</v>
      </c>
      <c r="F113" s="87" t="s">
        <v>573</v>
      </c>
      <c r="G113" s="92" t="s">
        <v>4</v>
      </c>
      <c r="H113" s="92" t="s">
        <v>5</v>
      </c>
      <c r="I113" s="93"/>
      <c r="J113" s="94" t="s">
        <v>6</v>
      </c>
      <c r="K113" s="95" t="e">
        <f>SUM(Tabla1103453454455456479192124[Total costo])</f>
        <v>#N/A</v>
      </c>
      <c r="L113" s="251"/>
    </row>
    <row r="114" spans="2:12" x14ac:dyDescent="0.3">
      <c r="B114" s="7" t="s">
        <v>687</v>
      </c>
      <c r="C114" s="8" t="s">
        <v>188</v>
      </c>
      <c r="D114" s="9">
        <v>10</v>
      </c>
      <c r="E114" s="9">
        <v>0</v>
      </c>
      <c r="F114" s="9">
        <v>10</v>
      </c>
      <c r="G114" s="10">
        <f>+VLOOKUP(Tabla1103453454455456479192124[[#This Row],[Ingrediente]],Tabla34[#All],3,0)</f>
        <v>84.475308639999994</v>
      </c>
      <c r="H114" s="11">
        <f>+Tabla1103453454455456479192124[[#This Row],[Costo]]*Tabla1103453454455456479192124[[#This Row],[Unidades]]</f>
        <v>844.75308639999992</v>
      </c>
      <c r="I114" s="4"/>
      <c r="J114" s="5" t="s">
        <v>8</v>
      </c>
      <c r="K114" s="12" t="e">
        <f>+K113*5%</f>
        <v>#N/A</v>
      </c>
    </row>
    <row r="115" spans="2:12" x14ac:dyDescent="0.3">
      <c r="B115" s="7" t="s">
        <v>362</v>
      </c>
      <c r="C115" s="8" t="s">
        <v>188</v>
      </c>
      <c r="D115" s="9">
        <v>10</v>
      </c>
      <c r="E115" s="9">
        <v>0</v>
      </c>
      <c r="F115" s="9">
        <v>10</v>
      </c>
      <c r="G115" s="10">
        <f>+VLOOKUP(Tabla1103453454455456479192124[[#This Row],[Ingrediente]],Tabla34[#All],3,0)</f>
        <v>8.2499666699999992</v>
      </c>
      <c r="H115" s="11">
        <f>+Tabla1103453454455456479192124[[#This Row],[Costo]]*Tabla1103453454455456479192124[[#This Row],[Unidades]]</f>
        <v>82.499666699999992</v>
      </c>
      <c r="I115" s="4"/>
      <c r="J115" s="5" t="s">
        <v>9</v>
      </c>
      <c r="K115" s="12" t="e">
        <f>+K113+K114</f>
        <v>#N/A</v>
      </c>
    </row>
    <row r="116" spans="2:12" x14ac:dyDescent="0.3">
      <c r="B116" s="7" t="s">
        <v>470</v>
      </c>
      <c r="C116" s="8" t="s">
        <v>188</v>
      </c>
      <c r="D116" s="9">
        <v>15</v>
      </c>
      <c r="E116" s="9">
        <v>10</v>
      </c>
      <c r="F116" s="9">
        <v>16.667000000000002</v>
      </c>
      <c r="G116" s="10">
        <f>+VLOOKUP(Tabla1103453454455456479192124[[#This Row],[Ingrediente]],Tabla34[#All],3,0)</f>
        <v>8</v>
      </c>
      <c r="H116" s="11">
        <f>+Tabla1103453454455456479192124[[#This Row],[Costo]]*Tabla1103453454455456479192124[[#This Row],[Unidades]]</f>
        <v>133.33600000000001</v>
      </c>
      <c r="I116" s="4"/>
      <c r="J116" s="17" t="s">
        <v>10</v>
      </c>
      <c r="K116" s="18">
        <v>64000</v>
      </c>
    </row>
    <row r="117" spans="2:12" x14ac:dyDescent="0.3">
      <c r="B117" s="7" t="s">
        <v>373</v>
      </c>
      <c r="C117" s="8" t="s">
        <v>570</v>
      </c>
      <c r="D117" s="9">
        <v>7</v>
      </c>
      <c r="E117" s="9">
        <v>0</v>
      </c>
      <c r="F117" s="9">
        <v>7</v>
      </c>
      <c r="G117" s="10">
        <f>+VLOOKUP(Tabla1103453454455456479192124[[#This Row],[Ingrediente]],Tabla34[#All],3,0)</f>
        <v>485.71428571000001</v>
      </c>
      <c r="H117" s="11">
        <f>+Tabla1103453454455456479192124[[#This Row],[Costo]]*Tabla1103453454455456479192124[[#This Row],[Unidades]]</f>
        <v>3399.9999999700003</v>
      </c>
      <c r="I117" s="4"/>
      <c r="J117" s="5" t="s">
        <v>11</v>
      </c>
      <c r="K117" s="12">
        <f>+K116/1.08*0.08</f>
        <v>4740.7407407407409</v>
      </c>
    </row>
    <row r="118" spans="2:12" x14ac:dyDescent="0.3">
      <c r="B118" s="7" t="s">
        <v>446</v>
      </c>
      <c r="C118" s="8" t="s">
        <v>188</v>
      </c>
      <c r="D118" s="9">
        <v>3</v>
      </c>
      <c r="E118" s="9">
        <v>40</v>
      </c>
      <c r="F118" s="9">
        <v>5</v>
      </c>
      <c r="G118" s="10">
        <f>+VLOOKUP(Tabla1103453454455456479192124[[#This Row],[Ingrediente]],Tabla34[#All],3,0)</f>
        <v>5.5</v>
      </c>
      <c r="H118" s="11">
        <f>+Tabla1103453454455456479192124[[#This Row],[Costo]]*Tabla1103453454455456479192124[[#This Row],[Unidades]]</f>
        <v>27.5</v>
      </c>
      <c r="I118" s="4"/>
      <c r="J118" s="5" t="s">
        <v>12</v>
      </c>
      <c r="K118" s="12">
        <f>+K116-K117</f>
        <v>59259.259259259255</v>
      </c>
    </row>
    <row r="119" spans="2:12" x14ac:dyDescent="0.3">
      <c r="B119" s="7" t="s">
        <v>474</v>
      </c>
      <c r="C119" s="8" t="s">
        <v>188</v>
      </c>
      <c r="D119" s="9">
        <v>30</v>
      </c>
      <c r="E119" s="9">
        <v>0</v>
      </c>
      <c r="F119" s="9">
        <v>30</v>
      </c>
      <c r="G119" s="10">
        <f>+VLOOKUP(Tabla1103453454455456479192124[[#This Row],[Ingrediente]],Tabla34[#All],3,0)</f>
        <v>40.594999999999999</v>
      </c>
      <c r="H119" s="11">
        <f>+Tabla1103453454455456479192124[[#This Row],[Costo]]*Tabla1103453454455456479192124[[#This Row],[Unidades]]</f>
        <v>1217.8499999999999</v>
      </c>
      <c r="I119" s="4"/>
      <c r="J119" s="5" t="s">
        <v>13</v>
      </c>
      <c r="K119" s="19" t="e">
        <f>+K115/K118</f>
        <v>#N/A</v>
      </c>
    </row>
    <row r="120" spans="2:12" x14ac:dyDescent="0.3">
      <c r="B120" s="21" t="s">
        <v>413</v>
      </c>
      <c r="C120" s="8" t="s">
        <v>188</v>
      </c>
      <c r="D120" s="9">
        <v>100</v>
      </c>
      <c r="E120" s="9">
        <v>0</v>
      </c>
      <c r="F120" s="9">
        <v>100</v>
      </c>
      <c r="G120" s="10">
        <f>+VLOOKUP(Tabla1103453454455456479192124[[#This Row],[Ingrediente]],Tabla34[#All],3,0)</f>
        <v>17.00824742</v>
      </c>
      <c r="H120" s="11">
        <f>+Tabla1103453454455456479192124[[#This Row],[Costo]]*Tabla1103453454455456479192124[[#This Row],[Unidades]]</f>
        <v>1700.824742</v>
      </c>
      <c r="I120" s="4"/>
      <c r="J120" s="5" t="s">
        <v>14</v>
      </c>
      <c r="K120" s="20" t="e">
        <f>+K118-K115</f>
        <v>#N/A</v>
      </c>
    </row>
    <row r="121" spans="2:12" x14ac:dyDescent="0.3">
      <c r="B121" s="21" t="s">
        <v>412</v>
      </c>
      <c r="C121" s="8" t="s">
        <v>570</v>
      </c>
      <c r="D121" s="9">
        <v>3</v>
      </c>
      <c r="E121" s="9">
        <v>0</v>
      </c>
      <c r="F121" s="9">
        <v>3</v>
      </c>
      <c r="G121" s="10">
        <f>+VLOOKUP(Tabla1103453454455456479192124[[#This Row],[Ingrediente]],Tabla34[#All],3,0)</f>
        <v>323.68</v>
      </c>
      <c r="H121" s="11">
        <f>+Tabla1103453454455456479192124[[#This Row],[Costo]]*Tabla1103453454455456479192124[[#This Row],[Unidades]]</f>
        <v>971.04</v>
      </c>
      <c r="I121" s="4"/>
      <c r="J121" s="5" t="s">
        <v>15</v>
      </c>
      <c r="K121" s="22" t="e">
        <f>+K120/K115</f>
        <v>#N/A</v>
      </c>
    </row>
    <row r="122" spans="2:12" x14ac:dyDescent="0.3">
      <c r="B122" s="21" t="s">
        <v>376</v>
      </c>
      <c r="C122" s="8" t="s">
        <v>188</v>
      </c>
      <c r="D122" s="9">
        <v>40</v>
      </c>
      <c r="E122" s="9">
        <v>0</v>
      </c>
      <c r="F122" s="9">
        <v>40</v>
      </c>
      <c r="G122" s="10">
        <f>+VLOOKUP(Tabla1103453454455456479192124[[#This Row],[Ingrediente]],Tabla34[#All],3,0)</f>
        <v>60.98749999999999</v>
      </c>
      <c r="H122" s="11">
        <f>+Tabla1103453454455456479192124[[#This Row],[Costo]]*Tabla1103453454455456479192124[[#This Row],[Unidades]]</f>
        <v>2439.4999999999995</v>
      </c>
      <c r="I122" s="4"/>
      <c r="J122" s="4"/>
      <c r="K122" s="23"/>
    </row>
    <row r="123" spans="2:12" x14ac:dyDescent="0.3">
      <c r="B123" s="7" t="s">
        <v>420</v>
      </c>
      <c r="C123" s="8" t="s">
        <v>188</v>
      </c>
      <c r="D123" s="9">
        <v>20</v>
      </c>
      <c r="E123" s="9">
        <v>0</v>
      </c>
      <c r="F123" s="9">
        <v>20</v>
      </c>
      <c r="G123" s="10">
        <f>+VLOOKUP(Tabla1103453454455456479192124[[#This Row],[Ingrediente]],Tabla34[#All],3,0)</f>
        <v>8.9250000000000007</v>
      </c>
      <c r="H123" s="11">
        <f>+Tabla1103453454455456479192124[[#This Row],[Costo]]*Tabla1103453454455456479192124[[#This Row],[Unidades]]</f>
        <v>178.5</v>
      </c>
      <c r="I123" s="4"/>
      <c r="J123" s="4"/>
      <c r="K123" s="23"/>
    </row>
    <row r="124" spans="2:12" x14ac:dyDescent="0.3">
      <c r="B124" s="21" t="s">
        <v>341</v>
      </c>
      <c r="C124" s="8" t="s">
        <v>188</v>
      </c>
      <c r="D124" s="9">
        <v>20</v>
      </c>
      <c r="E124" s="9">
        <v>0</v>
      </c>
      <c r="F124" s="9">
        <v>20</v>
      </c>
      <c r="G124" s="10">
        <f>+VLOOKUP(Tabla1103453454455456479192124[[#This Row],[Ingrediente]],Tabla34[#All],3,0)</f>
        <v>12.80723817</v>
      </c>
      <c r="H124" s="11">
        <f>+Tabla1103453454455456479192124[[#This Row],[Costo]]*Tabla1103453454455456479192124[[#This Row],[Unidades]]</f>
        <v>256.14476339999999</v>
      </c>
      <c r="I124" s="24"/>
      <c r="J124" s="24"/>
      <c r="K124" s="24"/>
    </row>
    <row r="125" spans="2:12" x14ac:dyDescent="0.3">
      <c r="B125" s="21" t="s">
        <v>1286</v>
      </c>
      <c r="C125" s="8" t="s">
        <v>188</v>
      </c>
      <c r="D125" s="9">
        <v>50</v>
      </c>
      <c r="E125" s="9">
        <v>0</v>
      </c>
      <c r="F125" s="9">
        <v>50</v>
      </c>
      <c r="G125" s="10" t="e">
        <f>+VLOOKUP(Tabla1103453454455456479192124[[#This Row],[Ingrediente]],Tabla34[#All],3,0)</f>
        <v>#N/A</v>
      </c>
      <c r="H125" s="11" t="e">
        <f>+Tabla1103453454455456479192124[[#This Row],[Costo]]*Tabla1103453454455456479192124[[#This Row],[Unidades]]</f>
        <v>#N/A</v>
      </c>
    </row>
    <row r="126" spans="2:12" x14ac:dyDescent="0.3">
      <c r="B126" s="7" t="s">
        <v>528</v>
      </c>
      <c r="C126" s="8" t="s">
        <v>188</v>
      </c>
      <c r="D126" s="9">
        <v>240</v>
      </c>
      <c r="E126" s="9">
        <v>0</v>
      </c>
      <c r="F126" s="9">
        <v>240</v>
      </c>
      <c r="G126" s="10">
        <f>+VLOOKUP(Tabla1103453454455456479192124[[#This Row],[Ingrediente]],Tabla34[#All],3,0)</f>
        <v>4.8201292200000001</v>
      </c>
      <c r="H126" s="11">
        <f>+Tabla1103453454455456479192124[[#This Row],[Costo]]*Tabla1103453454455456479192124[[#This Row],[Unidades]]</f>
        <v>1156.8310128000001</v>
      </c>
      <c r="I126" s="4"/>
      <c r="J126" s="4"/>
      <c r="K126" s="23"/>
    </row>
    <row r="127" spans="2:12" x14ac:dyDescent="0.3">
      <c r="B127" s="21" t="s">
        <v>1304</v>
      </c>
      <c r="C127" s="8" t="s">
        <v>188</v>
      </c>
      <c r="D127" s="9">
        <v>15</v>
      </c>
      <c r="E127" s="9">
        <v>0</v>
      </c>
      <c r="F127" s="9">
        <v>15</v>
      </c>
      <c r="G127" s="10" t="e">
        <f>+VLOOKUP(Tabla1103453454455456479192124[[#This Row],[Ingrediente]],Tabla34[#All],3,0)</f>
        <v>#N/A</v>
      </c>
      <c r="H127" s="11" t="e">
        <f>+Tabla1103453454455456479192124[[#This Row],[Costo]]*Tabla1103453454455456479192124[[#This Row],[Unidades]]</f>
        <v>#N/A</v>
      </c>
      <c r="I127" s="4"/>
      <c r="J127" s="4"/>
      <c r="K127" s="23"/>
    </row>
    <row r="128" spans="2:12" x14ac:dyDescent="0.3">
      <c r="B128" s="21" t="s">
        <v>527</v>
      </c>
      <c r="C128" s="8" t="s">
        <v>188</v>
      </c>
      <c r="D128" s="9">
        <v>150</v>
      </c>
      <c r="E128" s="9">
        <v>0</v>
      </c>
      <c r="F128" s="9">
        <v>150</v>
      </c>
      <c r="G128" s="10">
        <f>+VLOOKUP(Tabla1103453454455456479192124[[#This Row],[Ingrediente]],Tabla34[#All],3,0)</f>
        <v>12.173055509999999</v>
      </c>
      <c r="H128" s="11">
        <f>+Tabla1103453454455456479192124[[#This Row],[Costo]]*Tabla1103453454455456479192124[[#This Row],[Unidades]]</f>
        <v>1825.9583264999999</v>
      </c>
      <c r="I128" s="4"/>
      <c r="J128" s="4"/>
      <c r="K128" s="23"/>
    </row>
    <row r="129" spans="2:11" x14ac:dyDescent="0.3">
      <c r="B129" s="21" t="s">
        <v>92</v>
      </c>
      <c r="C129" s="8" t="s">
        <v>188</v>
      </c>
      <c r="D129" s="9">
        <v>10</v>
      </c>
      <c r="E129" s="9">
        <v>0</v>
      </c>
      <c r="F129" s="9">
        <v>10</v>
      </c>
      <c r="G129" s="10">
        <f>+VLOOKUP(Tabla1103453454455456479192124[[#This Row],[Ingrediente]],Tabla34[#All],3,0)</f>
        <v>10.625185460000001</v>
      </c>
      <c r="H129" s="11">
        <f>+Tabla1103453454455456479192124[[#This Row],[Costo]]*Tabla1103453454455456479192124[[#This Row],[Unidades]]</f>
        <v>106.2518546</v>
      </c>
      <c r="I129" s="4"/>
      <c r="J129" s="4"/>
      <c r="K129" s="23"/>
    </row>
    <row r="130" spans="2:11" x14ac:dyDescent="0.3">
      <c r="B130" s="7" t="s">
        <v>533</v>
      </c>
      <c r="C130" s="8" t="s">
        <v>570</v>
      </c>
      <c r="D130" s="9">
        <v>1</v>
      </c>
      <c r="E130" s="264">
        <v>0</v>
      </c>
      <c r="F130" s="9">
        <v>1</v>
      </c>
      <c r="G130" s="10">
        <f>+VLOOKUP(Tabla1103453454455456479192124[[#This Row],[Ingrediente]],Tabla34[#All],3,0)</f>
        <v>4002.0382164999996</v>
      </c>
      <c r="H130" s="11">
        <f>+Tabla1103453454455456479192124[[#This Row],[Costo]]*Tabla1103453454455456479192124[[#This Row],[Unidades]]</f>
        <v>4002.0382164999996</v>
      </c>
    </row>
    <row r="131" spans="2:11" x14ac:dyDescent="0.3">
      <c r="B131" s="13"/>
      <c r="C131" s="14"/>
      <c r="D131" s="14"/>
      <c r="E131" s="14"/>
      <c r="F131" s="14"/>
      <c r="G131" s="15"/>
      <c r="H131" s="15" t="e">
        <f>SUBTOTAL(109,Tabla1103453454455456479192124[Total costo])</f>
        <v>#N/A</v>
      </c>
    </row>
    <row r="133" spans="2:11" s="26" customFormat="1" x14ac:dyDescent="0.3">
      <c r="B133" s="45"/>
      <c r="C133" s="46"/>
      <c r="D133" s="46"/>
      <c r="E133" s="47"/>
      <c r="F133" s="47"/>
    </row>
    <row r="134" spans="2:11" s="26" customFormat="1" x14ac:dyDescent="0.3">
      <c r="B134" s="45"/>
      <c r="C134" s="46"/>
      <c r="D134" s="46"/>
      <c r="E134" s="47"/>
      <c r="F134" s="47"/>
    </row>
    <row r="135" spans="2:11" x14ac:dyDescent="0.3">
      <c r="B135" s="89" t="s">
        <v>65</v>
      </c>
      <c r="C135" s="90"/>
      <c r="D135" s="90"/>
      <c r="E135" s="90"/>
      <c r="F135" s="90"/>
      <c r="G135" s="90"/>
      <c r="H135" s="90"/>
      <c r="I135" s="26"/>
      <c r="J135" s="277" t="s">
        <v>0</v>
      </c>
      <c r="K135" s="277"/>
    </row>
    <row r="136" spans="2:11" ht="26.4" x14ac:dyDescent="0.3">
      <c r="B136" s="91" t="s">
        <v>1</v>
      </c>
      <c r="C136" s="14" t="s">
        <v>2</v>
      </c>
      <c r="D136" s="87" t="s">
        <v>571</v>
      </c>
      <c r="E136" s="87" t="s">
        <v>572</v>
      </c>
      <c r="F136" s="87" t="s">
        <v>573</v>
      </c>
      <c r="G136" s="92" t="s">
        <v>4</v>
      </c>
      <c r="H136" s="92" t="s">
        <v>5</v>
      </c>
      <c r="I136" s="4"/>
      <c r="J136" s="5" t="s">
        <v>6</v>
      </c>
      <c r="K136" s="6">
        <f>SUM(Tabla110345345445545647919212526[Total costo])</f>
        <v>20744.760809350002</v>
      </c>
    </row>
    <row r="137" spans="2:11" x14ac:dyDescent="0.3">
      <c r="B137" s="21" t="s">
        <v>687</v>
      </c>
      <c r="C137" s="8" t="s">
        <v>188</v>
      </c>
      <c r="D137" s="9">
        <v>40</v>
      </c>
      <c r="E137" s="9">
        <v>0</v>
      </c>
      <c r="F137" s="9">
        <v>40</v>
      </c>
      <c r="G137" s="11">
        <f>+VLOOKUP(Tabla110345345445545647919212526[[#This Row],[Ingrediente]],Tabla34[#All],3,0)</f>
        <v>84.475308639999994</v>
      </c>
      <c r="H137" s="11">
        <f>+Tabla110345345445545647919212526[[#This Row],[Costo]]*Tabla110345345445545647919212526[[#This Row],[Unidades]]</f>
        <v>3379.0123455999997</v>
      </c>
      <c r="I137" s="4"/>
      <c r="J137" s="5" t="s">
        <v>8</v>
      </c>
      <c r="K137" s="12">
        <f>+K136*5%</f>
        <v>1037.2380404675002</v>
      </c>
    </row>
    <row r="138" spans="2:11" x14ac:dyDescent="0.3">
      <c r="B138" s="7" t="s">
        <v>470</v>
      </c>
      <c r="C138" s="8" t="s">
        <v>188</v>
      </c>
      <c r="D138" s="9">
        <v>15</v>
      </c>
      <c r="E138" s="9">
        <v>10</v>
      </c>
      <c r="F138" s="9">
        <v>16.667000000000002</v>
      </c>
      <c r="G138" s="11">
        <f>+VLOOKUP(Tabla110345345445545647919212526[[#This Row],[Ingrediente]],Tabla34[#All],3,0)</f>
        <v>8</v>
      </c>
      <c r="H138" s="11">
        <f>+Tabla110345345445545647919212526[[#This Row],[Costo]]*Tabla110345345445545647919212526[[#This Row],[Unidades]]</f>
        <v>133.33600000000001</v>
      </c>
      <c r="I138" s="4"/>
      <c r="J138" s="5" t="s">
        <v>9</v>
      </c>
      <c r="K138" s="12">
        <f>+K136+K137</f>
        <v>21781.998849817501</v>
      </c>
    </row>
    <row r="139" spans="2:11" x14ac:dyDescent="0.3">
      <c r="B139" s="21" t="s">
        <v>557</v>
      </c>
      <c r="C139" s="8" t="s">
        <v>188</v>
      </c>
      <c r="D139" s="9">
        <v>2</v>
      </c>
      <c r="E139" s="9">
        <v>0</v>
      </c>
      <c r="F139" s="9">
        <v>2</v>
      </c>
      <c r="G139" s="11">
        <f>+VLOOKUP(Tabla110345345445545647919212526[[#This Row],[Ingrediente]],Tabla34[#All],3,0)</f>
        <v>18.138999999999999</v>
      </c>
      <c r="H139" s="11">
        <f>+Tabla110345345445545647919212526[[#This Row],[Costo]]*Tabla110345345445545647919212526[[#This Row],[Unidades]]</f>
        <v>36.277999999999999</v>
      </c>
      <c r="I139" s="4"/>
      <c r="J139" s="17" t="s">
        <v>10</v>
      </c>
      <c r="K139" s="18">
        <v>62000</v>
      </c>
    </row>
    <row r="140" spans="2:11" x14ac:dyDescent="0.3">
      <c r="B140" s="7" t="s">
        <v>689</v>
      </c>
      <c r="C140" s="8" t="s">
        <v>188</v>
      </c>
      <c r="D140" s="9">
        <v>2</v>
      </c>
      <c r="E140" s="9">
        <v>0</v>
      </c>
      <c r="F140" s="9">
        <v>2</v>
      </c>
      <c r="G140" s="11">
        <f>+VLOOKUP(Tabla110345345445545647919212526[[#This Row],[Ingrediente]],Tabla34[#All],3,0)</f>
        <v>40.97</v>
      </c>
      <c r="H140" s="11">
        <f>+Tabla110345345445545647919212526[[#This Row],[Costo]]*Tabla110345345445545647919212526[[#This Row],[Unidades]]</f>
        <v>81.94</v>
      </c>
      <c r="I140" s="4"/>
      <c r="J140" s="5" t="s">
        <v>11</v>
      </c>
      <c r="K140" s="12">
        <f>+K139/1.08*0.08</f>
        <v>4592.5925925925922</v>
      </c>
    </row>
    <row r="141" spans="2:11" x14ac:dyDescent="0.3">
      <c r="B141" s="7" t="s">
        <v>490</v>
      </c>
      <c r="C141" s="8" t="s">
        <v>188</v>
      </c>
      <c r="D141" s="9">
        <v>15</v>
      </c>
      <c r="E141" s="9">
        <v>30</v>
      </c>
      <c r="F141" s="9">
        <v>21.428999999999998</v>
      </c>
      <c r="G141" s="11">
        <f>+VLOOKUP(Tabla110345345445545647919212526[[#This Row],[Ingrediente]],Tabla34[#All],3,0)</f>
        <v>5</v>
      </c>
      <c r="H141" s="11">
        <f>+Tabla110345345445545647919212526[[#This Row],[Costo]]*Tabla110345345445545647919212526[[#This Row],[Unidades]]</f>
        <v>107.145</v>
      </c>
      <c r="I141" s="4"/>
      <c r="J141" s="5" t="s">
        <v>12</v>
      </c>
      <c r="K141" s="12">
        <f>+K139-K140</f>
        <v>57407.407407407409</v>
      </c>
    </row>
    <row r="142" spans="2:11" x14ac:dyDescent="0.3">
      <c r="B142" s="7" t="s">
        <v>691</v>
      </c>
      <c r="C142" s="8" t="s">
        <v>188</v>
      </c>
      <c r="D142" s="9">
        <v>2</v>
      </c>
      <c r="E142" s="9">
        <v>0</v>
      </c>
      <c r="F142" s="9">
        <v>2</v>
      </c>
      <c r="G142" s="11">
        <f>+VLOOKUP(Tabla110345345445545647919212526[[#This Row],[Ingrediente]],Tabla34[#All],3,0)</f>
        <v>16</v>
      </c>
      <c r="H142" s="11">
        <f>+Tabla110345345445545647919212526[[#This Row],[Costo]]*Tabla110345345445545647919212526[[#This Row],[Unidades]]</f>
        <v>32</v>
      </c>
      <c r="I142" s="4"/>
      <c r="J142" s="5" t="s">
        <v>13</v>
      </c>
      <c r="K142" s="19">
        <f>+K138/K141</f>
        <v>0.37942836706133709</v>
      </c>
    </row>
    <row r="143" spans="2:11" x14ac:dyDescent="0.3">
      <c r="B143" s="7" t="s">
        <v>417</v>
      </c>
      <c r="C143" s="8" t="s">
        <v>188</v>
      </c>
      <c r="D143" s="9">
        <v>60</v>
      </c>
      <c r="E143" s="9">
        <v>10</v>
      </c>
      <c r="F143" s="9">
        <v>66.667000000000002</v>
      </c>
      <c r="G143" s="11">
        <f>+VLOOKUP(Tabla110345345445545647919212526[[#This Row],[Ingrediente]],Tabla34[#All],3,0)</f>
        <v>27</v>
      </c>
      <c r="H143" s="11">
        <f>+Tabla110345345445545647919212526[[#This Row],[Costo]]*Tabla110345345445545647919212526[[#This Row],[Unidades]]</f>
        <v>1800.009</v>
      </c>
      <c r="I143" s="4"/>
      <c r="J143" s="5" t="s">
        <v>14</v>
      </c>
      <c r="K143" s="20">
        <f>+K141-K138</f>
        <v>35625.408557589908</v>
      </c>
    </row>
    <row r="144" spans="2:11" x14ac:dyDescent="0.3">
      <c r="B144" s="21" t="s">
        <v>420</v>
      </c>
      <c r="C144" s="8" t="s">
        <v>188</v>
      </c>
      <c r="D144" s="9">
        <v>80</v>
      </c>
      <c r="E144" s="9">
        <v>0</v>
      </c>
      <c r="F144" s="9">
        <v>80</v>
      </c>
      <c r="G144" s="11">
        <f>+VLOOKUP(Tabla110345345445545647919212526[[#This Row],[Ingrediente]],Tabla34[#All],3,0)</f>
        <v>8.9250000000000007</v>
      </c>
      <c r="H144" s="11">
        <f>+Tabla110345345445545647919212526[[#This Row],[Costo]]*Tabla110345345445545647919212526[[#This Row],[Unidades]]</f>
        <v>714</v>
      </c>
      <c r="I144" s="4"/>
      <c r="J144" s="5" t="s">
        <v>15</v>
      </c>
      <c r="K144" s="22">
        <f>+K143/K138</f>
        <v>1.6355435882271381</v>
      </c>
    </row>
    <row r="145" spans="2:11" x14ac:dyDescent="0.3">
      <c r="B145" s="7" t="s">
        <v>366</v>
      </c>
      <c r="C145" s="8" t="s">
        <v>570</v>
      </c>
      <c r="D145" s="9">
        <v>1</v>
      </c>
      <c r="E145" s="9">
        <v>0</v>
      </c>
      <c r="F145" s="9">
        <v>1</v>
      </c>
      <c r="G145" s="11">
        <f>+VLOOKUP(Tabla110345345445545647919212526[[#This Row],[Ingrediente]],Tabla34[#All],3,0)</f>
        <v>12280</v>
      </c>
      <c r="H145" s="11">
        <f>+Tabla110345345445545647919212526[[#This Row],[Costo]]*Tabla110345345445545647919212526[[#This Row],[Unidades]]</f>
        <v>12280</v>
      </c>
      <c r="I145" s="4"/>
      <c r="J145" s="4"/>
      <c r="K145" s="23"/>
    </row>
    <row r="146" spans="2:11" x14ac:dyDescent="0.3">
      <c r="B146" s="21" t="s">
        <v>528</v>
      </c>
      <c r="C146" s="8" t="s">
        <v>188</v>
      </c>
      <c r="D146" s="9">
        <v>240</v>
      </c>
      <c r="E146" s="9">
        <v>0</v>
      </c>
      <c r="F146" s="9">
        <v>240</v>
      </c>
      <c r="G146" s="11">
        <f>+VLOOKUP(Tabla110345345445545647919212526[[#This Row],[Ingrediente]],Tabla34[#All],3,0)</f>
        <v>4.8201292200000001</v>
      </c>
      <c r="H146" s="11">
        <f>+Tabla110345345445545647919212526[[#This Row],[Costo]]*Tabla110345345445545647919212526[[#This Row],[Unidades]]</f>
        <v>1156.8310128000001</v>
      </c>
      <c r="I146" s="4"/>
      <c r="J146" s="4"/>
      <c r="K146" s="23"/>
    </row>
    <row r="147" spans="2:11" x14ac:dyDescent="0.3">
      <c r="B147" s="21" t="s">
        <v>512</v>
      </c>
      <c r="C147" s="8" t="s">
        <v>188</v>
      </c>
      <c r="D147" s="9">
        <v>5</v>
      </c>
      <c r="E147" s="9">
        <v>0</v>
      </c>
      <c r="F147" s="9">
        <v>5</v>
      </c>
      <c r="G147" s="11">
        <f>+VLOOKUP(Tabla110345345445545647919212526[[#This Row],[Ingrediente]],Tabla34[#All],3,0)</f>
        <v>9.7905400900000004</v>
      </c>
      <c r="H147" s="11">
        <f>+Tabla110345345445545647919212526[[#This Row],[Costo]]*Tabla110345345445545647919212526[[#This Row],[Unidades]]</f>
        <v>48.952700450000002</v>
      </c>
      <c r="I147" s="4"/>
      <c r="J147" s="4"/>
      <c r="K147" s="23"/>
    </row>
    <row r="148" spans="2:11" x14ac:dyDescent="0.3">
      <c r="B148" s="7" t="s">
        <v>499</v>
      </c>
      <c r="C148" s="8" t="s">
        <v>188</v>
      </c>
      <c r="D148" s="9">
        <v>10</v>
      </c>
      <c r="E148" s="269">
        <v>0</v>
      </c>
      <c r="F148" s="269">
        <v>10</v>
      </c>
      <c r="G148" s="11">
        <f>+VLOOKUP(Tabla110345345445545647919212526[[#This Row],[Ingrediente]],Tabla34[#All],3,0)</f>
        <v>3.57</v>
      </c>
      <c r="H148" s="11">
        <f>+Tabla110345345445545647919212526[[#This Row],[Costo]]*Tabla110345345445545647919212526[[#This Row],[Unidades]]</f>
        <v>35.699999999999996</v>
      </c>
    </row>
    <row r="149" spans="2:11" x14ac:dyDescent="0.3">
      <c r="B149" s="7" t="s">
        <v>1207</v>
      </c>
      <c r="C149" s="8" t="s">
        <v>188</v>
      </c>
      <c r="D149" s="9">
        <v>50</v>
      </c>
      <c r="E149" s="269">
        <v>0</v>
      </c>
      <c r="F149" s="269">
        <v>50</v>
      </c>
      <c r="G149" s="11">
        <f>+VLOOKUP(Tabla110345345445545647919212526[[#This Row],[Ingrediente]],Tabla34[#All],3,0)</f>
        <v>18.791135010000001</v>
      </c>
      <c r="H149" s="11">
        <f>+Tabla110345345445545647919212526[[#This Row],[Costo]]*Tabla110345345445545647919212526[[#This Row],[Unidades]]</f>
        <v>939.55675050000002</v>
      </c>
    </row>
    <row r="150" spans="2:11" x14ac:dyDescent="0.3">
      <c r="B150" s="13"/>
      <c r="C150" s="14"/>
      <c r="D150" s="14"/>
      <c r="E150" s="15"/>
      <c r="F150" s="15"/>
      <c r="G150" s="15"/>
      <c r="H150" s="15">
        <f>SUBTOTAL(109,Tabla110345345445545647919212526[Total costo])</f>
        <v>20744.760809350002</v>
      </c>
    </row>
    <row r="151" spans="2:11" s="26" customFormat="1" x14ac:dyDescent="0.3">
      <c r="B151" s="45"/>
      <c r="C151" s="46"/>
      <c r="D151" s="46"/>
      <c r="E151" s="47"/>
      <c r="F151" s="47"/>
      <c r="G151" s="98"/>
      <c r="H151" s="98"/>
    </row>
    <row r="152" spans="2:11" x14ac:dyDescent="0.3">
      <c r="B152" s="1" t="s">
        <v>66</v>
      </c>
      <c r="C152" s="2"/>
      <c r="D152" s="2"/>
      <c r="E152" s="3"/>
      <c r="F152" s="3"/>
      <c r="G152" s="99"/>
      <c r="H152" s="99"/>
      <c r="I152" s="4"/>
      <c r="J152" s="277" t="s">
        <v>0</v>
      </c>
      <c r="K152" s="277"/>
    </row>
    <row r="153" spans="2:11" ht="26.4" x14ac:dyDescent="0.3">
      <c r="B153" s="91" t="s">
        <v>1</v>
      </c>
      <c r="C153" s="14" t="s">
        <v>2</v>
      </c>
      <c r="D153" s="87" t="s">
        <v>571</v>
      </c>
      <c r="E153" s="87" t="s">
        <v>572</v>
      </c>
      <c r="F153" s="87" t="s">
        <v>573</v>
      </c>
      <c r="G153" s="92" t="s">
        <v>4</v>
      </c>
      <c r="H153" s="92" t="s">
        <v>5</v>
      </c>
      <c r="I153" s="4"/>
      <c r="J153" s="5" t="s">
        <v>6</v>
      </c>
      <c r="K153" s="6">
        <f>SUM(Tabla110345345445545647919212527[Total costo])</f>
        <v>11687.293459249999</v>
      </c>
    </row>
    <row r="154" spans="2:11" x14ac:dyDescent="0.3">
      <c r="B154" s="7" t="s">
        <v>687</v>
      </c>
      <c r="C154" s="8" t="s">
        <v>188</v>
      </c>
      <c r="D154" s="9">
        <v>40</v>
      </c>
      <c r="E154" s="9">
        <v>0</v>
      </c>
      <c r="F154" s="9">
        <v>40</v>
      </c>
      <c r="G154" s="10">
        <f>+VLOOKUP(Tabla110345345445545647919212527[[#This Row],[Ingrediente]],Tabla34[#All],3,0)</f>
        <v>84.475308639999994</v>
      </c>
      <c r="H154" s="11">
        <f>+Tabla110345345445545647919212527[[#This Row],[Costo]]*Tabla110345345445545647919212527[[#This Row],[Unidades]]</f>
        <v>3379.0123455999997</v>
      </c>
      <c r="I154" s="4"/>
      <c r="J154" s="5" t="s">
        <v>8</v>
      </c>
      <c r="K154" s="12">
        <f>+K153*5%</f>
        <v>584.36467296249998</v>
      </c>
    </row>
    <row r="155" spans="2:11" x14ac:dyDescent="0.3">
      <c r="B155" s="7" t="s">
        <v>470</v>
      </c>
      <c r="C155" s="8" t="s">
        <v>188</v>
      </c>
      <c r="D155" s="9">
        <v>15</v>
      </c>
      <c r="E155" s="9">
        <v>10</v>
      </c>
      <c r="F155" s="9">
        <v>16.667000000000002</v>
      </c>
      <c r="G155" s="10">
        <f>+VLOOKUP(Tabla110345345445545647919212527[[#This Row],[Ingrediente]],Tabla34[#All],3,0)</f>
        <v>8</v>
      </c>
      <c r="H155" s="11">
        <f>+Tabla110345345445545647919212527[[#This Row],[Costo]]*Tabla110345345445545647919212527[[#This Row],[Unidades]]</f>
        <v>133.33600000000001</v>
      </c>
      <c r="I155" s="4"/>
      <c r="J155" s="5" t="s">
        <v>9</v>
      </c>
      <c r="K155" s="12">
        <f>+K153+K154</f>
        <v>12271.658132212498</v>
      </c>
    </row>
    <row r="156" spans="2:11" x14ac:dyDescent="0.3">
      <c r="B156" s="21" t="s">
        <v>442</v>
      </c>
      <c r="C156" s="8" t="s">
        <v>188</v>
      </c>
      <c r="D156" s="9">
        <v>4</v>
      </c>
      <c r="E156" s="9">
        <v>0</v>
      </c>
      <c r="F156" s="9">
        <v>4</v>
      </c>
      <c r="G156" s="10">
        <f>+VLOOKUP(Tabla110345345445545647919212527[[#This Row],[Ingrediente]],Tabla34[#All],3,0)</f>
        <v>20.111000000000001</v>
      </c>
      <c r="H156" s="11">
        <f>+Tabla110345345445545647919212527[[#This Row],[Costo]]*Tabla110345345445545647919212527[[#This Row],[Unidades]]</f>
        <v>80.444000000000003</v>
      </c>
      <c r="I156" s="4"/>
      <c r="J156" s="17" t="s">
        <v>10</v>
      </c>
      <c r="K156" s="18">
        <v>62000</v>
      </c>
    </row>
    <row r="157" spans="2:11" x14ac:dyDescent="0.3">
      <c r="B157" s="7" t="s">
        <v>557</v>
      </c>
      <c r="C157" s="8" t="s">
        <v>188</v>
      </c>
      <c r="D157" s="9">
        <v>2</v>
      </c>
      <c r="E157" s="9">
        <v>0</v>
      </c>
      <c r="F157" s="9">
        <v>2</v>
      </c>
      <c r="G157" s="10">
        <f>+VLOOKUP(Tabla110345345445545647919212527[[#This Row],[Ingrediente]],Tabla34[#All],3,0)</f>
        <v>18.138999999999999</v>
      </c>
      <c r="H157" s="11">
        <f>+Tabla110345345445545647919212527[[#This Row],[Costo]]*Tabla110345345445545647919212527[[#This Row],[Unidades]]</f>
        <v>36.277999999999999</v>
      </c>
      <c r="I157" s="4"/>
      <c r="J157" s="5" t="s">
        <v>11</v>
      </c>
      <c r="K157" s="12">
        <f>+K156/1.08*0.08</f>
        <v>4592.5925925925922</v>
      </c>
    </row>
    <row r="158" spans="2:11" x14ac:dyDescent="0.3">
      <c r="B158" s="21" t="s">
        <v>689</v>
      </c>
      <c r="C158" s="8" t="s">
        <v>188</v>
      </c>
      <c r="D158" s="9">
        <v>2</v>
      </c>
      <c r="E158" s="9">
        <v>0</v>
      </c>
      <c r="F158" s="9">
        <v>2</v>
      </c>
      <c r="G158" s="10">
        <f>+VLOOKUP(Tabla110345345445545647919212527[[#This Row],[Ingrediente]],Tabla34[#All],3,0)</f>
        <v>40.97</v>
      </c>
      <c r="H158" s="11">
        <f>+Tabla110345345445545647919212527[[#This Row],[Costo]]*Tabla110345345445545647919212527[[#This Row],[Unidades]]</f>
        <v>81.94</v>
      </c>
      <c r="I158" s="4"/>
      <c r="J158" s="5" t="s">
        <v>12</v>
      </c>
      <c r="K158" s="12">
        <f>+K156-K157</f>
        <v>57407.407407407409</v>
      </c>
    </row>
    <row r="159" spans="2:11" x14ac:dyDescent="0.3">
      <c r="B159" s="21" t="s">
        <v>490</v>
      </c>
      <c r="C159" s="8" t="s">
        <v>188</v>
      </c>
      <c r="D159" s="9">
        <v>15</v>
      </c>
      <c r="E159" s="9">
        <v>30</v>
      </c>
      <c r="F159" s="9">
        <v>21.428999999999998</v>
      </c>
      <c r="G159" s="10">
        <f>+VLOOKUP(Tabla110345345445545647919212527[[#This Row],[Ingrediente]],Tabla34[#All],3,0)</f>
        <v>5</v>
      </c>
      <c r="H159" s="11">
        <f>+Tabla110345345445545647919212527[[#This Row],[Costo]]*Tabla110345345445545647919212527[[#This Row],[Unidades]]</f>
        <v>107.145</v>
      </c>
      <c r="I159" s="4"/>
      <c r="J159" s="5" t="s">
        <v>13</v>
      </c>
      <c r="K159" s="19">
        <f>+K155/K158</f>
        <v>0.21376436746434674</v>
      </c>
    </row>
    <row r="160" spans="2:11" x14ac:dyDescent="0.3">
      <c r="B160" s="7" t="s">
        <v>691</v>
      </c>
      <c r="C160" s="8" t="s">
        <v>188</v>
      </c>
      <c r="D160" s="9">
        <v>2</v>
      </c>
      <c r="E160" s="9">
        <v>0</v>
      </c>
      <c r="F160" s="9">
        <v>2</v>
      </c>
      <c r="G160" s="10">
        <f>+VLOOKUP(Tabla110345345445545647919212527[[#This Row],[Ingrediente]],Tabla34[#All],3,0)</f>
        <v>16</v>
      </c>
      <c r="H160" s="11">
        <f>+Tabla110345345445545647919212527[[#This Row],[Costo]]*Tabla110345345445545647919212527[[#This Row],[Unidades]]</f>
        <v>32</v>
      </c>
      <c r="I160" s="4"/>
      <c r="J160" s="5" t="s">
        <v>14</v>
      </c>
      <c r="K160" s="20">
        <f>+K158-K155</f>
        <v>45135.74927519491</v>
      </c>
    </row>
    <row r="161" spans="2:11" x14ac:dyDescent="0.3">
      <c r="B161" s="21" t="s">
        <v>417</v>
      </c>
      <c r="C161" s="8" t="s">
        <v>188</v>
      </c>
      <c r="D161" s="9">
        <v>15</v>
      </c>
      <c r="E161" s="9">
        <v>10</v>
      </c>
      <c r="F161" s="9">
        <v>16.667000000000002</v>
      </c>
      <c r="G161" s="10">
        <f>+VLOOKUP(Tabla110345345445545647919212527[[#This Row],[Ingrediente]],Tabla34[#All],3,0)</f>
        <v>27</v>
      </c>
      <c r="H161" s="11">
        <f>+Tabla110345345445545647919212527[[#This Row],[Costo]]*Tabla110345345445545647919212527[[#This Row],[Unidades]]</f>
        <v>450.00900000000001</v>
      </c>
      <c r="I161" s="4"/>
      <c r="J161" s="5" t="s">
        <v>15</v>
      </c>
      <c r="K161" s="22">
        <f>+K160/K155</f>
        <v>3.6780481324455896</v>
      </c>
    </row>
    <row r="162" spans="2:11" x14ac:dyDescent="0.3">
      <c r="B162" s="7" t="s">
        <v>1005</v>
      </c>
      <c r="C162" s="8" t="s">
        <v>570</v>
      </c>
      <c r="D162" s="9">
        <v>1</v>
      </c>
      <c r="E162" s="9">
        <v>0</v>
      </c>
      <c r="F162" s="9">
        <v>1</v>
      </c>
      <c r="G162" s="10">
        <f>+VLOOKUP(Tabla110345345445545647919212527[[#This Row],[Ingrediente]],Tabla34[#All],3,0)</f>
        <v>4680</v>
      </c>
      <c r="H162" s="11">
        <f>+Tabla110345345445545647919212527[[#This Row],[Costo]]*Tabla110345345445545647919212527[[#This Row],[Unidades]]</f>
        <v>4680</v>
      </c>
      <c r="I162" s="4"/>
      <c r="J162" s="4"/>
      <c r="K162" s="23"/>
    </row>
    <row r="163" spans="2:11" x14ac:dyDescent="0.3">
      <c r="B163" s="21" t="s">
        <v>420</v>
      </c>
      <c r="C163" s="8" t="s">
        <v>188</v>
      </c>
      <c r="D163" s="9">
        <v>80</v>
      </c>
      <c r="E163" s="9">
        <v>0</v>
      </c>
      <c r="F163" s="9">
        <v>80</v>
      </c>
      <c r="G163" s="10">
        <f>+VLOOKUP(Tabla110345345445545647919212527[[#This Row],[Ingrediente]],Tabla34[#All],3,0)</f>
        <v>8.9250000000000007</v>
      </c>
      <c r="H163" s="11">
        <f>+Tabla110345345445545647919212527[[#This Row],[Costo]]*Tabla110345345445545647919212527[[#This Row],[Unidades]]</f>
        <v>714</v>
      </c>
      <c r="I163" s="4"/>
      <c r="J163" s="4"/>
      <c r="K163" s="23"/>
    </row>
    <row r="164" spans="2:11" x14ac:dyDescent="0.3">
      <c r="B164" s="21" t="s">
        <v>528</v>
      </c>
      <c r="C164" s="8" t="s">
        <v>188</v>
      </c>
      <c r="D164" s="9">
        <v>240</v>
      </c>
      <c r="E164" s="9">
        <v>0</v>
      </c>
      <c r="F164" s="9">
        <v>240</v>
      </c>
      <c r="G164" s="10">
        <f>+VLOOKUP(Tabla110345345445545647919212527[[#This Row],[Ingrediente]],Tabla34[#All],3,0)</f>
        <v>4.8201292200000001</v>
      </c>
      <c r="H164" s="11">
        <f>+Tabla110345345445545647919212527[[#This Row],[Costo]]*Tabla110345345445545647919212527[[#This Row],[Unidades]]</f>
        <v>1156.8310128000001</v>
      </c>
      <c r="I164" s="4"/>
      <c r="J164" s="4"/>
      <c r="K164" s="23"/>
    </row>
    <row r="165" spans="2:11" x14ac:dyDescent="0.3">
      <c r="B165" s="21" t="s">
        <v>512</v>
      </c>
      <c r="C165" s="8" t="s">
        <v>188</v>
      </c>
      <c r="D165" s="9">
        <v>5</v>
      </c>
      <c r="E165" s="9">
        <v>0</v>
      </c>
      <c r="F165" s="9">
        <v>5</v>
      </c>
      <c r="G165" s="10">
        <f>+VLOOKUP(Tabla110345345445545647919212527[[#This Row],[Ingrediente]],Tabla34[#All],3,0)</f>
        <v>9.7905400900000004</v>
      </c>
      <c r="H165" s="11">
        <f>+Tabla110345345445545647919212527[[#This Row],[Costo]]*Tabla110345345445545647919212527[[#This Row],[Unidades]]</f>
        <v>48.952700450000002</v>
      </c>
      <c r="I165" s="4"/>
      <c r="J165" s="4"/>
      <c r="K165" s="23"/>
    </row>
    <row r="166" spans="2:11" x14ac:dyDescent="0.3">
      <c r="B166" s="7" t="s">
        <v>499</v>
      </c>
      <c r="C166" s="8" t="s">
        <v>188</v>
      </c>
      <c r="D166" s="9">
        <v>10</v>
      </c>
      <c r="E166" s="9">
        <v>0</v>
      </c>
      <c r="F166" s="9">
        <v>10</v>
      </c>
      <c r="G166" s="10">
        <f>+VLOOKUP(Tabla110345345445545647919212527[[#This Row],[Ingrediente]],Tabla34[#All],3,0)</f>
        <v>3.57</v>
      </c>
      <c r="H166" s="11">
        <f>+Tabla110345345445545647919212527[[#This Row],[Costo]]*Tabla110345345445545647919212527[[#This Row],[Unidades]]</f>
        <v>35.699999999999996</v>
      </c>
      <c r="I166" s="4"/>
      <c r="J166" s="4"/>
      <c r="K166" s="23"/>
    </row>
    <row r="167" spans="2:11" x14ac:dyDescent="0.3">
      <c r="B167" s="7" t="s">
        <v>1207</v>
      </c>
      <c r="C167" s="8" t="s">
        <v>188</v>
      </c>
      <c r="D167" s="9">
        <v>40</v>
      </c>
      <c r="E167" s="9">
        <v>0</v>
      </c>
      <c r="F167" s="9">
        <v>40</v>
      </c>
      <c r="G167" s="10">
        <f>+VLOOKUP(Tabla110345345445545647919212527[[#This Row],[Ingrediente]],Tabla34[#All],3,0)</f>
        <v>18.791135010000001</v>
      </c>
      <c r="H167" s="11">
        <f>+Tabla110345345445545647919212527[[#This Row],[Costo]]*Tabla110345345445545647919212527[[#This Row],[Unidades]]</f>
        <v>751.64540040000009</v>
      </c>
    </row>
    <row r="168" spans="2:11" x14ac:dyDescent="0.3">
      <c r="B168" s="13"/>
      <c r="C168" s="14"/>
      <c r="D168" s="14"/>
      <c r="E168" s="14"/>
      <c r="F168" s="14"/>
      <c r="G168" s="15"/>
      <c r="H168" s="15">
        <f>SUBTOTAL(109,Tabla110345345445545647919212527[Total costo])</f>
        <v>11687.293459249999</v>
      </c>
    </row>
    <row r="170" spans="2:11" x14ac:dyDescent="0.3">
      <c r="B170" s="1" t="s">
        <v>960</v>
      </c>
      <c r="C170" s="2"/>
      <c r="D170" s="2"/>
      <c r="E170" s="3"/>
      <c r="F170" s="3"/>
      <c r="G170" s="99"/>
      <c r="H170" s="99"/>
      <c r="I170" s="4"/>
      <c r="J170" s="277" t="s">
        <v>0</v>
      </c>
      <c r="K170" s="277"/>
    </row>
    <row r="171" spans="2:11" ht="26.4" x14ac:dyDescent="0.3">
      <c r="B171" s="91" t="s">
        <v>1</v>
      </c>
      <c r="C171" s="14" t="s">
        <v>2</v>
      </c>
      <c r="D171" s="87" t="s">
        <v>571</v>
      </c>
      <c r="E171" s="87" t="s">
        <v>572</v>
      </c>
      <c r="F171" s="87" t="s">
        <v>573</v>
      </c>
      <c r="G171" s="92" t="s">
        <v>4</v>
      </c>
      <c r="H171" s="92" t="s">
        <v>5</v>
      </c>
      <c r="I171" s="4"/>
      <c r="J171" s="5" t="s">
        <v>6</v>
      </c>
      <c r="K171" s="6">
        <f>SUM(Tabla110345345445545647919212528[Total costo])</f>
        <v>14931.80345919</v>
      </c>
    </row>
    <row r="172" spans="2:11" x14ac:dyDescent="0.3">
      <c r="B172" s="7" t="s">
        <v>687</v>
      </c>
      <c r="C172" s="8" t="s">
        <v>188</v>
      </c>
      <c r="D172" s="9">
        <v>40</v>
      </c>
      <c r="E172" s="9">
        <v>0</v>
      </c>
      <c r="F172" s="9">
        <v>40</v>
      </c>
      <c r="G172" s="10">
        <f>+VLOOKUP(Tabla110345345445545647919212528[[#This Row],[Ingrediente]],Tabla34[#All],3,0)</f>
        <v>84.475308639999994</v>
      </c>
      <c r="H172" s="11">
        <f>+Tabla110345345445545647919212528[[#This Row],[Costo]]*Tabla110345345445545647919212528[[#This Row],[Unidades]]</f>
        <v>3379.0123455999997</v>
      </c>
      <c r="I172" s="4"/>
      <c r="J172" s="5" t="s">
        <v>8</v>
      </c>
      <c r="K172" s="12">
        <f>+K171*5%</f>
        <v>746.59017295950002</v>
      </c>
    </row>
    <row r="173" spans="2:11" x14ac:dyDescent="0.3">
      <c r="B173" s="7" t="s">
        <v>470</v>
      </c>
      <c r="C173" s="8" t="s">
        <v>188</v>
      </c>
      <c r="D173" s="9">
        <v>15</v>
      </c>
      <c r="E173" s="9">
        <v>0</v>
      </c>
      <c r="F173" s="9">
        <v>15</v>
      </c>
      <c r="G173" s="10">
        <f>+VLOOKUP(Tabla110345345445545647919212528[[#This Row],[Ingrediente]],Tabla34[#All],3,0)</f>
        <v>8</v>
      </c>
      <c r="H173" s="11">
        <f>+Tabla110345345445545647919212528[[#This Row],[Costo]]*Tabla110345345445545647919212528[[#This Row],[Unidades]]</f>
        <v>120</v>
      </c>
      <c r="I173" s="4"/>
      <c r="J173" s="5" t="s">
        <v>9</v>
      </c>
      <c r="K173" s="12">
        <f>+K171+K172</f>
        <v>15678.3936321495</v>
      </c>
    </row>
    <row r="174" spans="2:11" x14ac:dyDescent="0.3">
      <c r="B174" s="21" t="s">
        <v>442</v>
      </c>
      <c r="C174" s="8" t="s">
        <v>188</v>
      </c>
      <c r="D174" s="9">
        <v>4</v>
      </c>
      <c r="E174" s="9">
        <v>0</v>
      </c>
      <c r="F174" s="9">
        <v>4</v>
      </c>
      <c r="G174" s="10">
        <f>+VLOOKUP(Tabla110345345445545647919212528[[#This Row],[Ingrediente]],Tabla34[#All],3,0)</f>
        <v>20.111000000000001</v>
      </c>
      <c r="H174" s="11">
        <f>+Tabla110345345445545647919212528[[#This Row],[Costo]]*Tabla110345345445545647919212528[[#This Row],[Unidades]]</f>
        <v>80.444000000000003</v>
      </c>
      <c r="I174" s="4"/>
      <c r="J174" s="17" t="s">
        <v>10</v>
      </c>
      <c r="K174" s="18">
        <v>62000</v>
      </c>
    </row>
    <row r="175" spans="2:11" x14ac:dyDescent="0.3">
      <c r="B175" s="21" t="s">
        <v>557</v>
      </c>
      <c r="C175" s="8" t="s">
        <v>188</v>
      </c>
      <c r="D175" s="9">
        <v>2</v>
      </c>
      <c r="E175" s="9">
        <v>0</v>
      </c>
      <c r="F175" s="9">
        <v>2</v>
      </c>
      <c r="G175" s="10">
        <f>+VLOOKUP(Tabla110345345445545647919212528[[#This Row],[Ingrediente]],Tabla34[#All],3,0)</f>
        <v>18.138999999999999</v>
      </c>
      <c r="H175" s="11">
        <f>+Tabla110345345445545647919212528[[#This Row],[Costo]]*Tabla110345345445545647919212528[[#This Row],[Unidades]]</f>
        <v>36.277999999999999</v>
      </c>
      <c r="I175" s="4"/>
      <c r="J175" s="5" t="s">
        <v>11</v>
      </c>
      <c r="K175" s="12">
        <f>+K174/1.08*0.08</f>
        <v>4592.5925925925922</v>
      </c>
    </row>
    <row r="176" spans="2:11" x14ac:dyDescent="0.3">
      <c r="B176" s="7" t="s">
        <v>689</v>
      </c>
      <c r="C176" s="8" t="s">
        <v>188</v>
      </c>
      <c r="D176" s="9">
        <v>2</v>
      </c>
      <c r="E176" s="9">
        <v>0</v>
      </c>
      <c r="F176" s="9">
        <v>2</v>
      </c>
      <c r="G176" s="10">
        <f>+VLOOKUP(Tabla110345345445545647919212528[[#This Row],[Ingrediente]],Tabla34[#All],3,0)</f>
        <v>40.97</v>
      </c>
      <c r="H176" s="11">
        <f>+Tabla110345345445545647919212528[[#This Row],[Costo]]*Tabla110345345445545647919212528[[#This Row],[Unidades]]</f>
        <v>81.94</v>
      </c>
      <c r="I176" s="4"/>
      <c r="J176" s="5" t="s">
        <v>12</v>
      </c>
      <c r="K176" s="12">
        <f>+K174-K175</f>
        <v>57407.407407407409</v>
      </c>
    </row>
    <row r="177" spans="2:12" x14ac:dyDescent="0.3">
      <c r="B177" s="7" t="s">
        <v>373</v>
      </c>
      <c r="C177" s="8" t="s">
        <v>570</v>
      </c>
      <c r="D177" s="9">
        <v>14</v>
      </c>
      <c r="E177" s="9">
        <v>0</v>
      </c>
      <c r="F177" s="9">
        <v>14</v>
      </c>
      <c r="G177" s="10">
        <f>+VLOOKUP(Tabla110345345445545647919212528[[#This Row],[Ingrediente]],Tabla34[#All],3,0)</f>
        <v>485.71428571000001</v>
      </c>
      <c r="H177" s="11">
        <f>+Tabla110345345445545647919212528[[#This Row],[Costo]]*Tabla110345345445545647919212528[[#This Row],[Unidades]]</f>
        <v>6799.9999999400006</v>
      </c>
      <c r="I177" s="4"/>
      <c r="J177" s="5" t="s">
        <v>13</v>
      </c>
      <c r="K177" s="19">
        <f>+K173/K176</f>
        <v>0.27310750197937839</v>
      </c>
    </row>
    <row r="178" spans="2:12" x14ac:dyDescent="0.3">
      <c r="B178" s="21" t="s">
        <v>490</v>
      </c>
      <c r="C178" s="8" t="s">
        <v>188</v>
      </c>
      <c r="D178" s="9">
        <v>15</v>
      </c>
      <c r="E178" s="9">
        <v>0</v>
      </c>
      <c r="F178" s="9">
        <v>15</v>
      </c>
      <c r="G178" s="10">
        <f>+VLOOKUP(Tabla110345345445545647919212528[[#This Row],[Ingrediente]],Tabla34[#All],3,0)</f>
        <v>5</v>
      </c>
      <c r="H178" s="11">
        <f>+Tabla110345345445545647919212528[[#This Row],[Costo]]*Tabla110345345445545647919212528[[#This Row],[Unidades]]</f>
        <v>75</v>
      </c>
      <c r="I178" s="4"/>
      <c r="J178" s="5" t="s">
        <v>14</v>
      </c>
      <c r="K178" s="20">
        <f>+K176-K173</f>
        <v>41729.01377525791</v>
      </c>
    </row>
    <row r="179" spans="2:12" x14ac:dyDescent="0.3">
      <c r="B179" s="21" t="s">
        <v>691</v>
      </c>
      <c r="C179" s="8" t="s">
        <v>188</v>
      </c>
      <c r="D179" s="9">
        <v>2</v>
      </c>
      <c r="E179" s="9">
        <v>0</v>
      </c>
      <c r="F179" s="9">
        <v>2</v>
      </c>
      <c r="G179" s="10">
        <f>+VLOOKUP(Tabla110345345445545647919212528[[#This Row],[Ingrediente]],Tabla34[#All],3,0)</f>
        <v>16</v>
      </c>
      <c r="H179" s="11">
        <f>+Tabla110345345445545647919212528[[#This Row],[Costo]]*Tabla110345345445545647919212528[[#This Row],[Unidades]]</f>
        <v>32</v>
      </c>
      <c r="I179" s="4"/>
      <c r="J179" s="5" t="s">
        <v>15</v>
      </c>
      <c r="K179" s="22">
        <f>+K178/K173</f>
        <v>2.6615618126649165</v>
      </c>
    </row>
    <row r="180" spans="2:12" x14ac:dyDescent="0.3">
      <c r="B180" s="7" t="s">
        <v>417</v>
      </c>
      <c r="C180" s="8" t="s">
        <v>188</v>
      </c>
      <c r="D180" s="9">
        <v>60</v>
      </c>
      <c r="E180" s="9">
        <v>0</v>
      </c>
      <c r="F180" s="9">
        <v>60</v>
      </c>
      <c r="G180" s="10">
        <f>+VLOOKUP(Tabla110345345445545647919212528[[#This Row],[Ingrediente]],Tabla34[#All],3,0)</f>
        <v>27</v>
      </c>
      <c r="H180" s="11">
        <f>+Tabla110345345445545647919212528[[#This Row],[Costo]]*Tabla110345345445545647919212528[[#This Row],[Unidades]]</f>
        <v>1620</v>
      </c>
      <c r="I180" s="4"/>
      <c r="J180" s="4"/>
      <c r="K180" s="23"/>
    </row>
    <row r="181" spans="2:12" x14ac:dyDescent="0.3">
      <c r="B181" s="21" t="s">
        <v>420</v>
      </c>
      <c r="C181" s="8" t="s">
        <v>188</v>
      </c>
      <c r="D181" s="9">
        <v>80</v>
      </c>
      <c r="E181" s="9">
        <v>0</v>
      </c>
      <c r="F181" s="9">
        <v>80</v>
      </c>
      <c r="G181" s="10">
        <f>+VLOOKUP(Tabla110345345445545647919212528[[#This Row],[Ingrediente]],Tabla34[#All],3,0)</f>
        <v>8.9250000000000007</v>
      </c>
      <c r="H181" s="11">
        <f>+Tabla110345345445545647919212528[[#This Row],[Costo]]*Tabla110345345445545647919212528[[#This Row],[Unidades]]</f>
        <v>714</v>
      </c>
      <c r="I181" s="4"/>
      <c r="J181" s="4"/>
      <c r="K181" s="23"/>
    </row>
    <row r="182" spans="2:12" x14ac:dyDescent="0.3">
      <c r="B182" s="21" t="s">
        <v>528</v>
      </c>
      <c r="C182" s="8" t="s">
        <v>188</v>
      </c>
      <c r="D182" s="9">
        <v>240</v>
      </c>
      <c r="E182" s="9">
        <v>0</v>
      </c>
      <c r="F182" s="9">
        <v>240</v>
      </c>
      <c r="G182" s="10">
        <f>+VLOOKUP(Tabla110345345445545647919212528[[#This Row],[Ingrediente]],Tabla34[#All],3,0)</f>
        <v>4.8201292200000001</v>
      </c>
      <c r="H182" s="11">
        <f>+Tabla110345345445545647919212528[[#This Row],[Costo]]*Tabla110345345445545647919212528[[#This Row],[Unidades]]</f>
        <v>1156.8310128000001</v>
      </c>
      <c r="I182" s="4"/>
      <c r="J182" s="4"/>
      <c r="K182" s="23"/>
    </row>
    <row r="183" spans="2:12" x14ac:dyDescent="0.3">
      <c r="B183" s="21" t="s">
        <v>512</v>
      </c>
      <c r="C183" s="8" t="s">
        <v>188</v>
      </c>
      <c r="D183" s="9">
        <v>5</v>
      </c>
      <c r="E183" s="9">
        <v>0</v>
      </c>
      <c r="F183" s="9">
        <v>5</v>
      </c>
      <c r="G183" s="10">
        <f>+VLOOKUP(Tabla110345345445545647919212528[[#This Row],[Ingrediente]],Tabla34[#All],3,0)</f>
        <v>9.7905400900000004</v>
      </c>
      <c r="H183" s="11">
        <f>+Tabla110345345445545647919212528[[#This Row],[Costo]]*Tabla110345345445545647919212528[[#This Row],[Unidades]]</f>
        <v>48.952700450000002</v>
      </c>
      <c r="I183" s="4"/>
      <c r="J183" s="4"/>
      <c r="K183" s="23"/>
    </row>
    <row r="184" spans="2:12" x14ac:dyDescent="0.3">
      <c r="B184" s="7" t="s">
        <v>499</v>
      </c>
      <c r="C184" s="8" t="s">
        <v>188</v>
      </c>
      <c r="D184" s="9">
        <v>10</v>
      </c>
      <c r="E184" s="9">
        <v>0</v>
      </c>
      <c r="F184" s="9">
        <v>10</v>
      </c>
      <c r="G184" s="10">
        <f>+VLOOKUP(Tabla110345345445545647919212528[[#This Row],[Ingrediente]],Tabla34[#All],3,0)</f>
        <v>3.57</v>
      </c>
      <c r="H184" s="11">
        <f>+Tabla110345345445545647919212528[[#This Row],[Costo]]*Tabla110345345445545647919212528[[#This Row],[Unidades]]</f>
        <v>35.699999999999996</v>
      </c>
      <c r="I184" s="4"/>
      <c r="J184" s="4"/>
      <c r="K184" s="23"/>
    </row>
    <row r="185" spans="2:12" x14ac:dyDescent="0.3">
      <c r="B185" s="7" t="s">
        <v>1207</v>
      </c>
      <c r="C185" s="8" t="s">
        <v>188</v>
      </c>
      <c r="D185" s="9">
        <v>40</v>
      </c>
      <c r="E185" s="9">
        <v>0</v>
      </c>
      <c r="F185" s="9">
        <v>40</v>
      </c>
      <c r="G185" s="10">
        <f>+VLOOKUP(Tabla110345345445545647919212528[[#This Row],[Ingrediente]],Tabla34[#All],3,0)</f>
        <v>18.791135010000001</v>
      </c>
      <c r="H185" s="11">
        <f>+Tabla110345345445545647919212528[[#This Row],[Costo]]*Tabla110345345445545647919212528[[#This Row],[Unidades]]</f>
        <v>751.64540040000009</v>
      </c>
    </row>
    <row r="186" spans="2:12" x14ac:dyDescent="0.3">
      <c r="B186" s="13"/>
      <c r="C186" s="14"/>
      <c r="D186" s="14"/>
      <c r="E186" s="14"/>
      <c r="F186" s="14"/>
      <c r="G186" s="15"/>
      <c r="H186" s="15">
        <f>SUBTOTAL(109,Tabla110345345445545647919212528[Total costo])</f>
        <v>14931.80345919</v>
      </c>
    </row>
    <row r="188" spans="2:12" x14ac:dyDescent="0.3">
      <c r="B188" s="1" t="s">
        <v>133</v>
      </c>
      <c r="C188" s="2"/>
      <c r="D188" s="2"/>
      <c r="E188" s="3"/>
      <c r="F188" s="3"/>
      <c r="G188" s="99"/>
      <c r="H188" s="99"/>
      <c r="I188" s="4"/>
      <c r="J188" s="277" t="s">
        <v>0</v>
      </c>
      <c r="K188" s="277"/>
    </row>
    <row r="189" spans="2:12" x14ac:dyDescent="0.3">
      <c r="B189" s="13" t="s">
        <v>1</v>
      </c>
      <c r="C189" s="14" t="s">
        <v>2</v>
      </c>
      <c r="D189" s="14" t="s">
        <v>3</v>
      </c>
      <c r="E189" s="14" t="s">
        <v>585</v>
      </c>
      <c r="F189" s="14" t="s">
        <v>343</v>
      </c>
      <c r="G189" s="28" t="s">
        <v>4</v>
      </c>
      <c r="H189" s="28" t="s">
        <v>5</v>
      </c>
      <c r="I189" s="4"/>
      <c r="J189" s="5" t="s">
        <v>6</v>
      </c>
      <c r="K189" s="6">
        <f>SUM(Tabla1103453454455456479108134141170189[Total costo])</f>
        <v>16618.751018649997</v>
      </c>
      <c r="L189" s="252"/>
    </row>
    <row r="190" spans="2:12" x14ac:dyDescent="0.3">
      <c r="B190" s="21" t="s">
        <v>480</v>
      </c>
      <c r="C190" s="8" t="s">
        <v>188</v>
      </c>
      <c r="D190" s="9">
        <v>1</v>
      </c>
      <c r="E190" s="9">
        <v>0</v>
      </c>
      <c r="F190" s="9">
        <v>1</v>
      </c>
      <c r="G190" s="10">
        <f>+VLOOKUP(Tabla1103453454455456479108134141170189[[#This Row],[Ingrediente]],Tabla34[#All],3,0)</f>
        <v>328.34</v>
      </c>
      <c r="H190" s="11">
        <f>+Tabla1103453454455456479108134141170189[[#This Row],[Costo]]*Tabla1103453454455456479108134141170189[[#This Row],[Columna1]]</f>
        <v>328.34</v>
      </c>
      <c r="I190" s="4"/>
      <c r="J190" s="5" t="s">
        <v>113</v>
      </c>
      <c r="K190" s="12">
        <f>+K189*5%</f>
        <v>830.9375509324999</v>
      </c>
    </row>
    <row r="191" spans="2:12" x14ac:dyDescent="0.3">
      <c r="B191" s="7" t="s">
        <v>558</v>
      </c>
      <c r="C191" s="8" t="s">
        <v>570</v>
      </c>
      <c r="D191" s="9">
        <v>1</v>
      </c>
      <c r="E191" s="9">
        <v>0</v>
      </c>
      <c r="F191" s="9">
        <v>1</v>
      </c>
      <c r="G191" s="10">
        <f>+VLOOKUP(Tabla1103453454455456479108134141170189[[#This Row],[Ingrediente]],Tabla34[#All],3,0)</f>
        <v>354.16666666999998</v>
      </c>
      <c r="H191" s="11">
        <f>+Tabla1103453454455456479108134141170189[[#This Row],[Costo]]*Tabla1103453454455456479108134141170189[[#This Row],[Columna1]]</f>
        <v>354.16666666999998</v>
      </c>
      <c r="I191" s="4"/>
      <c r="J191" s="5" t="s">
        <v>9</v>
      </c>
      <c r="K191" s="12">
        <f>+K189+K190</f>
        <v>17449.688569582497</v>
      </c>
    </row>
    <row r="192" spans="2:12" x14ac:dyDescent="0.3">
      <c r="B192" s="21" t="s">
        <v>453</v>
      </c>
      <c r="C192" s="8" t="s">
        <v>188</v>
      </c>
      <c r="D192" s="9">
        <v>30</v>
      </c>
      <c r="E192" s="9">
        <v>0</v>
      </c>
      <c r="F192" s="9">
        <v>30</v>
      </c>
      <c r="G192" s="10">
        <f>+VLOOKUP(Tabla1103453454455456479108134141170189[[#This Row],[Ingrediente]],Tabla34[#All],3,0)</f>
        <v>4.3780000000000001</v>
      </c>
      <c r="H192" s="11">
        <f>+Tabla1103453454455456479108134141170189[[#This Row],[Costo]]*Tabla1103453454455456479108134141170189[[#This Row],[Columna1]]</f>
        <v>131.34</v>
      </c>
      <c r="I192" s="4"/>
      <c r="J192" s="17" t="s">
        <v>10</v>
      </c>
      <c r="K192" s="18">
        <v>58900</v>
      </c>
    </row>
    <row r="193" spans="2:11" x14ac:dyDescent="0.3">
      <c r="B193" s="21" t="s">
        <v>52</v>
      </c>
      <c r="C193" s="8" t="s">
        <v>188</v>
      </c>
      <c r="D193" s="9">
        <v>15</v>
      </c>
      <c r="E193" s="9">
        <v>0</v>
      </c>
      <c r="F193" s="9">
        <v>15</v>
      </c>
      <c r="G193" s="10">
        <f>+VLOOKUP(Tabla1103453454455456479108134141170189[[#This Row],[Ingrediente]],Tabla34[#All],3,0)</f>
        <v>26.269315670000001</v>
      </c>
      <c r="H193" s="11">
        <f>+Tabla1103453454455456479108134141170189[[#This Row],[Costo]]*Tabla1103453454455456479108134141170189[[#This Row],[Columna1]]</f>
        <v>394.03973504999999</v>
      </c>
      <c r="I193" s="4"/>
      <c r="J193" s="5" t="s">
        <v>11</v>
      </c>
      <c r="K193" s="12">
        <f>+K192/1.08*0.08</f>
        <v>4362.9629629629626</v>
      </c>
    </row>
    <row r="194" spans="2:11" x14ac:dyDescent="0.3">
      <c r="B194" s="7" t="s">
        <v>420</v>
      </c>
      <c r="C194" s="8" t="s">
        <v>188</v>
      </c>
      <c r="D194" s="9">
        <v>15</v>
      </c>
      <c r="E194" s="9">
        <v>0</v>
      </c>
      <c r="F194" s="9">
        <v>15</v>
      </c>
      <c r="G194" s="10">
        <f>+VLOOKUP(Tabla1103453454455456479108134141170189[[#This Row],[Ingrediente]],Tabla34[#All],3,0)</f>
        <v>8.9250000000000007</v>
      </c>
      <c r="H194" s="11">
        <f>+Tabla1103453454455456479108134141170189[[#This Row],[Costo]]*Tabla1103453454455456479108134141170189[[#This Row],[Columna1]]</f>
        <v>133.875</v>
      </c>
      <c r="I194" s="4"/>
      <c r="J194" s="5" t="s">
        <v>12</v>
      </c>
      <c r="K194" s="12">
        <f>+K192-K193</f>
        <v>54537.037037037036</v>
      </c>
    </row>
    <row r="195" spans="2:11" x14ac:dyDescent="0.3">
      <c r="B195" s="7" t="s">
        <v>366</v>
      </c>
      <c r="C195" s="8" t="s">
        <v>570</v>
      </c>
      <c r="D195" s="9">
        <v>1</v>
      </c>
      <c r="E195" s="9">
        <v>0</v>
      </c>
      <c r="F195" s="9">
        <v>1</v>
      </c>
      <c r="G195" s="10">
        <f>+VLOOKUP(Tabla1103453454455456479108134141170189[[#This Row],[Ingrediente]],Tabla34[#All],3,0)</f>
        <v>12280</v>
      </c>
      <c r="H195" s="11">
        <f>+Tabla1103453454455456479108134141170189[[#This Row],[Costo]]*Tabla1103453454455456479108134141170189[[#This Row],[Columna1]]</f>
        <v>12280</v>
      </c>
      <c r="I195" s="4"/>
      <c r="J195" s="5" t="s">
        <v>13</v>
      </c>
      <c r="K195" s="19">
        <f>+K191/K194</f>
        <v>0.31996033370371979</v>
      </c>
    </row>
    <row r="196" spans="2:11" x14ac:dyDescent="0.3">
      <c r="B196" s="7" t="s">
        <v>341</v>
      </c>
      <c r="C196" s="8" t="s">
        <v>188</v>
      </c>
      <c r="D196" s="9">
        <v>10</v>
      </c>
      <c r="E196" s="9">
        <v>0</v>
      </c>
      <c r="F196" s="9">
        <v>10</v>
      </c>
      <c r="G196" s="10">
        <f>+VLOOKUP(Tabla1103453454455456479108134141170189[[#This Row],[Ingrediente]],Tabla34[#All],3,0)</f>
        <v>12.80723817</v>
      </c>
      <c r="H196" s="11">
        <f>+Tabla1103453454455456479108134141170189[[#This Row],[Costo]]*Tabla1103453454455456479108134141170189[[#This Row],[Columna1]]</f>
        <v>128.07238169999999</v>
      </c>
      <c r="I196" s="4"/>
      <c r="J196" s="5" t="s">
        <v>14</v>
      </c>
      <c r="K196" s="20">
        <f>+K194-K191</f>
        <v>37087.34846745454</v>
      </c>
    </row>
    <row r="197" spans="2:11" x14ac:dyDescent="0.3">
      <c r="B197" s="21" t="s">
        <v>100</v>
      </c>
      <c r="C197" s="8" t="s">
        <v>570</v>
      </c>
      <c r="D197" s="9">
        <v>1</v>
      </c>
      <c r="E197" s="9">
        <v>0</v>
      </c>
      <c r="F197" s="9">
        <v>1</v>
      </c>
      <c r="G197" s="10">
        <f>+VLOOKUP(Tabla1103453454455456479108134141170189[[#This Row],[Ingrediente]],Tabla34[#All],3,0)</f>
        <v>1245.63046328</v>
      </c>
      <c r="H197" s="11">
        <f>+Tabla1103453454455456479108134141170189[[#This Row],[Costo]]*Tabla1103453454455456479108134141170189[[#This Row],[Columna1]]</f>
        <v>1245.63046328</v>
      </c>
      <c r="I197" s="4"/>
      <c r="J197" s="5" t="s">
        <v>15</v>
      </c>
      <c r="K197" s="22">
        <f>+K196/K191</f>
        <v>2.1253874141973812</v>
      </c>
    </row>
    <row r="198" spans="2:11" x14ac:dyDescent="0.3">
      <c r="B198" s="7" t="s">
        <v>74</v>
      </c>
      <c r="C198" s="8" t="s">
        <v>188</v>
      </c>
      <c r="D198" s="9">
        <v>120</v>
      </c>
      <c r="E198" s="9">
        <v>0</v>
      </c>
      <c r="F198" s="9">
        <v>120</v>
      </c>
      <c r="G198" s="10">
        <f>+VLOOKUP(Tabla1103453454455456479108134141170189[[#This Row],[Ingrediente]],Tabla34[#All],3,0)</f>
        <v>12.25316591</v>
      </c>
      <c r="H198" s="11">
        <f>+Tabla1103453454455456479108134141170189[[#This Row],[Costo]]*Tabla1103453454455456479108134141170189[[#This Row],[Columna1]]</f>
        <v>1470.3799091999999</v>
      </c>
      <c r="I198" s="4"/>
      <c r="J198" s="4"/>
      <c r="K198" s="23"/>
    </row>
    <row r="199" spans="2:11" x14ac:dyDescent="0.3">
      <c r="B199" s="21" t="s">
        <v>451</v>
      </c>
      <c r="C199" s="8" t="s">
        <v>188</v>
      </c>
      <c r="D199" s="9">
        <v>15</v>
      </c>
      <c r="E199" s="9">
        <v>0</v>
      </c>
      <c r="F199" s="9">
        <v>15</v>
      </c>
      <c r="G199" s="10">
        <f>+VLOOKUP(Tabla1103453454455456479108134141170189[[#This Row],[Ingrediente]],Tabla34[#All],3,0)</f>
        <v>10.193790849999999</v>
      </c>
      <c r="H199" s="11">
        <f>+Tabla1103453454455456479108134141170189[[#This Row],[Costo]]*Tabla1103453454455456479108134141170189[[#This Row],[Columna1]]</f>
        <v>152.90686274999999</v>
      </c>
      <c r="I199" s="4"/>
      <c r="J199" s="4"/>
      <c r="K199" s="23"/>
    </row>
    <row r="200" spans="2:11" x14ac:dyDescent="0.3">
      <c r="B200" s="13"/>
      <c r="C200" s="14"/>
      <c r="D200" s="14"/>
      <c r="E200" s="14"/>
      <c r="F200" s="14"/>
      <c r="G200" s="15"/>
      <c r="H200" s="15">
        <f>SUBTOTAL(109,Tabla1103453454455456479108134141170189[Total costo])</f>
        <v>16618.751018649997</v>
      </c>
    </row>
    <row r="203" spans="2:11" x14ac:dyDescent="0.3">
      <c r="B203" s="1" t="s">
        <v>207</v>
      </c>
      <c r="C203" s="2"/>
      <c r="D203" s="2"/>
      <c r="E203" s="3"/>
      <c r="F203" s="3"/>
      <c r="G203" s="99"/>
      <c r="H203" s="99"/>
      <c r="I203" s="4"/>
      <c r="J203" s="277" t="s">
        <v>0</v>
      </c>
      <c r="K203" s="277"/>
    </row>
    <row r="204" spans="2:11" x14ac:dyDescent="0.3">
      <c r="B204" s="91" t="s">
        <v>1</v>
      </c>
      <c r="C204" s="14" t="s">
        <v>2</v>
      </c>
      <c r="D204" s="14" t="s">
        <v>571</v>
      </c>
      <c r="E204" s="14" t="s">
        <v>572</v>
      </c>
      <c r="F204" s="14" t="s">
        <v>573</v>
      </c>
      <c r="G204" s="92" t="s">
        <v>4</v>
      </c>
      <c r="H204" s="92" t="s">
        <v>5</v>
      </c>
      <c r="I204" s="4"/>
      <c r="J204" s="5" t="s">
        <v>6</v>
      </c>
      <c r="K204" s="6">
        <f>SUM(Tabla1103453454455456479108132139163197[Total costo])</f>
        <v>17073.930981609999</v>
      </c>
    </row>
    <row r="205" spans="2:11" x14ac:dyDescent="0.3">
      <c r="B205" s="21" t="s">
        <v>406</v>
      </c>
      <c r="C205" s="8" t="s">
        <v>188</v>
      </c>
      <c r="D205" s="9">
        <v>60</v>
      </c>
      <c r="E205" s="9">
        <v>25</v>
      </c>
      <c r="F205" s="9">
        <v>80</v>
      </c>
      <c r="G205" s="10">
        <f>+VLOOKUP(Tabla1103453454455456479108132139163197[[#This Row],[Ingrediente]],Tabla34[#All],3,0)</f>
        <v>14</v>
      </c>
      <c r="H205" s="11">
        <f>+Tabla1103453454455456479108132139163197[[#This Row],[Costo]]*Tabla1103453454455456479108132139163197[[#This Row],[Unidades]]</f>
        <v>1120</v>
      </c>
      <c r="I205" s="4"/>
      <c r="J205" s="5" t="s">
        <v>113</v>
      </c>
      <c r="K205" s="12">
        <f>+K204*5%</f>
        <v>853.69654908050006</v>
      </c>
    </row>
    <row r="206" spans="2:11" x14ac:dyDescent="0.3">
      <c r="B206" s="21" t="s">
        <v>33</v>
      </c>
      <c r="C206" s="8" t="s">
        <v>188</v>
      </c>
      <c r="D206" s="9">
        <v>30</v>
      </c>
      <c r="E206" s="9">
        <v>45</v>
      </c>
      <c r="F206" s="9">
        <v>54.545000000000002</v>
      </c>
      <c r="G206" s="10">
        <f>+VLOOKUP(Tabla1103453454455456479108132139163197[[#This Row],[Ingrediente]],Tabla34[#All],3,0)</f>
        <v>3.4</v>
      </c>
      <c r="H206" s="11">
        <f>+Tabla1103453454455456479108132139163197[[#This Row],[Costo]]*Tabla1103453454455456479108132139163197[[#This Row],[Unidades]]</f>
        <v>185.453</v>
      </c>
      <c r="I206" s="4"/>
      <c r="J206" s="5" t="s">
        <v>9</v>
      </c>
      <c r="K206" s="12">
        <f>+K204+K205</f>
        <v>17927.627530690501</v>
      </c>
    </row>
    <row r="207" spans="2:11" x14ac:dyDescent="0.3">
      <c r="B207" s="7" t="s">
        <v>528</v>
      </c>
      <c r="C207" s="8" t="s">
        <v>188</v>
      </c>
      <c r="D207" s="9">
        <v>150</v>
      </c>
      <c r="E207" s="9">
        <v>0</v>
      </c>
      <c r="F207" s="9">
        <v>150</v>
      </c>
      <c r="G207" s="10">
        <f>+VLOOKUP(Tabla1103453454455456479108132139163197[[#This Row],[Ingrediente]],Tabla34[#All],3,0)</f>
        <v>4.8201292200000001</v>
      </c>
      <c r="H207" s="11">
        <f>+Tabla1103453454455456479108132139163197[[#This Row],[Costo]]*Tabla1103453454455456479108132139163197[[#This Row],[Unidades]]</f>
        <v>723.01938300000006</v>
      </c>
      <c r="I207" s="4"/>
      <c r="J207" s="17" t="s">
        <v>10</v>
      </c>
      <c r="K207" s="18">
        <v>62000</v>
      </c>
    </row>
    <row r="208" spans="2:11" x14ac:dyDescent="0.3">
      <c r="B208" s="21" t="s">
        <v>137</v>
      </c>
      <c r="C208" s="8" t="s">
        <v>188</v>
      </c>
      <c r="D208" s="9">
        <v>50</v>
      </c>
      <c r="E208" s="9">
        <v>0</v>
      </c>
      <c r="F208" s="9">
        <v>50</v>
      </c>
      <c r="G208" s="10">
        <f>+VLOOKUP(Tabla1103453454455456479108132139163197[[#This Row],[Ingrediente]],Tabla34[#All],3,0)</f>
        <v>11.13267572</v>
      </c>
      <c r="H208" s="11">
        <f>+Tabla1103453454455456479108132139163197[[#This Row],[Costo]]*Tabla1103453454455456479108132139163197[[#This Row],[Unidades]]</f>
        <v>556.63378599999999</v>
      </c>
      <c r="I208" s="4"/>
      <c r="J208" s="5" t="s">
        <v>11</v>
      </c>
      <c r="K208" s="12">
        <f>+K207/1.08*0.08</f>
        <v>4592.5925925925922</v>
      </c>
    </row>
    <row r="209" spans="2:11" x14ac:dyDescent="0.3">
      <c r="B209" s="21" t="s">
        <v>102</v>
      </c>
      <c r="C209" s="8" t="s">
        <v>188</v>
      </c>
      <c r="D209" s="9">
        <v>150</v>
      </c>
      <c r="E209" s="9">
        <v>0</v>
      </c>
      <c r="F209" s="9">
        <v>150</v>
      </c>
      <c r="G209" s="10">
        <f>+VLOOKUP(Tabla1103453454455456479108132139163197[[#This Row],[Ingrediente]],Tabla34[#All],3,0)</f>
        <v>59.828966459999997</v>
      </c>
      <c r="H209" s="11">
        <f>+Tabla1103453454455456479108132139163197[[#This Row],[Costo]]*Tabla1103453454455456479108132139163197[[#This Row],[Unidades]]</f>
        <v>8974.3449689999998</v>
      </c>
      <c r="I209" s="4"/>
      <c r="J209" s="5" t="s">
        <v>12</v>
      </c>
      <c r="K209" s="12">
        <f>+K207-K208</f>
        <v>57407.407407407409</v>
      </c>
    </row>
    <row r="210" spans="2:11" x14ac:dyDescent="0.3">
      <c r="B210" s="7" t="s">
        <v>345</v>
      </c>
      <c r="C210" s="8" t="s">
        <v>570</v>
      </c>
      <c r="D210" s="9">
        <v>1</v>
      </c>
      <c r="E210" s="9">
        <v>0</v>
      </c>
      <c r="F210" s="9">
        <v>1</v>
      </c>
      <c r="G210" s="10">
        <f>+VLOOKUP(Tabla1103453454455456479108132139163197[[#This Row],[Ingrediente]],Tabla34[#All],3,0)</f>
        <v>447.88979601</v>
      </c>
      <c r="H210" s="11">
        <f>+Tabla1103453454455456479108132139163197[[#This Row],[Costo]]*Tabla1103453454455456479108132139163197[[#This Row],[Unidades]]</f>
        <v>447.88979601</v>
      </c>
      <c r="I210" s="4"/>
      <c r="J210" s="5" t="s">
        <v>13</v>
      </c>
      <c r="K210" s="19">
        <f>+K206/K209</f>
        <v>0.3122877053733184</v>
      </c>
    </row>
    <row r="211" spans="2:11" x14ac:dyDescent="0.3">
      <c r="B211" s="21" t="s">
        <v>103</v>
      </c>
      <c r="C211" s="8" t="s">
        <v>570</v>
      </c>
      <c r="D211" s="9">
        <v>1</v>
      </c>
      <c r="E211" s="9">
        <v>0</v>
      </c>
      <c r="F211" s="9">
        <v>1</v>
      </c>
      <c r="G211" s="10">
        <f>+VLOOKUP(Tabla1103453454455456479108132139163197[[#This Row],[Ingrediente]],Tabla34[#All],3,0)</f>
        <v>4920.8029999999999</v>
      </c>
      <c r="H211" s="11">
        <f>+Tabla1103453454455456479108132139163197[[#This Row],[Costo]]*Tabla1103453454455456479108132139163197[[#This Row],[Unidades]]</f>
        <v>4920.8029999999999</v>
      </c>
      <c r="I211" s="4"/>
      <c r="J211" s="5" t="s">
        <v>14</v>
      </c>
      <c r="K211" s="20">
        <f>+K209-K206</f>
        <v>39479.779876716908</v>
      </c>
    </row>
    <row r="212" spans="2:11" x14ac:dyDescent="0.3">
      <c r="B212" s="7" t="s">
        <v>95</v>
      </c>
      <c r="C212" s="8" t="s">
        <v>188</v>
      </c>
      <c r="D212" s="9">
        <v>20</v>
      </c>
      <c r="E212" s="9">
        <v>0</v>
      </c>
      <c r="F212" s="9">
        <v>20</v>
      </c>
      <c r="G212" s="10">
        <f>+VLOOKUP(Tabla1103453454455456479108132139163197[[#This Row],[Ingrediente]],Tabla34[#All],3,0)</f>
        <v>4.5393523800000004</v>
      </c>
      <c r="H212" s="11">
        <f>+Tabla1103453454455456479108132139163197[[#This Row],[Costo]]*Tabla1103453454455456479108132139163197[[#This Row],[Unidades]]</f>
        <v>90.787047600000008</v>
      </c>
      <c r="I212" s="4"/>
      <c r="J212" s="5" t="s">
        <v>15</v>
      </c>
      <c r="K212" s="22">
        <f>+K211/K206</f>
        <v>2.2021753748024406</v>
      </c>
    </row>
    <row r="213" spans="2:11" x14ac:dyDescent="0.3">
      <c r="B213" s="7" t="s">
        <v>446</v>
      </c>
      <c r="C213" s="8" t="s">
        <v>188</v>
      </c>
      <c r="D213" s="9">
        <v>6</v>
      </c>
      <c r="E213" s="9">
        <v>40</v>
      </c>
      <c r="F213" s="9">
        <v>10</v>
      </c>
      <c r="G213" s="10">
        <f>+VLOOKUP(Tabla1103453454455456479108132139163197[[#This Row],[Ingrediente]],Tabla34[#All],3,0)</f>
        <v>5.5</v>
      </c>
      <c r="H213" s="11">
        <f>+Tabla1103453454455456479108132139163197[[#This Row],[Costo]]*Tabla1103453454455456479108132139163197[[#This Row],[Unidades]]</f>
        <v>55</v>
      </c>
    </row>
    <row r="214" spans="2:11" x14ac:dyDescent="0.3">
      <c r="B214" s="13"/>
      <c r="C214" s="14"/>
      <c r="D214" s="14"/>
      <c r="E214" s="14"/>
      <c r="F214" s="14"/>
      <c r="G214" s="15"/>
      <c r="H214" s="15">
        <f>SUBTOTAL(109,Tabla1103453454455456479108132139163197[Total costo])</f>
        <v>17073.930981609999</v>
      </c>
    </row>
    <row r="215" spans="2:11" s="26" customFormat="1" x14ac:dyDescent="0.3">
      <c r="B215" s="45"/>
      <c r="C215" s="46"/>
      <c r="D215" s="46"/>
      <c r="E215" s="46"/>
      <c r="F215" s="46"/>
      <c r="G215" s="47"/>
      <c r="H215" s="47"/>
    </row>
    <row r="216" spans="2:11" x14ac:dyDescent="0.3">
      <c r="B216" s="1" t="s">
        <v>342</v>
      </c>
      <c r="C216" s="2"/>
      <c r="D216" s="2"/>
      <c r="E216" s="3"/>
      <c r="F216" s="3"/>
      <c r="G216" s="3"/>
      <c r="H216" s="3"/>
      <c r="I216" s="4"/>
      <c r="J216" s="277" t="s">
        <v>0</v>
      </c>
      <c r="K216" s="277"/>
    </row>
    <row r="217" spans="2:11" x14ac:dyDescent="0.3">
      <c r="B217" s="13" t="s">
        <v>1</v>
      </c>
      <c r="C217" s="14" t="s">
        <v>2</v>
      </c>
      <c r="D217" s="14" t="s">
        <v>3</v>
      </c>
      <c r="E217" s="14" t="s">
        <v>343</v>
      </c>
      <c r="F217" s="14" t="s">
        <v>585</v>
      </c>
      <c r="G217" s="28" t="s">
        <v>4</v>
      </c>
      <c r="H217" s="28" t="s">
        <v>5</v>
      </c>
      <c r="I217" s="4"/>
      <c r="J217" s="5" t="s">
        <v>6</v>
      </c>
      <c r="K217" s="6" t="e">
        <f>SUM(Tabla110345345445545647910813511217229914621425740[Total costo])</f>
        <v>#N/A</v>
      </c>
    </row>
    <row r="218" spans="2:11" x14ac:dyDescent="0.3">
      <c r="B218" s="7" t="s">
        <v>438</v>
      </c>
      <c r="C218" s="8" t="s">
        <v>188</v>
      </c>
      <c r="D218" s="9">
        <v>15</v>
      </c>
      <c r="E218" s="9">
        <v>40</v>
      </c>
      <c r="F218" s="9">
        <v>25</v>
      </c>
      <c r="G218" s="10">
        <f>+VLOOKUP(Tabla110345345445545647910813511217229914621425740[[#This Row],[Ingrediente]],Tabla34[#All],3,0)</f>
        <v>13</v>
      </c>
      <c r="H218" s="11">
        <f>+Tabla110345345445545647910813511217229914621425740[[#This Row],[Costo]]*Tabla110345345445545647910813511217229914621425740[[#This Row],[Columna2]]</f>
        <v>325</v>
      </c>
      <c r="I218" s="4"/>
      <c r="J218" s="5" t="s">
        <v>113</v>
      </c>
      <c r="K218" s="12" t="e">
        <f>+K217*5%</f>
        <v>#N/A</v>
      </c>
    </row>
    <row r="219" spans="2:11" x14ac:dyDescent="0.3">
      <c r="B219" s="21" t="s">
        <v>442</v>
      </c>
      <c r="C219" s="8" t="s">
        <v>188</v>
      </c>
      <c r="D219" s="9">
        <v>4</v>
      </c>
      <c r="E219" s="9">
        <v>0</v>
      </c>
      <c r="F219" s="9">
        <v>4</v>
      </c>
      <c r="G219" s="10">
        <f>+VLOOKUP(Tabla110345345445545647910813511217229914621425740[[#This Row],[Ingrediente]],Tabla34[#All],3,0)</f>
        <v>20.111000000000001</v>
      </c>
      <c r="H219" s="11">
        <f>+Tabla110345345445545647910813511217229914621425740[[#This Row],[Costo]]*Tabla110345345445545647910813511217229914621425740[[#This Row],[Columna2]]</f>
        <v>80.444000000000003</v>
      </c>
      <c r="I219" s="4"/>
      <c r="J219" s="5" t="s">
        <v>9</v>
      </c>
      <c r="K219" s="12" t="e">
        <f>+K217+K218</f>
        <v>#N/A</v>
      </c>
    </row>
    <row r="220" spans="2:11" x14ac:dyDescent="0.3">
      <c r="B220" s="7" t="s">
        <v>373</v>
      </c>
      <c r="C220" s="8" t="s">
        <v>570</v>
      </c>
      <c r="D220" s="9">
        <v>7</v>
      </c>
      <c r="E220" s="9">
        <v>0</v>
      </c>
      <c r="F220" s="9">
        <v>7</v>
      </c>
      <c r="G220" s="10">
        <f>+VLOOKUP(Tabla110345345445545647910813511217229914621425740[[#This Row],[Ingrediente]],Tabla34[#All],3,0)</f>
        <v>485.71428571000001</v>
      </c>
      <c r="H220" s="11">
        <f>+Tabla110345345445545647910813511217229914621425740[[#This Row],[Costo]]*Tabla110345345445545647910813511217229914621425740[[#This Row],[Columna2]]</f>
        <v>3399.9999999700003</v>
      </c>
      <c r="I220" s="4"/>
      <c r="J220" s="17" t="s">
        <v>10</v>
      </c>
      <c r="K220" s="18">
        <v>74000</v>
      </c>
    </row>
    <row r="221" spans="2:11" x14ac:dyDescent="0.3">
      <c r="B221" s="21" t="s">
        <v>398</v>
      </c>
      <c r="C221" s="8" t="s">
        <v>188</v>
      </c>
      <c r="D221" s="9">
        <v>50</v>
      </c>
      <c r="E221" s="9">
        <v>27</v>
      </c>
      <c r="F221" s="9">
        <v>68.492999999999995</v>
      </c>
      <c r="G221" s="10">
        <f>+VLOOKUP(Tabla110345345445545647910813511217229914621425740[[#This Row],[Ingrediente]],Tabla34[#All],3,0)</f>
        <v>3.7999999999999994</v>
      </c>
      <c r="H221" s="11">
        <f>+Tabla110345345445545647910813511217229914621425740[[#This Row],[Costo]]*Tabla110345345445545647910813511217229914621425740[[#This Row],[Columna2]]</f>
        <v>260.27339999999992</v>
      </c>
      <c r="I221" s="4"/>
      <c r="J221" s="5" t="s">
        <v>11</v>
      </c>
      <c r="K221" s="12">
        <f>+K220/1.08*0.08</f>
        <v>5481.4814814814808</v>
      </c>
    </row>
    <row r="222" spans="2:11" x14ac:dyDescent="0.3">
      <c r="B222" s="7" t="s">
        <v>446</v>
      </c>
      <c r="C222" s="8" t="s">
        <v>188</v>
      </c>
      <c r="D222" s="9">
        <v>3</v>
      </c>
      <c r="E222" s="9">
        <v>40</v>
      </c>
      <c r="F222" s="9">
        <v>5</v>
      </c>
      <c r="G222" s="10">
        <f>+VLOOKUP(Tabla110345345445545647910813511217229914621425740[[#This Row],[Ingrediente]],Tabla34[#All],3,0)</f>
        <v>5.5</v>
      </c>
      <c r="H222" s="11">
        <f>+Tabla110345345445545647910813511217229914621425740[[#This Row],[Costo]]*Tabla110345345445545647910813511217229914621425740[[#This Row],[Columna2]]</f>
        <v>27.5</v>
      </c>
      <c r="I222" s="4"/>
      <c r="J222" s="5" t="s">
        <v>12</v>
      </c>
      <c r="K222" s="12">
        <f>+K220-K221</f>
        <v>68518.518518518526</v>
      </c>
    </row>
    <row r="223" spans="2:11" x14ac:dyDescent="0.3">
      <c r="B223" s="7" t="s">
        <v>459</v>
      </c>
      <c r="C223" s="8" t="s">
        <v>188</v>
      </c>
      <c r="D223" s="9">
        <v>2</v>
      </c>
      <c r="E223" s="9">
        <v>0</v>
      </c>
      <c r="F223" s="9">
        <v>2</v>
      </c>
      <c r="G223" s="10">
        <f>+VLOOKUP(Tabla110345345445545647910813511217229914621425740[[#This Row],[Ingrediente]],Tabla34[#All],3,0)</f>
        <v>58.140352939999993</v>
      </c>
      <c r="H223" s="11">
        <f>+Tabla110345345445545647910813511217229914621425740[[#This Row],[Costo]]*Tabla110345345445545647910813511217229914621425740[[#This Row],[Columna2]]</f>
        <v>116.28070587999999</v>
      </c>
      <c r="I223" s="4"/>
      <c r="J223" s="5" t="s">
        <v>13</v>
      </c>
      <c r="K223" s="19" t="e">
        <f>+K219/K222</f>
        <v>#N/A</v>
      </c>
    </row>
    <row r="224" spans="2:11" x14ac:dyDescent="0.3">
      <c r="B224" s="7" t="s">
        <v>637</v>
      </c>
      <c r="C224" s="8" t="s">
        <v>188</v>
      </c>
      <c r="D224" s="9">
        <v>10</v>
      </c>
      <c r="E224" s="9">
        <v>0</v>
      </c>
      <c r="F224" s="9">
        <v>10</v>
      </c>
      <c r="G224" s="10">
        <f>+VLOOKUP(Tabla110345345445545647910813511217229914621425740[[#This Row],[Ingrediente]],Tabla34[#All],3,0)</f>
        <v>69.02</v>
      </c>
      <c r="H224" s="11">
        <f>+Tabla110345345445545647910813511217229914621425740[[#This Row],[Costo]]*Tabla110345345445545647910813511217229914621425740[[#This Row],[Columna2]]</f>
        <v>690.19999999999993</v>
      </c>
      <c r="I224" s="4"/>
      <c r="J224" s="5" t="s">
        <v>14</v>
      </c>
      <c r="K224" s="20" t="e">
        <f>+K222-K219</f>
        <v>#N/A</v>
      </c>
    </row>
    <row r="225" spans="2:11" x14ac:dyDescent="0.3">
      <c r="B225" s="7" t="s">
        <v>463</v>
      </c>
      <c r="C225" s="8" t="s">
        <v>188</v>
      </c>
      <c r="D225" s="9">
        <v>20</v>
      </c>
      <c r="E225" s="9">
        <v>0</v>
      </c>
      <c r="F225" s="9">
        <v>20</v>
      </c>
      <c r="G225" s="10">
        <f>+VLOOKUP(Tabla110345345445545647910813511217229914621425740[[#This Row],[Ingrediente]],Tabla34[#All],3,0)</f>
        <v>19.351344539999999</v>
      </c>
      <c r="H225" s="11">
        <f>+Tabla110345345445545647910813511217229914621425740[[#This Row],[Costo]]*Tabla110345345445545647910813511217229914621425740[[#This Row],[Columna2]]</f>
        <v>387.02689079999999</v>
      </c>
      <c r="I225" s="4"/>
      <c r="J225" s="5" t="s">
        <v>15</v>
      </c>
      <c r="K225" s="22" t="e">
        <f>+K224/K219</f>
        <v>#N/A</v>
      </c>
    </row>
    <row r="226" spans="2:11" x14ac:dyDescent="0.3">
      <c r="B226" s="7" t="s">
        <v>443</v>
      </c>
      <c r="C226" s="8" t="s">
        <v>188</v>
      </c>
      <c r="D226" s="9">
        <v>2</v>
      </c>
      <c r="E226" s="9">
        <v>0</v>
      </c>
      <c r="F226" s="9">
        <v>2</v>
      </c>
      <c r="G226" s="10">
        <f>+VLOOKUP(Tabla110345345445545647910813511217229914621425740[[#This Row],[Ingrediente]],Tabla34[#All],3,0)</f>
        <v>94.613741530000013</v>
      </c>
      <c r="H226" s="11">
        <f>+Tabla110345345445545647910813511217229914621425740[[#This Row],[Costo]]*Tabla110345345445545647910813511217229914621425740[[#This Row],[Columna2]]</f>
        <v>189.22748306000003</v>
      </c>
      <c r="I226" s="4"/>
      <c r="J226" s="4"/>
      <c r="K226" s="29"/>
    </row>
    <row r="227" spans="2:11" x14ac:dyDescent="0.3">
      <c r="B227" s="7" t="s">
        <v>376</v>
      </c>
      <c r="C227" s="8" t="s">
        <v>188</v>
      </c>
      <c r="D227" s="9">
        <v>50</v>
      </c>
      <c r="E227" s="9">
        <v>0</v>
      </c>
      <c r="F227" s="9">
        <v>50</v>
      </c>
      <c r="G227" s="10">
        <f>+VLOOKUP(Tabla110345345445545647910813511217229914621425740[[#This Row],[Ingrediente]],Tabla34[#All],3,0)</f>
        <v>60.98749999999999</v>
      </c>
      <c r="H227" s="11">
        <f>+Tabla110345345445545647910813511217229914621425740[[#This Row],[Costo]]*Tabla110345345445545647910813511217229914621425740[[#This Row],[Columna2]]</f>
        <v>3049.3749999999995</v>
      </c>
      <c r="I227" s="4"/>
      <c r="J227" s="4"/>
      <c r="K227" s="29"/>
    </row>
    <row r="228" spans="2:11" x14ac:dyDescent="0.3">
      <c r="B228" s="7" t="s">
        <v>482</v>
      </c>
      <c r="C228" s="8" t="s">
        <v>188</v>
      </c>
      <c r="D228" s="9">
        <v>2</v>
      </c>
      <c r="E228" s="9">
        <v>0</v>
      </c>
      <c r="F228" s="9">
        <v>2</v>
      </c>
      <c r="G228" s="10">
        <f>+VLOOKUP(Tabla110345345445545647910813511217229914621425740[[#This Row],[Ingrediente]],Tabla34[#All],3,0)</f>
        <v>2.6999075600000002</v>
      </c>
      <c r="H228" s="11">
        <f>+Tabla110345345445545647910813511217229914621425740[[#This Row],[Costo]]*Tabla110345345445545647910813511217229914621425740[[#This Row],[Columna2]]</f>
        <v>5.3998151200000004</v>
      </c>
      <c r="I228" s="4"/>
      <c r="J228" s="4"/>
      <c r="K228" s="29"/>
    </row>
    <row r="229" spans="2:11" x14ac:dyDescent="0.3">
      <c r="B229" s="7" t="s">
        <v>52</v>
      </c>
      <c r="C229" s="8" t="s">
        <v>188</v>
      </c>
      <c r="D229" s="9">
        <v>40</v>
      </c>
      <c r="E229" s="9">
        <v>0</v>
      </c>
      <c r="F229" s="9">
        <v>40</v>
      </c>
      <c r="G229" s="10">
        <f>+VLOOKUP(Tabla110345345445545647910813511217229914621425740[[#This Row],[Ingrediente]],Tabla34[#All],3,0)</f>
        <v>26.269315670000001</v>
      </c>
      <c r="H229" s="11">
        <f>+Tabla110345345445545647910813511217229914621425740[[#This Row],[Costo]]*Tabla110345345445545647910813511217229914621425740[[#This Row],[Columna2]]</f>
        <v>1050.7726268000001</v>
      </c>
      <c r="I229" s="4"/>
      <c r="J229" s="4"/>
      <c r="K229" s="29"/>
    </row>
    <row r="230" spans="2:11" x14ac:dyDescent="0.3">
      <c r="B230" s="7" t="s">
        <v>420</v>
      </c>
      <c r="C230" s="8" t="s">
        <v>188</v>
      </c>
      <c r="D230" s="9">
        <v>80</v>
      </c>
      <c r="E230" s="9">
        <v>0</v>
      </c>
      <c r="F230" s="9">
        <v>80</v>
      </c>
      <c r="G230" s="10">
        <f>+VLOOKUP(Tabla110345345445545647910813511217229914621425740[[#This Row],[Ingrediente]],Tabla34[#All],3,0)</f>
        <v>8.9250000000000007</v>
      </c>
      <c r="H230" s="11">
        <f>+Tabla110345345445545647910813511217229914621425740[[#This Row],[Costo]]*Tabla110345345445545647910813511217229914621425740[[#This Row],[Columna2]]</f>
        <v>714</v>
      </c>
      <c r="I230" s="4"/>
      <c r="J230" s="4"/>
      <c r="K230" s="29"/>
    </row>
    <row r="231" spans="2:11" x14ac:dyDescent="0.3">
      <c r="B231" s="7" t="s">
        <v>366</v>
      </c>
      <c r="C231" s="8" t="s">
        <v>570</v>
      </c>
      <c r="D231" s="9">
        <v>0.5</v>
      </c>
      <c r="E231" s="9">
        <v>0</v>
      </c>
      <c r="F231" s="9">
        <v>0.5</v>
      </c>
      <c r="G231" s="10">
        <f>+VLOOKUP(Tabla110345345445545647910813511217229914621425740[[#This Row],[Ingrediente]],Tabla34[#All],3,0)</f>
        <v>12280</v>
      </c>
      <c r="H231" s="11">
        <f>+Tabla110345345445545647910813511217229914621425740[[#This Row],[Costo]]*Tabla110345345445545647910813511217229914621425740[[#This Row],[Columna2]]</f>
        <v>6140</v>
      </c>
      <c r="J231" s="4"/>
      <c r="K231" s="23"/>
    </row>
    <row r="232" spans="2:11" x14ac:dyDescent="0.3">
      <c r="B232" s="7" t="s">
        <v>341</v>
      </c>
      <c r="C232" s="8" t="s">
        <v>188</v>
      </c>
      <c r="D232" s="9">
        <v>5</v>
      </c>
      <c r="E232" s="9">
        <v>0</v>
      </c>
      <c r="F232" s="9">
        <v>5</v>
      </c>
      <c r="G232" s="10">
        <f>+VLOOKUP(Tabla110345345445545647910813511217229914621425740[[#This Row],[Ingrediente]],Tabla34[#All],3,0)</f>
        <v>12.80723817</v>
      </c>
      <c r="H232" s="11">
        <f>+Tabla110345345445545647910813511217229914621425740[[#This Row],[Costo]]*Tabla110345345445545647910813511217229914621425740[[#This Row],[Columna2]]</f>
        <v>64.036190849999997</v>
      </c>
    </row>
    <row r="233" spans="2:11" x14ac:dyDescent="0.3">
      <c r="B233" s="7" t="s">
        <v>528</v>
      </c>
      <c r="C233" s="8" t="s">
        <v>188</v>
      </c>
      <c r="D233" s="9">
        <v>150</v>
      </c>
      <c r="E233" s="9">
        <v>0</v>
      </c>
      <c r="F233" s="9">
        <v>150</v>
      </c>
      <c r="G233" s="10">
        <f>+VLOOKUP(Tabla110345345445545647910813511217229914621425740[[#This Row],[Ingrediente]],Tabla34[#All],3,0)</f>
        <v>4.8201292200000001</v>
      </c>
      <c r="H233" s="11">
        <f>+Tabla110345345445545647910813511217229914621425740[[#This Row],[Costo]]*Tabla110345345445545647910813511217229914621425740[[#This Row],[Columna2]]</f>
        <v>723.01938300000006</v>
      </c>
    </row>
    <row r="234" spans="2:11" x14ac:dyDescent="0.3">
      <c r="B234" s="21" t="s">
        <v>95</v>
      </c>
      <c r="C234" s="8" t="s">
        <v>188</v>
      </c>
      <c r="D234" s="9">
        <v>100</v>
      </c>
      <c r="E234" s="9">
        <v>0</v>
      </c>
      <c r="F234" s="9">
        <v>100</v>
      </c>
      <c r="G234" s="10">
        <f>+VLOOKUP(Tabla110345345445545647910813511217229914621425740[[#This Row],[Ingrediente]],Tabla34[#All],3,0)</f>
        <v>4.5393523800000004</v>
      </c>
      <c r="H234" s="11">
        <f>+Tabla110345345445545647910813511217229914621425740[[#This Row],[Costo]]*Tabla110345345445545647910813511217229914621425740[[#This Row],[Columna2]]</f>
        <v>453.93523800000003</v>
      </c>
    </row>
    <row r="235" spans="2:11" x14ac:dyDescent="0.3">
      <c r="B235" s="7" t="s">
        <v>449</v>
      </c>
      <c r="C235" s="8" t="s">
        <v>188</v>
      </c>
      <c r="D235" s="9">
        <v>100</v>
      </c>
      <c r="E235" s="9">
        <v>0</v>
      </c>
      <c r="F235" s="9">
        <v>100</v>
      </c>
      <c r="G235" s="10">
        <f>+VLOOKUP(Tabla110345345445545647910813511217229914621425740[[#This Row],[Ingrediente]],Tabla34[#All],3,0)</f>
        <v>23.317903900000001</v>
      </c>
      <c r="H235" s="11">
        <f>+Tabla110345345445545647910813511217229914621425740[[#This Row],[Costo]]*Tabla110345345445545647910813511217229914621425740[[#This Row],[Columna2]]</f>
        <v>2331.7903900000001</v>
      </c>
    </row>
    <row r="236" spans="2:11" x14ac:dyDescent="0.3">
      <c r="B236" s="7" t="s">
        <v>1285</v>
      </c>
      <c r="C236" s="8" t="s">
        <v>188</v>
      </c>
      <c r="D236" s="9">
        <v>20</v>
      </c>
      <c r="E236" s="9">
        <v>0</v>
      </c>
      <c r="F236" s="9">
        <v>20</v>
      </c>
      <c r="G236" s="10" t="e">
        <f>+VLOOKUP(Tabla110345345445545647910813511217229914621425740[[#This Row],[Ingrediente]],Tabla34[#All],3,0)</f>
        <v>#N/A</v>
      </c>
      <c r="H236" s="11" t="e">
        <f>+Tabla110345345445545647910813511217229914621425740[[#This Row],[Costo]]*Tabla110345345445545647910813511217229914621425740[[#This Row],[Columna2]]</f>
        <v>#N/A</v>
      </c>
    </row>
    <row r="237" spans="2:11" x14ac:dyDescent="0.3">
      <c r="B237" s="21" t="s">
        <v>458</v>
      </c>
      <c r="C237" s="8" t="s">
        <v>188</v>
      </c>
      <c r="D237" s="9">
        <v>10</v>
      </c>
      <c r="E237" s="9">
        <v>10</v>
      </c>
      <c r="F237" s="9">
        <v>11.111000000000001</v>
      </c>
      <c r="G237" s="10">
        <f>+VLOOKUP(Tabla110345345445545647910813511217229914621425740[[#This Row],[Ingrediente]],Tabla34[#All],3,0)</f>
        <v>5</v>
      </c>
      <c r="H237" s="11">
        <f>+Tabla110345345445545647910813511217229914621425740[[#This Row],[Costo]]*Tabla110345345445545647910813511217229914621425740[[#This Row],[Columna2]]</f>
        <v>55.555000000000007</v>
      </c>
    </row>
    <row r="238" spans="2:11" x14ac:dyDescent="0.3">
      <c r="B238" s="7" t="s">
        <v>476</v>
      </c>
      <c r="C238" s="8" t="s">
        <v>188</v>
      </c>
      <c r="D238" s="9">
        <v>60</v>
      </c>
      <c r="E238" s="9">
        <v>10</v>
      </c>
      <c r="F238" s="9">
        <v>66.667000000000002</v>
      </c>
      <c r="G238" s="10">
        <f>+VLOOKUP(Tabla110345345445545647910813511217229914621425740[[#This Row],[Ingrediente]],Tabla34[#All],3,0)</f>
        <v>2.5</v>
      </c>
      <c r="H238" s="11">
        <f>+Tabla110345345445545647910813511217229914621425740[[#This Row],[Costo]]*Tabla110345345445545647910813511217229914621425740[[#This Row],[Columna2]]</f>
        <v>166.66750000000002</v>
      </c>
    </row>
    <row r="239" spans="2:11" x14ac:dyDescent="0.3">
      <c r="B239" s="13"/>
      <c r="C239" s="14"/>
      <c r="D239" s="14"/>
      <c r="E239" s="14"/>
      <c r="F239" s="14"/>
      <c r="G239" s="15"/>
      <c r="H239" s="15" t="e">
        <f>SUBTOTAL(109,Tabla110345345445545647910813511217229914621425740[Total costo])</f>
        <v>#N/A</v>
      </c>
    </row>
    <row r="242" spans="2:11" x14ac:dyDescent="0.3">
      <c r="B242" s="1" t="s">
        <v>1303</v>
      </c>
      <c r="C242" s="2"/>
      <c r="D242" s="2"/>
      <c r="E242" s="3"/>
      <c r="F242" s="3"/>
      <c r="G242" s="3"/>
      <c r="H242" s="3"/>
      <c r="I242" s="4"/>
      <c r="J242" s="277" t="s">
        <v>0</v>
      </c>
      <c r="K242" s="277"/>
    </row>
    <row r="243" spans="2:11" x14ac:dyDescent="0.3">
      <c r="B243" s="13" t="s">
        <v>1</v>
      </c>
      <c r="C243" s="14" t="s">
        <v>2</v>
      </c>
      <c r="D243" s="14" t="s">
        <v>3</v>
      </c>
      <c r="E243" s="14" t="s">
        <v>343</v>
      </c>
      <c r="F243" s="14" t="s">
        <v>585</v>
      </c>
      <c r="G243" s="28" t="s">
        <v>4</v>
      </c>
      <c r="H243" s="28" t="s">
        <v>5</v>
      </c>
      <c r="I243" s="4"/>
      <c r="J243" s="5" t="s">
        <v>6</v>
      </c>
      <c r="K243" s="6">
        <f>SUM(Tabla110345345445545647910813511217229914621425740196[Total costo])</f>
        <v>21809.068499749999</v>
      </c>
    </row>
    <row r="244" spans="2:11" x14ac:dyDescent="0.3">
      <c r="B244" s="7" t="s">
        <v>687</v>
      </c>
      <c r="C244" s="8" t="s">
        <v>188</v>
      </c>
      <c r="D244" s="9">
        <v>40</v>
      </c>
      <c r="E244" s="9">
        <v>0</v>
      </c>
      <c r="F244" s="9">
        <v>40</v>
      </c>
      <c r="G244" s="10">
        <f>+VLOOKUP(Tabla110345345445545647910813511217229914621425740196[[#This Row],[Ingrediente]],Tabla34[#All],3,0)</f>
        <v>84.475308639999994</v>
      </c>
      <c r="H244" s="11">
        <f>+Tabla110345345445545647910813511217229914621425740196[[#This Row],[Costo]]*Tabla110345345445545647910813511217229914621425740196[[#This Row],[Columna2]]</f>
        <v>3379.0123455999997</v>
      </c>
      <c r="I244" s="4"/>
      <c r="J244" s="5" t="s">
        <v>113</v>
      </c>
      <c r="K244" s="12">
        <f>+K243*5%</f>
        <v>1090.4534249875001</v>
      </c>
    </row>
    <row r="245" spans="2:11" x14ac:dyDescent="0.3">
      <c r="B245" s="21" t="s">
        <v>470</v>
      </c>
      <c r="C245" s="8" t="s">
        <v>188</v>
      </c>
      <c r="D245" s="9">
        <v>15</v>
      </c>
      <c r="E245" s="9">
        <v>10</v>
      </c>
      <c r="F245" s="9">
        <v>16.667000000000002</v>
      </c>
      <c r="G245" s="10">
        <f>+VLOOKUP(Tabla110345345445545647910813511217229914621425740196[[#This Row],[Ingrediente]],Tabla34[#All],3,0)</f>
        <v>8</v>
      </c>
      <c r="H245" s="11">
        <f>+Tabla110345345445545647910813511217229914621425740196[[#This Row],[Costo]]*Tabla110345345445545647910813511217229914621425740196[[#This Row],[Columna2]]</f>
        <v>133.33600000000001</v>
      </c>
      <c r="I245" s="4"/>
      <c r="J245" s="5" t="s">
        <v>9</v>
      </c>
      <c r="K245" s="12">
        <f>+K243+K244</f>
        <v>22899.521924737499</v>
      </c>
    </row>
    <row r="246" spans="2:11" x14ac:dyDescent="0.3">
      <c r="B246" s="7" t="s">
        <v>442</v>
      </c>
      <c r="C246" s="8" t="s">
        <v>188</v>
      </c>
      <c r="D246" s="9">
        <v>2</v>
      </c>
      <c r="E246" s="9">
        <v>0</v>
      </c>
      <c r="F246" s="9">
        <v>2</v>
      </c>
      <c r="G246" s="10">
        <f>+VLOOKUP(Tabla110345345445545647910813511217229914621425740196[[#This Row],[Ingrediente]],Tabla34[#All],3,0)</f>
        <v>20.111000000000001</v>
      </c>
      <c r="H246" s="11">
        <f>+Tabla110345345445545647910813511217229914621425740196[[#This Row],[Costo]]*Tabla110345345445545647910813511217229914621425740196[[#This Row],[Columna2]]</f>
        <v>40.222000000000001</v>
      </c>
      <c r="I246" s="4"/>
      <c r="J246" s="17" t="s">
        <v>10</v>
      </c>
      <c r="K246" s="18">
        <v>74000</v>
      </c>
    </row>
    <row r="247" spans="2:11" x14ac:dyDescent="0.3">
      <c r="B247" s="21" t="s">
        <v>557</v>
      </c>
      <c r="C247" s="8" t="s">
        <v>188</v>
      </c>
      <c r="D247" s="9">
        <v>2</v>
      </c>
      <c r="E247" s="9">
        <v>0</v>
      </c>
      <c r="F247" s="9">
        <v>2</v>
      </c>
      <c r="G247" s="10">
        <f>+VLOOKUP(Tabla110345345445545647910813511217229914621425740196[[#This Row],[Ingrediente]],Tabla34[#All],3,0)</f>
        <v>18.138999999999999</v>
      </c>
      <c r="H247" s="11">
        <f>+Tabla110345345445545647910813511217229914621425740196[[#This Row],[Costo]]*Tabla110345345445545647910813511217229914621425740196[[#This Row],[Columna2]]</f>
        <v>36.277999999999999</v>
      </c>
      <c r="I247" s="4"/>
      <c r="J247" s="5" t="s">
        <v>11</v>
      </c>
      <c r="K247" s="12">
        <f>+K246/1.08*0.08</f>
        <v>5481.4814814814808</v>
      </c>
    </row>
    <row r="248" spans="2:11" x14ac:dyDescent="0.3">
      <c r="B248" s="7" t="s">
        <v>689</v>
      </c>
      <c r="C248" s="8" t="s">
        <v>188</v>
      </c>
      <c r="D248" s="9">
        <v>2</v>
      </c>
      <c r="E248" s="9">
        <v>0</v>
      </c>
      <c r="F248" s="9">
        <v>2</v>
      </c>
      <c r="G248" s="10">
        <f>+VLOOKUP(Tabla110345345445545647910813511217229914621425740196[[#This Row],[Ingrediente]],Tabla34[#All],3,0)</f>
        <v>40.97</v>
      </c>
      <c r="H248" s="11">
        <f>+Tabla110345345445545647910813511217229914621425740196[[#This Row],[Costo]]*Tabla110345345445545647910813511217229914621425740196[[#This Row],[Columna2]]</f>
        <v>81.94</v>
      </c>
      <c r="I248" s="4"/>
      <c r="J248" s="5" t="s">
        <v>12</v>
      </c>
      <c r="K248" s="12">
        <f>+K246-K247</f>
        <v>68518.518518518526</v>
      </c>
    </row>
    <row r="249" spans="2:11" x14ac:dyDescent="0.3">
      <c r="B249" s="7" t="s">
        <v>373</v>
      </c>
      <c r="C249" s="8" t="s">
        <v>570</v>
      </c>
      <c r="D249" s="9">
        <v>7</v>
      </c>
      <c r="E249" s="9">
        <v>0</v>
      </c>
      <c r="F249" s="9">
        <v>7</v>
      </c>
      <c r="G249" s="10">
        <f>+VLOOKUP(Tabla110345345445545647910813511217229914621425740196[[#This Row],[Ingrediente]],Tabla34[#All],3,0)</f>
        <v>485.71428571000001</v>
      </c>
      <c r="H249" s="11">
        <f>+Tabla110345345445545647910813511217229914621425740196[[#This Row],[Costo]]*Tabla110345345445545647910813511217229914621425740196[[#This Row],[Columna2]]</f>
        <v>3399.9999999700003</v>
      </c>
      <c r="I249" s="4"/>
      <c r="J249" s="5" t="s">
        <v>13</v>
      </c>
      <c r="K249" s="19">
        <f>+K245/K248</f>
        <v>0.33420923890157428</v>
      </c>
    </row>
    <row r="250" spans="2:11" x14ac:dyDescent="0.3">
      <c r="B250" s="7" t="s">
        <v>490</v>
      </c>
      <c r="C250" s="8" t="s">
        <v>188</v>
      </c>
      <c r="D250" s="9">
        <v>15</v>
      </c>
      <c r="E250" s="9">
        <v>30</v>
      </c>
      <c r="F250" s="9">
        <v>21.428999999999998</v>
      </c>
      <c r="G250" s="10">
        <f>+VLOOKUP(Tabla110345345445545647910813511217229914621425740196[[#This Row],[Ingrediente]],Tabla34[#All],3,0)</f>
        <v>5</v>
      </c>
      <c r="H250" s="11">
        <f>+Tabla110345345445545647910813511217229914621425740196[[#This Row],[Costo]]*Tabla110345345445545647910813511217229914621425740196[[#This Row],[Columna2]]</f>
        <v>107.145</v>
      </c>
      <c r="I250" s="4"/>
      <c r="J250" s="5" t="s">
        <v>14</v>
      </c>
      <c r="K250" s="20">
        <f>+K248-K245</f>
        <v>45618.996593781027</v>
      </c>
    </row>
    <row r="251" spans="2:11" x14ac:dyDescent="0.3">
      <c r="B251" s="7" t="s">
        <v>691</v>
      </c>
      <c r="C251" s="8" t="s">
        <v>188</v>
      </c>
      <c r="D251" s="9">
        <v>2</v>
      </c>
      <c r="E251" s="9">
        <v>0</v>
      </c>
      <c r="F251" s="9">
        <v>2</v>
      </c>
      <c r="G251" s="10">
        <f>+VLOOKUP(Tabla110345345445545647910813511217229914621425740196[[#This Row],[Ingrediente]],Tabla34[#All],3,0)</f>
        <v>16</v>
      </c>
      <c r="H251" s="11">
        <f>+Tabla110345345445545647910813511217229914621425740196[[#This Row],[Costo]]*Tabla110345345445545647910813511217229914621425740196[[#This Row],[Columna2]]</f>
        <v>32</v>
      </c>
      <c r="I251" s="4"/>
      <c r="J251" s="5" t="s">
        <v>15</v>
      </c>
      <c r="K251" s="22">
        <f>+K250/K245</f>
        <v>1.9921375102814058</v>
      </c>
    </row>
    <row r="252" spans="2:11" x14ac:dyDescent="0.3">
      <c r="B252" s="7" t="s">
        <v>417</v>
      </c>
      <c r="C252" s="8" t="s">
        <v>188</v>
      </c>
      <c r="D252" s="9">
        <v>60</v>
      </c>
      <c r="E252" s="9">
        <v>0</v>
      </c>
      <c r="F252" s="9">
        <v>60</v>
      </c>
      <c r="G252" s="10">
        <f>+VLOOKUP(Tabla110345345445545647910813511217229914621425740196[[#This Row],[Ingrediente]],Tabla34[#All],3,0)</f>
        <v>27</v>
      </c>
      <c r="H252" s="11">
        <f>+Tabla110345345445545647910813511217229914621425740196[[#This Row],[Costo]]*Tabla110345345445545647910813511217229914621425740196[[#This Row],[Columna2]]</f>
        <v>1620</v>
      </c>
      <c r="I252" s="4"/>
      <c r="J252" s="4"/>
      <c r="K252" s="29"/>
    </row>
    <row r="253" spans="2:11" x14ac:dyDescent="0.3">
      <c r="B253" s="7" t="s">
        <v>482</v>
      </c>
      <c r="C253" s="8" t="s">
        <v>188</v>
      </c>
      <c r="D253" s="9">
        <v>3</v>
      </c>
      <c r="E253" s="9">
        <v>0</v>
      </c>
      <c r="F253" s="9">
        <v>3</v>
      </c>
      <c r="G253" s="10">
        <f>+VLOOKUP(Tabla110345345445545647910813511217229914621425740196[[#This Row],[Ingrediente]],Tabla34[#All],3,0)</f>
        <v>2.6999075600000002</v>
      </c>
      <c r="H253" s="11">
        <f>+Tabla110345345445545647910813511217229914621425740196[[#This Row],[Costo]]*Tabla110345345445545647910813511217229914621425740196[[#This Row],[Columna2]]</f>
        <v>8.0997226800000011</v>
      </c>
      <c r="I253" s="4"/>
      <c r="J253" s="4"/>
      <c r="K253" s="29"/>
    </row>
    <row r="254" spans="2:11" x14ac:dyDescent="0.3">
      <c r="B254" s="7" t="s">
        <v>420</v>
      </c>
      <c r="C254" s="8" t="s">
        <v>188</v>
      </c>
      <c r="D254" s="9">
        <v>80</v>
      </c>
      <c r="E254" s="9">
        <v>0</v>
      </c>
      <c r="F254" s="9">
        <v>80</v>
      </c>
      <c r="G254" s="10">
        <f>+VLOOKUP(Tabla110345345445545647910813511217229914621425740196[[#This Row],[Ingrediente]],Tabla34[#All],3,0)</f>
        <v>8.9250000000000007</v>
      </c>
      <c r="H254" s="11">
        <f>+Tabla110345345445545647910813511217229914621425740196[[#This Row],[Costo]]*Tabla110345345445545647910813511217229914621425740196[[#This Row],[Columna2]]</f>
        <v>714</v>
      </c>
      <c r="I254" s="4"/>
      <c r="J254" s="4"/>
      <c r="K254" s="29"/>
    </row>
    <row r="255" spans="2:11" x14ac:dyDescent="0.3">
      <c r="B255" s="7" t="s">
        <v>366</v>
      </c>
      <c r="C255" s="8" t="s">
        <v>570</v>
      </c>
      <c r="D255" s="9">
        <v>0.5</v>
      </c>
      <c r="E255" s="9">
        <v>0</v>
      </c>
      <c r="F255" s="9">
        <v>0.5</v>
      </c>
      <c r="G255" s="10">
        <f>+VLOOKUP(Tabla110345345445545647910813511217229914621425740196[[#This Row],[Ingrediente]],Tabla34[#All],3,0)</f>
        <v>12280</v>
      </c>
      <c r="H255" s="11">
        <f>+Tabla110345345445545647910813511217229914621425740196[[#This Row],[Costo]]*Tabla110345345445545647910813511217229914621425740196[[#This Row],[Columna2]]</f>
        <v>6140</v>
      </c>
      <c r="I255" s="4"/>
      <c r="J255" s="4"/>
      <c r="K255" s="29"/>
    </row>
    <row r="256" spans="2:11" x14ac:dyDescent="0.3">
      <c r="B256" s="7" t="s">
        <v>528</v>
      </c>
      <c r="C256" s="8" t="s">
        <v>188</v>
      </c>
      <c r="D256" s="9">
        <v>240</v>
      </c>
      <c r="E256" s="9">
        <v>0</v>
      </c>
      <c r="F256" s="9">
        <v>240</v>
      </c>
      <c r="G256" s="10">
        <f>+VLOOKUP(Tabla110345345445545647910813511217229914621425740196[[#This Row],[Ingrediente]],Tabla34[#All],3,0)</f>
        <v>4.8201292200000001</v>
      </c>
      <c r="H256" s="11">
        <f>+Tabla110345345445545647910813511217229914621425740196[[#This Row],[Costo]]*Tabla110345345445545647910813511217229914621425740196[[#This Row],[Columna2]]</f>
        <v>1156.8310128000001</v>
      </c>
      <c r="I256" s="4"/>
      <c r="J256" s="4"/>
      <c r="K256" s="29"/>
    </row>
    <row r="257" spans="2:11" x14ac:dyDescent="0.3">
      <c r="B257" s="7" t="s">
        <v>512</v>
      </c>
      <c r="C257" s="8" t="s">
        <v>188</v>
      </c>
      <c r="D257" s="9">
        <v>20</v>
      </c>
      <c r="E257" s="9">
        <v>0</v>
      </c>
      <c r="F257" s="9">
        <v>20</v>
      </c>
      <c r="G257" s="10">
        <f>+VLOOKUP(Tabla110345345445545647910813511217229914621425740196[[#This Row],[Ingrediente]],Tabla34[#All],3,0)</f>
        <v>9.7905400900000004</v>
      </c>
      <c r="H257" s="11">
        <f>+Tabla110345345445545647910813511217229914621425740196[[#This Row],[Costo]]*Tabla110345345445545647910813511217229914621425740196[[#This Row],[Columna2]]</f>
        <v>195.81080180000001</v>
      </c>
      <c r="J257" s="4"/>
      <c r="K257" s="23"/>
    </row>
    <row r="258" spans="2:11" x14ac:dyDescent="0.3">
      <c r="B258" s="7" t="s">
        <v>499</v>
      </c>
      <c r="C258" s="8" t="s">
        <v>188</v>
      </c>
      <c r="D258" s="9">
        <v>3</v>
      </c>
      <c r="E258" s="9">
        <v>0</v>
      </c>
      <c r="F258" s="9">
        <v>3</v>
      </c>
      <c r="G258" s="10">
        <f>+VLOOKUP(Tabla110345345445545647910813511217229914621425740196[[#This Row],[Ingrediente]],Tabla34[#All],3,0)</f>
        <v>3.57</v>
      </c>
      <c r="H258" s="11">
        <f>+Tabla110345345445545647910813511217229914621425740196[[#This Row],[Costo]]*Tabla110345345445545647910813511217229914621425740196[[#This Row],[Columna2]]</f>
        <v>10.709999999999999</v>
      </c>
    </row>
    <row r="259" spans="2:11" x14ac:dyDescent="0.3">
      <c r="B259" s="7" t="s">
        <v>1207</v>
      </c>
      <c r="C259" s="8" t="s">
        <v>188</v>
      </c>
      <c r="D259" s="267">
        <v>40</v>
      </c>
      <c r="E259" s="9">
        <v>0</v>
      </c>
      <c r="F259" s="9">
        <v>40</v>
      </c>
      <c r="G259" s="10">
        <f>+VLOOKUP(Tabla110345345445545647910813511217229914621425740196[[#This Row],[Ingrediente]],Tabla34[#All],3,0)</f>
        <v>18.791135010000001</v>
      </c>
      <c r="H259" s="11">
        <f>+Tabla110345345445545647910813511217229914621425740196[[#This Row],[Costo]]*Tabla110345345445545647910813511217229914621425740196[[#This Row],[Columna2]]</f>
        <v>751.64540040000009</v>
      </c>
    </row>
    <row r="260" spans="2:11" x14ac:dyDescent="0.3">
      <c r="B260" s="7" t="s">
        <v>533</v>
      </c>
      <c r="C260" s="8" t="s">
        <v>570</v>
      </c>
      <c r="D260" s="267">
        <v>1</v>
      </c>
      <c r="E260" s="9">
        <v>0</v>
      </c>
      <c r="F260" s="9">
        <v>1</v>
      </c>
      <c r="G260" s="10">
        <f>+VLOOKUP(Tabla110345345445545647910813511217229914621425740196[[#This Row],[Ingrediente]],Tabla34[#All],3,0)</f>
        <v>4002.0382164999996</v>
      </c>
      <c r="H260" s="11">
        <f>+Tabla110345345445545647910813511217229914621425740196[[#This Row],[Costo]]*Tabla110345345445545647910813511217229914621425740196[[#This Row],[Columna2]]</f>
        <v>4002.0382164999996</v>
      </c>
    </row>
    <row r="261" spans="2:11" x14ac:dyDescent="0.3">
      <c r="B261" s="13"/>
      <c r="C261" s="14"/>
      <c r="D261" s="14"/>
      <c r="E261" s="14"/>
      <c r="F261" s="14"/>
      <c r="G261" s="15"/>
      <c r="H261" s="15">
        <f>SUBTOTAL(109,Tabla110345345445545647910813511217229914621425740196[Total costo])</f>
        <v>21809.068499749999</v>
      </c>
    </row>
    <row r="264" spans="2:11" x14ac:dyDescent="0.3">
      <c r="B264" s="1" t="s">
        <v>1305</v>
      </c>
      <c r="C264" s="2"/>
      <c r="D264" s="2"/>
      <c r="E264" s="3"/>
      <c r="F264" s="3"/>
      <c r="G264" s="3"/>
      <c r="H264" s="3"/>
      <c r="I264" s="4"/>
      <c r="J264" s="277" t="s">
        <v>0</v>
      </c>
      <c r="K264" s="277"/>
    </row>
    <row r="265" spans="2:11" x14ac:dyDescent="0.3">
      <c r="B265" s="13" t="s">
        <v>1</v>
      </c>
      <c r="C265" s="14" t="s">
        <v>2</v>
      </c>
      <c r="D265" s="14" t="s">
        <v>3</v>
      </c>
      <c r="E265" s="14" t="s">
        <v>343</v>
      </c>
      <c r="F265" s="14" t="s">
        <v>585</v>
      </c>
      <c r="G265" s="28" t="s">
        <v>4</v>
      </c>
      <c r="H265" s="28" t="s">
        <v>5</v>
      </c>
      <c r="I265" s="4"/>
      <c r="J265" s="5" t="s">
        <v>6</v>
      </c>
      <c r="K265" s="6">
        <f>SUM(Tabla110345345445545647910813511217229914621425740196199[Total costo])</f>
        <v>23828.502875368002</v>
      </c>
    </row>
    <row r="266" spans="2:11" x14ac:dyDescent="0.3">
      <c r="B266" s="7" t="s">
        <v>362</v>
      </c>
      <c r="C266" s="8" t="s">
        <v>188</v>
      </c>
      <c r="D266" s="9">
        <v>20</v>
      </c>
      <c r="E266" s="9">
        <v>0</v>
      </c>
      <c r="F266" s="9">
        <v>20</v>
      </c>
      <c r="G266" s="10">
        <f>+VLOOKUP(Tabla110345345445545647910813511217229914621425740196199[[#This Row],[Ingrediente]],Tabla34[#All],3,0)</f>
        <v>8.2499666699999992</v>
      </c>
      <c r="H266" s="11">
        <f>+Tabla110345345445545647910813511217229914621425740196199[[#This Row],[Costo]]*Tabla110345345445545647910813511217229914621425740196199[[#This Row],[Columna2]]</f>
        <v>164.99933339999998</v>
      </c>
      <c r="I266" s="4"/>
      <c r="J266" s="5" t="s">
        <v>113</v>
      </c>
      <c r="K266" s="12">
        <f>+K265*5%</f>
        <v>1191.4251437684002</v>
      </c>
    </row>
    <row r="267" spans="2:11" x14ac:dyDescent="0.3">
      <c r="B267" s="21" t="s">
        <v>442</v>
      </c>
      <c r="C267" s="8" t="s">
        <v>188</v>
      </c>
      <c r="D267" s="9">
        <v>2</v>
      </c>
      <c r="E267" s="9">
        <v>0</v>
      </c>
      <c r="F267" s="9">
        <v>2</v>
      </c>
      <c r="G267" s="10">
        <f>+VLOOKUP(Tabla110345345445545647910813511217229914621425740196199[[#This Row],[Ingrediente]],Tabla34[#All],3,0)</f>
        <v>20.111000000000001</v>
      </c>
      <c r="H267" s="11">
        <f>+Tabla110345345445545647910813511217229914621425740196199[[#This Row],[Costo]]*Tabla110345345445545647910813511217229914621425740196199[[#This Row],[Columna2]]</f>
        <v>40.222000000000001</v>
      </c>
      <c r="I267" s="4"/>
      <c r="J267" s="5" t="s">
        <v>9</v>
      </c>
      <c r="K267" s="12">
        <f>+K265+K266</f>
        <v>25019.928019136401</v>
      </c>
    </row>
    <row r="268" spans="2:11" x14ac:dyDescent="0.3">
      <c r="B268" s="7" t="s">
        <v>446</v>
      </c>
      <c r="C268" s="8" t="s">
        <v>188</v>
      </c>
      <c r="D268" s="9">
        <v>1</v>
      </c>
      <c r="E268" s="9">
        <v>40</v>
      </c>
      <c r="F268" s="9">
        <v>1.667</v>
      </c>
      <c r="G268" s="10">
        <f>+VLOOKUP(Tabla110345345445545647910813511217229914621425740196199[[#This Row],[Ingrediente]],Tabla34[#All],3,0)</f>
        <v>5.5</v>
      </c>
      <c r="H268" s="11">
        <f>+Tabla110345345445545647910813511217229914621425740196199[[#This Row],[Costo]]*Tabla110345345445545647910813511217229914621425740196199[[#This Row],[Columna2]]</f>
        <v>9.1684999999999999</v>
      </c>
      <c r="I268" s="4"/>
      <c r="J268" s="17" t="s">
        <v>10</v>
      </c>
      <c r="K268" s="18">
        <v>74000</v>
      </c>
    </row>
    <row r="269" spans="2:11" x14ac:dyDescent="0.3">
      <c r="B269" s="21" t="s">
        <v>413</v>
      </c>
      <c r="C269" s="8" t="s">
        <v>188</v>
      </c>
      <c r="D269" s="9">
        <v>80</v>
      </c>
      <c r="E269" s="9">
        <v>0</v>
      </c>
      <c r="F269" s="9">
        <v>80</v>
      </c>
      <c r="G269" s="10">
        <f>+VLOOKUP(Tabla110345345445545647910813511217229914621425740196199[[#This Row],[Ingrediente]],Tabla34[#All],3,0)</f>
        <v>17.00824742</v>
      </c>
      <c r="H269" s="11">
        <f>+Tabla110345345445545647910813511217229914621425740196199[[#This Row],[Costo]]*Tabla110345345445545647910813511217229914621425740196199[[#This Row],[Columna2]]</f>
        <v>1360.6597936000001</v>
      </c>
      <c r="I269" s="4"/>
      <c r="J269" s="5" t="s">
        <v>11</v>
      </c>
      <c r="K269" s="12">
        <f>+K268/1.08*0.08</f>
        <v>5481.4814814814808</v>
      </c>
    </row>
    <row r="270" spans="2:11" x14ac:dyDescent="0.3">
      <c r="B270" s="7" t="s">
        <v>388</v>
      </c>
      <c r="C270" s="8" t="s">
        <v>570</v>
      </c>
      <c r="D270" s="9">
        <v>4</v>
      </c>
      <c r="E270" s="9">
        <v>0</v>
      </c>
      <c r="F270" s="9">
        <v>4</v>
      </c>
      <c r="G270" s="10">
        <f>+VLOOKUP(Tabla110345345445545647910813511217229914621425740196199[[#This Row],[Ingrediente]],Tabla34[#All],3,0)</f>
        <v>1300</v>
      </c>
      <c r="H270" s="11">
        <f>+Tabla110345345445545647910813511217229914621425740196199[[#This Row],[Costo]]*Tabla110345345445545647910813511217229914621425740196199[[#This Row],[Columna2]]</f>
        <v>5200</v>
      </c>
      <c r="I270" s="4"/>
      <c r="J270" s="5" t="s">
        <v>12</v>
      </c>
      <c r="K270" s="12">
        <f>+K268-K269</f>
        <v>68518.518518518526</v>
      </c>
    </row>
    <row r="271" spans="2:11" x14ac:dyDescent="0.3">
      <c r="B271" s="7" t="s">
        <v>443</v>
      </c>
      <c r="C271" s="8" t="s">
        <v>188</v>
      </c>
      <c r="D271" s="9">
        <v>1</v>
      </c>
      <c r="E271" s="9">
        <v>0</v>
      </c>
      <c r="F271" s="9">
        <v>1</v>
      </c>
      <c r="G271" s="10">
        <f>+VLOOKUP(Tabla110345345445545647910813511217229914621425740196199[[#This Row],[Ingrediente]],Tabla34[#All],3,0)</f>
        <v>94.613741530000013</v>
      </c>
      <c r="H271" s="11">
        <f>+Tabla110345345445545647910813511217229914621425740196199[[#This Row],[Costo]]*Tabla110345345445545647910813511217229914621425740196199[[#This Row],[Columna2]]</f>
        <v>94.613741530000013</v>
      </c>
      <c r="I271" s="4"/>
      <c r="J271" s="5" t="s">
        <v>13</v>
      </c>
      <c r="K271" s="19">
        <f>+K267/K270</f>
        <v>0.36515570622523391</v>
      </c>
    </row>
    <row r="272" spans="2:11" x14ac:dyDescent="0.3">
      <c r="B272" s="7" t="s">
        <v>482</v>
      </c>
      <c r="C272" s="8" t="s">
        <v>188</v>
      </c>
      <c r="D272" s="9">
        <v>2</v>
      </c>
      <c r="E272" s="9">
        <v>0</v>
      </c>
      <c r="F272" s="9">
        <v>2</v>
      </c>
      <c r="G272" s="10">
        <f>+VLOOKUP(Tabla110345345445545647910813511217229914621425740196199[[#This Row],[Ingrediente]],Tabla34[#All],3,0)</f>
        <v>2.6999075600000002</v>
      </c>
      <c r="H272" s="11">
        <f>+Tabla110345345445545647910813511217229914621425740196199[[#This Row],[Costo]]*Tabla110345345445545647910813511217229914621425740196199[[#This Row],[Columna2]]</f>
        <v>5.3998151200000004</v>
      </c>
      <c r="I272" s="4"/>
      <c r="J272" s="5" t="s">
        <v>14</v>
      </c>
      <c r="K272" s="20">
        <f>+K270-K267</f>
        <v>43498.590499382124</v>
      </c>
    </row>
    <row r="273" spans="2:11" x14ac:dyDescent="0.3">
      <c r="B273" s="7" t="s">
        <v>528</v>
      </c>
      <c r="C273" s="8" t="s">
        <v>188</v>
      </c>
      <c r="D273" s="9">
        <v>200</v>
      </c>
      <c r="E273" s="9">
        <v>0</v>
      </c>
      <c r="F273" s="9">
        <v>200</v>
      </c>
      <c r="G273" s="10">
        <f>+VLOOKUP(Tabla110345345445545647910813511217229914621425740196199[[#This Row],[Ingrediente]],Tabla34[#All],3,0)</f>
        <v>4.8201292200000001</v>
      </c>
      <c r="H273" s="11">
        <f>+Tabla110345345445545647910813511217229914621425740196199[[#This Row],[Costo]]*Tabla110345345445545647910813511217229914621425740196199[[#This Row],[Columna2]]</f>
        <v>964.02584400000001</v>
      </c>
      <c r="I273" s="4"/>
      <c r="J273" s="5" t="s">
        <v>15</v>
      </c>
      <c r="K273" s="22">
        <f>+K272/K267</f>
        <v>1.7385577794673264</v>
      </c>
    </row>
    <row r="274" spans="2:11" x14ac:dyDescent="0.3">
      <c r="B274" s="7" t="s">
        <v>226</v>
      </c>
      <c r="C274" s="8" t="s">
        <v>188</v>
      </c>
      <c r="D274" s="9">
        <v>30</v>
      </c>
      <c r="E274" s="9">
        <v>0</v>
      </c>
      <c r="F274" s="9">
        <v>30</v>
      </c>
      <c r="G274" s="10">
        <f>+VLOOKUP(Tabla110345345445545647910813511217229914621425740196199[[#This Row],[Ingrediente]],Tabla34[#All],3,0)</f>
        <v>10.179495380000001</v>
      </c>
      <c r="H274" s="11">
        <f>+Tabla110345345445545647910813511217229914621425740196199[[#This Row],[Costo]]*Tabla110345345445545647910813511217229914621425740196199[[#This Row],[Columna2]]</f>
        <v>305.38486140000003</v>
      </c>
      <c r="I274" s="4"/>
      <c r="J274" s="4"/>
      <c r="K274" s="29"/>
    </row>
    <row r="275" spans="2:11" x14ac:dyDescent="0.3">
      <c r="B275" s="7" t="s">
        <v>559</v>
      </c>
      <c r="C275" s="8" t="s">
        <v>188</v>
      </c>
      <c r="D275" s="9">
        <v>300</v>
      </c>
      <c r="E275" s="9">
        <v>0</v>
      </c>
      <c r="F275" s="9">
        <v>300</v>
      </c>
      <c r="G275" s="10">
        <f>+VLOOKUP(Tabla110345345445545647910813511217229914621425740196199[[#This Row],[Ingrediente]],Tabla34[#All],3,0)</f>
        <v>8.2163994999999996</v>
      </c>
      <c r="H275" s="11">
        <f>+Tabla110345345445545647910813511217229914621425740196199[[#This Row],[Costo]]*Tabla110345345445545647910813511217229914621425740196199[[#This Row],[Columna2]]</f>
        <v>2464.9198499999998</v>
      </c>
      <c r="I275" s="4"/>
      <c r="J275" s="4"/>
      <c r="K275" s="29"/>
    </row>
    <row r="276" spans="2:11" x14ac:dyDescent="0.3">
      <c r="B276" s="7" t="s">
        <v>137</v>
      </c>
      <c r="C276" s="8" t="s">
        <v>188</v>
      </c>
      <c r="D276" s="9">
        <v>30</v>
      </c>
      <c r="E276" s="9">
        <v>0</v>
      </c>
      <c r="F276" s="9">
        <v>30</v>
      </c>
      <c r="G276" s="10">
        <f>+VLOOKUP(Tabla110345345445545647910813511217229914621425740196199[[#This Row],[Ingrediente]],Tabla34[#All],3,0)</f>
        <v>11.13267572</v>
      </c>
      <c r="H276" s="11">
        <f>+Tabla110345345445545647910813511217229914621425740196199[[#This Row],[Costo]]*Tabla110345345445545647910813511217229914621425740196199[[#This Row],[Columna2]]</f>
        <v>333.98027159999998</v>
      </c>
      <c r="I276" s="4"/>
      <c r="J276" s="4"/>
      <c r="K276" s="29"/>
    </row>
    <row r="277" spans="2:11" x14ac:dyDescent="0.3">
      <c r="B277" s="7" t="s">
        <v>345</v>
      </c>
      <c r="C277" s="8" t="s">
        <v>570</v>
      </c>
      <c r="D277" s="9">
        <v>1</v>
      </c>
      <c r="E277" s="9">
        <v>0</v>
      </c>
      <c r="F277" s="9">
        <v>1</v>
      </c>
      <c r="G277" s="10">
        <f>+VLOOKUP(Tabla110345345445545647910813511217229914621425740196199[[#This Row],[Ingrediente]],Tabla34[#All],3,0)</f>
        <v>447.88979601</v>
      </c>
      <c r="H277" s="11">
        <f>+Tabla110345345445545647910813511217229914621425740196199[[#This Row],[Costo]]*Tabla110345345445545647910813511217229914621425740196199[[#This Row],[Columna2]]</f>
        <v>447.88979601</v>
      </c>
      <c r="I277" s="4"/>
      <c r="J277" s="4"/>
      <c r="K277" s="29"/>
    </row>
    <row r="278" spans="2:11" x14ac:dyDescent="0.3">
      <c r="B278" s="7" t="s">
        <v>92</v>
      </c>
      <c r="C278" s="8" t="s">
        <v>188</v>
      </c>
      <c r="D278" s="9">
        <v>5</v>
      </c>
      <c r="E278" s="9">
        <v>0</v>
      </c>
      <c r="F278" s="9">
        <v>5</v>
      </c>
      <c r="G278" s="10">
        <f>+VLOOKUP(Tabla110345345445545647910813511217229914621425740196199[[#This Row],[Ingrediente]],Tabla34[#All],3,0)</f>
        <v>10.625185460000001</v>
      </c>
      <c r="H278" s="11">
        <f>+Tabla110345345445545647910813511217229914621425740196199[[#This Row],[Costo]]*Tabla110345345445545647910813511217229914621425740196199[[#This Row],[Columna2]]</f>
        <v>53.125927300000001</v>
      </c>
      <c r="I278" s="4"/>
      <c r="J278" s="4"/>
      <c r="K278" s="29"/>
    </row>
    <row r="279" spans="2:11" x14ac:dyDescent="0.3">
      <c r="B279" s="7" t="s">
        <v>363</v>
      </c>
      <c r="C279" s="8" t="s">
        <v>570</v>
      </c>
      <c r="D279" s="9">
        <v>0.4</v>
      </c>
      <c r="E279" s="9">
        <v>0</v>
      </c>
      <c r="F279" s="9">
        <v>0.4</v>
      </c>
      <c r="G279" s="10">
        <f>+VLOOKUP(Tabla110345345445545647910813511217229914621425740196199[[#This Row],[Ingrediente]],Tabla34[#All],3,0)</f>
        <v>20955.187312270002</v>
      </c>
      <c r="H279" s="11">
        <f>+Tabla110345345445545647910813511217229914621425740196199[[#This Row],[Costo]]*Tabla110345345445545647910813511217229914621425740196199[[#This Row],[Columna2]]</f>
        <v>8382.0749249080018</v>
      </c>
      <c r="J279" s="4"/>
      <c r="K279" s="23"/>
    </row>
    <row r="280" spans="2:11" x14ac:dyDescent="0.3">
      <c r="B280" s="7" t="s">
        <v>533</v>
      </c>
      <c r="C280" s="8" t="s">
        <v>570</v>
      </c>
      <c r="D280" s="9">
        <v>1</v>
      </c>
      <c r="E280" s="9">
        <v>0</v>
      </c>
      <c r="F280" s="9">
        <v>1</v>
      </c>
      <c r="G280" s="10">
        <f>+VLOOKUP(Tabla110345345445545647910813511217229914621425740196199[[#This Row],[Ingrediente]],Tabla34[#All],3,0)</f>
        <v>4002.0382164999996</v>
      </c>
      <c r="H280" s="11">
        <f>+Tabla110345345445545647910813511217229914621425740196199[[#This Row],[Costo]]*Tabla110345345445545647910813511217229914621425740196199[[#This Row],[Columna2]]</f>
        <v>4002.0382164999996</v>
      </c>
    </row>
    <row r="281" spans="2:11" x14ac:dyDescent="0.3">
      <c r="B281" s="13"/>
      <c r="C281" s="14"/>
      <c r="D281" s="14"/>
      <c r="E281" s="14"/>
      <c r="F281" s="14"/>
      <c r="G281" s="15"/>
      <c r="H281" s="15">
        <f>SUBTOTAL(109,Tabla110345345445545647910813511217229914621425740196199[Total costo])</f>
        <v>23828.502875368002</v>
      </c>
    </row>
  </sheetData>
  <mergeCells count="14">
    <mergeCell ref="J242:K242"/>
    <mergeCell ref="J264:K264"/>
    <mergeCell ref="J216:K216"/>
    <mergeCell ref="J112:K112"/>
    <mergeCell ref="J6:K6"/>
    <mergeCell ref="J30:K30"/>
    <mergeCell ref="J55:K55"/>
    <mergeCell ref="J135:K135"/>
    <mergeCell ref="J75:K75"/>
    <mergeCell ref="J93:K93"/>
    <mergeCell ref="J188:K188"/>
    <mergeCell ref="J203:K203"/>
    <mergeCell ref="J152:K152"/>
    <mergeCell ref="J170:K170"/>
  </mergeCells>
  <phoneticPr fontId="20" type="noConversion"/>
  <conditionalFormatting sqref="K13">
    <cfRule type="cellIs" dxfId="561" priority="55" operator="lessThan">
      <formula>0.3</formula>
    </cfRule>
    <cfRule type="cellIs" dxfId="560" priority="56" operator="greaterThan">
      <formula>0.3</formula>
    </cfRule>
  </conditionalFormatting>
  <conditionalFormatting sqref="K37">
    <cfRule type="cellIs" dxfId="559" priority="35" operator="lessThan">
      <formula>0.3</formula>
    </cfRule>
    <cfRule type="cellIs" dxfId="558" priority="36" operator="greaterThan">
      <formula>0.3</formula>
    </cfRule>
  </conditionalFormatting>
  <conditionalFormatting sqref="K62">
    <cfRule type="cellIs" dxfId="557" priority="31" operator="lessThan">
      <formula>0.3</formula>
    </cfRule>
    <cfRule type="cellIs" dxfId="556" priority="32" operator="greaterThan">
      <formula>0.3</formula>
    </cfRule>
  </conditionalFormatting>
  <conditionalFormatting sqref="K82">
    <cfRule type="cellIs" dxfId="555" priority="29" operator="lessThan">
      <formula>0.3</formula>
    </cfRule>
    <cfRule type="cellIs" dxfId="554" priority="30" operator="greaterThan">
      <formula>0.3</formula>
    </cfRule>
  </conditionalFormatting>
  <conditionalFormatting sqref="K100">
    <cfRule type="cellIs" dxfId="553" priority="27" operator="lessThan">
      <formula>0.3</formula>
    </cfRule>
    <cfRule type="cellIs" dxfId="552" priority="28" operator="greaterThan">
      <formula>0.3</formula>
    </cfRule>
  </conditionalFormatting>
  <conditionalFormatting sqref="K119">
    <cfRule type="cellIs" dxfId="551" priority="25" operator="lessThan">
      <formula>0.3</formula>
    </cfRule>
    <cfRule type="cellIs" dxfId="550" priority="26" operator="greaterThan">
      <formula>0.3</formula>
    </cfRule>
  </conditionalFormatting>
  <conditionalFormatting sqref="K142">
    <cfRule type="cellIs" dxfId="549" priority="21" operator="lessThan">
      <formula>0.3</formula>
    </cfRule>
    <cfRule type="cellIs" dxfId="548" priority="22" operator="greaterThan">
      <formula>0.3</formula>
    </cfRule>
  </conditionalFormatting>
  <conditionalFormatting sqref="K159">
    <cfRule type="cellIs" dxfId="547" priority="19" operator="lessThan">
      <formula>0.3</formula>
    </cfRule>
    <cfRule type="cellIs" dxfId="546" priority="20" operator="greaterThan">
      <formula>0.3</formula>
    </cfRule>
  </conditionalFormatting>
  <conditionalFormatting sqref="K177">
    <cfRule type="cellIs" dxfId="545" priority="17" operator="lessThan">
      <formula>0.3</formula>
    </cfRule>
    <cfRule type="cellIs" dxfId="544" priority="18" operator="greaterThan">
      <formula>0.3</formula>
    </cfRule>
  </conditionalFormatting>
  <conditionalFormatting sqref="K195">
    <cfRule type="cellIs" dxfId="543" priority="11" operator="lessThan">
      <formula>0.3</formula>
    </cfRule>
    <cfRule type="cellIs" dxfId="542" priority="12" operator="greaterThan">
      <formula>0.3</formula>
    </cfRule>
  </conditionalFormatting>
  <conditionalFormatting sqref="K210">
    <cfRule type="cellIs" dxfId="541" priority="9" operator="lessThan">
      <formula>0.3</formula>
    </cfRule>
    <cfRule type="cellIs" dxfId="540" priority="10" operator="greaterThan">
      <formula>0.3</formula>
    </cfRule>
  </conditionalFormatting>
  <conditionalFormatting sqref="K223">
    <cfRule type="cellIs" dxfId="539" priority="5" operator="lessThan">
      <formula>0.3</formula>
    </cfRule>
    <cfRule type="cellIs" dxfId="538" priority="6" operator="greaterThan">
      <formula>0.3</formula>
    </cfRule>
  </conditionalFormatting>
  <conditionalFormatting sqref="K249">
    <cfRule type="cellIs" dxfId="537" priority="3" operator="lessThan">
      <formula>0.3</formula>
    </cfRule>
    <cfRule type="cellIs" dxfId="536" priority="4" operator="greaterThan">
      <formula>0.3</formula>
    </cfRule>
  </conditionalFormatting>
  <conditionalFormatting sqref="K271">
    <cfRule type="cellIs" dxfId="535" priority="1" operator="lessThan">
      <formula>0.3</formula>
    </cfRule>
    <cfRule type="cellIs" dxfId="534" priority="2" operator="greaterThan">
      <formula>0.3</formula>
    </cfRule>
  </conditionalFormatting>
  <pageMargins left="0.7" right="0.7" top="0.75" bottom="0.75" header="0.3" footer="0.3"/>
  <pageSetup orientation="portrait" horizontalDpi="1200" verticalDpi="1200" r:id="rId1"/>
  <drawing r:id="rId2"/>
  <tableParts count="14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3C9A8-07B5-4402-9BC7-220E45F6106A}">
  <dimension ref="B6:K283"/>
  <sheetViews>
    <sheetView showGridLines="0" topLeftCell="A259" zoomScale="96" zoomScaleNormal="96" workbookViewId="0">
      <selection activeCell="P268" sqref="P268"/>
    </sheetView>
  </sheetViews>
  <sheetFormatPr baseColWidth="10" defaultRowHeight="14.4" x14ac:dyDescent="0.3"/>
  <cols>
    <col min="1" max="1" width="6.33203125" customWidth="1"/>
    <col min="2" max="2" width="40.109375" bestFit="1" customWidth="1"/>
    <col min="3" max="6" width="7.77734375" customWidth="1"/>
    <col min="7" max="8" width="10.77734375" customWidth="1"/>
    <col min="9" max="9" width="3.77734375" customWidth="1"/>
    <col min="10" max="10" width="27.6640625" bestFit="1" customWidth="1"/>
  </cols>
  <sheetData>
    <row r="6" spans="2:11" x14ac:dyDescent="0.3">
      <c r="B6" s="1" t="s">
        <v>180</v>
      </c>
      <c r="C6" s="2"/>
      <c r="D6" s="2"/>
      <c r="E6" s="3"/>
      <c r="F6" s="3"/>
      <c r="G6" s="3"/>
      <c r="H6" s="3"/>
      <c r="I6" s="4"/>
      <c r="J6" s="277" t="s">
        <v>0</v>
      </c>
      <c r="K6" s="277"/>
    </row>
    <row r="7" spans="2:11" x14ac:dyDescent="0.3">
      <c r="B7" s="13" t="s">
        <v>1</v>
      </c>
      <c r="C7" s="14" t="s">
        <v>2</v>
      </c>
      <c r="D7" s="14" t="s">
        <v>3</v>
      </c>
      <c r="E7" s="14" t="s">
        <v>343</v>
      </c>
      <c r="F7" s="14" t="s">
        <v>585</v>
      </c>
      <c r="G7" s="28" t="s">
        <v>4</v>
      </c>
      <c r="H7" s="28" t="s">
        <v>5</v>
      </c>
      <c r="I7" s="4"/>
      <c r="J7" s="5" t="s">
        <v>6</v>
      </c>
      <c r="K7" s="6">
        <f>SUM(Tabla1103453454455456479108135112[Total costo])</f>
        <v>9434.3736044899997</v>
      </c>
    </row>
    <row r="8" spans="2:11" x14ac:dyDescent="0.3">
      <c r="B8" s="7" t="s">
        <v>156</v>
      </c>
      <c r="C8" s="8" t="s">
        <v>188</v>
      </c>
      <c r="D8" s="9">
        <v>30</v>
      </c>
      <c r="E8" s="9">
        <v>0</v>
      </c>
      <c r="F8" s="9">
        <v>30</v>
      </c>
      <c r="G8" s="10">
        <f>+VLOOKUP(Tabla1103453454455456479108135112[[#This Row],[Ingrediente]],Tabla34[#All],3,0)</f>
        <v>15.86411244</v>
      </c>
      <c r="H8" s="11">
        <f>+Tabla1103453454455456479108135112[[#This Row],[Costo]]*Tabla1103453454455456479108135112[[#This Row],[Columna2]]</f>
        <v>475.92337320000001</v>
      </c>
      <c r="I8" s="4"/>
      <c r="J8" s="5" t="s">
        <v>113</v>
      </c>
      <c r="K8" s="12">
        <f>+K7*5%</f>
        <v>471.71868022450002</v>
      </c>
    </row>
    <row r="9" spans="2:11" x14ac:dyDescent="0.3">
      <c r="B9" s="7" t="s">
        <v>482</v>
      </c>
      <c r="C9" s="8" t="s">
        <v>188</v>
      </c>
      <c r="D9" s="9">
        <v>1</v>
      </c>
      <c r="E9" s="9">
        <v>0</v>
      </c>
      <c r="F9" s="9">
        <v>1</v>
      </c>
      <c r="G9" s="10">
        <f>+VLOOKUP(Tabla1103453454455456479108135112[[#This Row],[Ingrediente]],Tabla34[#All],3,0)</f>
        <v>2.6999075600000002</v>
      </c>
      <c r="H9" s="11">
        <f>+Tabla1103453454455456479108135112[[#This Row],[Costo]]*Tabla1103453454455456479108135112[[#This Row],[Columna2]]</f>
        <v>2.6999075600000002</v>
      </c>
      <c r="I9" s="4"/>
      <c r="J9" s="5" t="s">
        <v>9</v>
      </c>
      <c r="K9" s="12">
        <f>+K7+K8</f>
        <v>9906.0922847144993</v>
      </c>
    </row>
    <row r="10" spans="2:11" x14ac:dyDescent="0.3">
      <c r="B10" s="21" t="s">
        <v>167</v>
      </c>
      <c r="C10" s="8" t="s">
        <v>188</v>
      </c>
      <c r="D10" s="9">
        <v>2</v>
      </c>
      <c r="E10" s="9">
        <v>0</v>
      </c>
      <c r="F10" s="9">
        <v>2</v>
      </c>
      <c r="G10" s="10">
        <f>+VLOOKUP(Tabla1103453454455456479108135112[[#This Row],[Ingrediente]],Tabla34[#All],3,0)</f>
        <v>4.5</v>
      </c>
      <c r="H10" s="11">
        <f>+Tabla1103453454455456479108135112[[#This Row],[Costo]]*Tabla1103453454455456479108135112[[#This Row],[Columna2]]</f>
        <v>9</v>
      </c>
      <c r="I10" s="4"/>
      <c r="J10" s="17" t="s">
        <v>10</v>
      </c>
      <c r="K10" s="18">
        <v>43000</v>
      </c>
    </row>
    <row r="11" spans="2:11" x14ac:dyDescent="0.3">
      <c r="B11" s="7" t="s">
        <v>90</v>
      </c>
      <c r="C11" s="8" t="s">
        <v>188</v>
      </c>
      <c r="D11" s="9">
        <v>20</v>
      </c>
      <c r="E11" s="9">
        <v>0</v>
      </c>
      <c r="F11" s="9">
        <v>20</v>
      </c>
      <c r="G11" s="10">
        <f>+VLOOKUP(Tabla1103453454455456479108135112[[#This Row],[Ingrediente]],Tabla34[#All],3,0)</f>
        <v>1.8699025499999999</v>
      </c>
      <c r="H11" s="11">
        <f>+Tabla1103453454455456479108135112[[#This Row],[Costo]]*Tabla1103453454455456479108135112[[#This Row],[Columna2]]</f>
        <v>37.398050999999995</v>
      </c>
      <c r="I11" s="4"/>
      <c r="J11" s="5" t="s">
        <v>11</v>
      </c>
      <c r="K11" s="12">
        <f>+K10/1.08*0.08</f>
        <v>3185.1851851851848</v>
      </c>
    </row>
    <row r="12" spans="2:11" x14ac:dyDescent="0.3">
      <c r="B12" s="7" t="s">
        <v>424</v>
      </c>
      <c r="C12" s="8" t="s">
        <v>349</v>
      </c>
      <c r="D12" s="9">
        <v>1</v>
      </c>
      <c r="E12" s="9">
        <v>0</v>
      </c>
      <c r="F12" s="9">
        <v>1</v>
      </c>
      <c r="G12" s="10">
        <f>+VLOOKUP(Tabla1103453454455456479108135112[[#This Row],[Ingrediente]],Tabla34[#All],3,0)</f>
        <v>2022.7272727299999</v>
      </c>
      <c r="H12" s="11">
        <f>+Tabla1103453454455456479108135112[[#This Row],[Costo]]*Tabla1103453454455456479108135112[[#This Row],[Columna2]]</f>
        <v>2022.7272727299999</v>
      </c>
      <c r="I12" s="4"/>
      <c r="J12" s="5" t="s">
        <v>12</v>
      </c>
      <c r="K12" s="12">
        <f>+K10-K11</f>
        <v>39814.814814814818</v>
      </c>
    </row>
    <row r="13" spans="2:11" x14ac:dyDescent="0.3">
      <c r="B13" s="21" t="s">
        <v>1217</v>
      </c>
      <c r="C13" s="8" t="s">
        <v>349</v>
      </c>
      <c r="D13" s="9">
        <v>2</v>
      </c>
      <c r="E13" s="9">
        <v>0</v>
      </c>
      <c r="F13" s="9">
        <v>2</v>
      </c>
      <c r="G13" s="10">
        <f>+VLOOKUP(Tabla1103453454455456479108135112[[#This Row],[Ingrediente]],Tabla34[#All],3,0)</f>
        <v>3443.3125</v>
      </c>
      <c r="H13" s="11">
        <f>+Tabla1103453454455456479108135112[[#This Row],[Costo]]*Tabla1103453454455456479108135112[[#This Row],[Columna2]]</f>
        <v>6886.625</v>
      </c>
      <c r="I13" s="4"/>
      <c r="J13" s="5" t="s">
        <v>13</v>
      </c>
      <c r="K13" s="19">
        <f>+K9/K12</f>
        <v>0.24880417831375951</v>
      </c>
    </row>
    <row r="14" spans="2:11" x14ac:dyDescent="0.3">
      <c r="B14" s="13"/>
      <c r="C14" s="14"/>
      <c r="D14" s="14"/>
      <c r="E14" s="14"/>
      <c r="F14" s="14"/>
      <c r="G14" s="15"/>
      <c r="H14" s="15">
        <f>SUBTOTAL(109,Tabla1103453454455456479108135112[Total costo])</f>
        <v>9434.3736044899997</v>
      </c>
      <c r="I14" s="4"/>
      <c r="J14" s="5" t="s">
        <v>14</v>
      </c>
      <c r="K14" s="20">
        <f>+K12-K9</f>
        <v>29908.72253010032</v>
      </c>
    </row>
    <row r="15" spans="2:11" x14ac:dyDescent="0.3">
      <c r="I15" s="4"/>
      <c r="J15" s="5" t="s">
        <v>15</v>
      </c>
      <c r="K15" s="22">
        <f>+K14/K9</f>
        <v>3.0192251061753872</v>
      </c>
    </row>
    <row r="17" spans="2:11" x14ac:dyDescent="0.3">
      <c r="B17" s="16" t="s">
        <v>875</v>
      </c>
      <c r="C17" s="2"/>
      <c r="D17" s="2"/>
      <c r="E17" s="3"/>
      <c r="F17" s="3"/>
      <c r="G17" s="3"/>
      <c r="H17" s="3"/>
      <c r="J17" s="277" t="s">
        <v>0</v>
      </c>
      <c r="K17" s="277"/>
    </row>
    <row r="18" spans="2:11" x14ac:dyDescent="0.3">
      <c r="B18" s="13" t="s">
        <v>1</v>
      </c>
      <c r="C18" s="14" t="s">
        <v>2</v>
      </c>
      <c r="D18" s="14" t="s">
        <v>343</v>
      </c>
      <c r="E18" s="14" t="s">
        <v>585</v>
      </c>
      <c r="F18" s="14" t="s">
        <v>3</v>
      </c>
      <c r="G18" s="28" t="s">
        <v>4</v>
      </c>
      <c r="H18" s="28" t="s">
        <v>5</v>
      </c>
      <c r="I18" s="4"/>
      <c r="J18" s="5" t="s">
        <v>6</v>
      </c>
      <c r="K18" s="6">
        <f>SUM(Tabla1103453454455456479108129136156[Total costo])</f>
        <v>11138.481273770001</v>
      </c>
    </row>
    <row r="19" spans="2:11" x14ac:dyDescent="0.3">
      <c r="B19" s="7" t="s">
        <v>156</v>
      </c>
      <c r="C19" s="8" t="s">
        <v>188</v>
      </c>
      <c r="D19" s="9">
        <v>20</v>
      </c>
      <c r="E19" s="9">
        <v>0</v>
      </c>
      <c r="F19" s="9">
        <v>20</v>
      </c>
      <c r="G19" s="10">
        <f>+VLOOKUP(Tabla1103453454455456479108129136156[[#This Row],[Ingrediente]],Tabla34[#All],3,0)</f>
        <v>15.86411244</v>
      </c>
      <c r="H19" s="11">
        <f>+Tabla1103453454455456479108129136156[[#This Row],[Costo]]*Tabla1103453454455456479108129136156[[#This Row],[Cant.]]</f>
        <v>317.28224879999999</v>
      </c>
      <c r="I19" s="4"/>
      <c r="J19" s="5" t="s">
        <v>113</v>
      </c>
      <c r="K19" s="12">
        <f>+K18*5%</f>
        <v>556.92406368850004</v>
      </c>
    </row>
    <row r="20" spans="2:11" x14ac:dyDescent="0.3">
      <c r="B20" s="7" t="s">
        <v>167</v>
      </c>
      <c r="C20" s="8" t="s">
        <v>188</v>
      </c>
      <c r="D20" s="9">
        <v>5</v>
      </c>
      <c r="E20" s="9">
        <v>0</v>
      </c>
      <c r="F20" s="9">
        <v>5</v>
      </c>
      <c r="G20" s="10">
        <f>+VLOOKUP(Tabla1103453454455456479108129136156[[#This Row],[Ingrediente]],Tabla34[#All],3,0)</f>
        <v>4.5</v>
      </c>
      <c r="H20" s="11">
        <f>+Tabla1103453454455456479108129136156[[#This Row],[Costo]]*Tabla1103453454455456479108129136156[[#This Row],[Cant.]]</f>
        <v>22.5</v>
      </c>
      <c r="I20" s="4"/>
      <c r="J20" s="5" t="s">
        <v>9</v>
      </c>
      <c r="K20" s="12">
        <f>+K18+K19</f>
        <v>11695.405337458502</v>
      </c>
    </row>
    <row r="21" spans="2:11" x14ac:dyDescent="0.3">
      <c r="B21" s="21" t="s">
        <v>90</v>
      </c>
      <c r="C21" s="8" t="s">
        <v>188</v>
      </c>
      <c r="D21" s="9">
        <v>10</v>
      </c>
      <c r="E21" s="9">
        <v>0</v>
      </c>
      <c r="F21" s="9">
        <v>10</v>
      </c>
      <c r="G21" s="10">
        <f>+VLOOKUP(Tabla1103453454455456479108129136156[[#This Row],[Ingrediente]],Tabla34[#All],3,0)</f>
        <v>1.8699025499999999</v>
      </c>
      <c r="H21" s="11">
        <f>+Tabla1103453454455456479108129136156[[#This Row],[Costo]]*Tabla1103453454455456479108129136156[[#This Row],[Cant.]]</f>
        <v>18.699025499999998</v>
      </c>
      <c r="I21" s="4"/>
      <c r="J21" s="17" t="s">
        <v>10</v>
      </c>
      <c r="K21" s="18">
        <v>39000</v>
      </c>
    </row>
    <row r="22" spans="2:11" x14ac:dyDescent="0.3">
      <c r="B22" s="21" t="s">
        <v>553</v>
      </c>
      <c r="C22" s="8" t="s">
        <v>188</v>
      </c>
      <c r="D22" s="9">
        <v>1.9999999799999999</v>
      </c>
      <c r="E22" s="9">
        <v>40</v>
      </c>
      <c r="F22" s="9">
        <v>3.3333333000000001</v>
      </c>
      <c r="G22" s="10">
        <f>+VLOOKUP(Tabla1103453454455456479108129136156[[#This Row],[Ingrediente]],Tabla34[#All],3,0)</f>
        <v>16</v>
      </c>
      <c r="H22" s="11">
        <f>+Tabla1103453454455456479108129136156[[#This Row],[Costo]]*Tabla1103453454455456479108129136156[[#This Row],[Cant.]]</f>
        <v>53.333332800000001</v>
      </c>
      <c r="I22" s="4"/>
      <c r="J22" s="5" t="s">
        <v>11</v>
      </c>
      <c r="K22" s="12">
        <f>+K21/1.08*0.08</f>
        <v>2888.8888888888887</v>
      </c>
    </row>
    <row r="23" spans="2:11" x14ac:dyDescent="0.3">
      <c r="B23" s="21" t="s">
        <v>1018</v>
      </c>
      <c r="C23" s="8" t="s">
        <v>349</v>
      </c>
      <c r="D23" s="9">
        <v>2</v>
      </c>
      <c r="E23" s="9">
        <v>0</v>
      </c>
      <c r="F23" s="9">
        <v>2</v>
      </c>
      <c r="G23" s="10">
        <f>+VLOOKUP(Tabla1103453454455456479108129136156[[#This Row],[Ingrediente]],Tabla34[#All],3,0)</f>
        <v>2796.5</v>
      </c>
      <c r="H23" s="11">
        <f>+Tabla1103453454455456479108129136156[[#This Row],[Costo]]*Tabla1103453454455456479108129136156[[#This Row],[Cant.]]</f>
        <v>5593</v>
      </c>
      <c r="I23" s="4"/>
      <c r="J23" s="5" t="s">
        <v>12</v>
      </c>
      <c r="K23" s="12">
        <f>+K21-K22</f>
        <v>36111.111111111109</v>
      </c>
    </row>
    <row r="24" spans="2:11" x14ac:dyDescent="0.3">
      <c r="B24" s="7" t="s">
        <v>390</v>
      </c>
      <c r="C24" s="8" t="s">
        <v>570</v>
      </c>
      <c r="D24" s="9">
        <v>1</v>
      </c>
      <c r="E24" s="9">
        <v>0</v>
      </c>
      <c r="F24" s="9">
        <v>1</v>
      </c>
      <c r="G24" s="10">
        <f>+VLOOKUP(Tabla1103453454455456479108129136156[[#This Row],[Ingrediente]],Tabla34[#All],3,0)</f>
        <v>5133.6666666700003</v>
      </c>
      <c r="H24" s="11">
        <f>+Tabla1103453454455456479108129136156[[#This Row],[Costo]]*Tabla1103453454455456479108129136156[[#This Row],[Cant.]]</f>
        <v>5133.6666666700003</v>
      </c>
      <c r="I24" s="4"/>
      <c r="J24" s="5" t="s">
        <v>13</v>
      </c>
      <c r="K24" s="19">
        <f>+K20/K23</f>
        <v>0.32387276319115854</v>
      </c>
    </row>
    <row r="25" spans="2:11" x14ac:dyDescent="0.3">
      <c r="B25" s="13"/>
      <c r="C25" s="14"/>
      <c r="D25" s="14"/>
      <c r="E25" s="14"/>
      <c r="F25" s="14"/>
      <c r="G25" s="15"/>
      <c r="H25" s="15">
        <f>SUBTOTAL(109,Tabla1103453454455456479108129136156[Total costo])</f>
        <v>11138.481273770001</v>
      </c>
      <c r="I25" s="4"/>
      <c r="J25" s="5" t="s">
        <v>14</v>
      </c>
      <c r="K25" s="20">
        <f>+K23-K20</f>
        <v>24415.705773652608</v>
      </c>
    </row>
    <row r="26" spans="2:11" x14ac:dyDescent="0.3">
      <c r="J26" s="5" t="s">
        <v>15</v>
      </c>
      <c r="K26" s="22">
        <f>+K25/K20</f>
        <v>2.0876322854286231</v>
      </c>
    </row>
    <row r="28" spans="2:11" x14ac:dyDescent="0.3">
      <c r="B28" s="16" t="s">
        <v>257</v>
      </c>
      <c r="C28" s="2"/>
      <c r="D28" s="2"/>
      <c r="E28" s="3"/>
      <c r="F28" s="3"/>
      <c r="G28" s="3"/>
      <c r="H28" s="3"/>
      <c r="J28" s="277" t="s">
        <v>0</v>
      </c>
      <c r="K28" s="277"/>
    </row>
    <row r="29" spans="2:11" x14ac:dyDescent="0.3">
      <c r="B29" s="13" t="s">
        <v>1</v>
      </c>
      <c r="C29" s="14" t="s">
        <v>2</v>
      </c>
      <c r="D29" s="14" t="s">
        <v>3</v>
      </c>
      <c r="E29" s="14" t="s">
        <v>343</v>
      </c>
      <c r="F29" s="14" t="s">
        <v>585</v>
      </c>
      <c r="G29" s="28" t="s">
        <v>4</v>
      </c>
      <c r="H29" s="28" t="s">
        <v>5</v>
      </c>
      <c r="I29" s="4"/>
      <c r="J29" s="5" t="s">
        <v>6</v>
      </c>
      <c r="K29" s="6">
        <f>SUM(Tabla110345345445545647910812913615689[Total costo])</f>
        <v>12478.458732769999</v>
      </c>
    </row>
    <row r="30" spans="2:11" x14ac:dyDescent="0.3">
      <c r="B30" s="7" t="s">
        <v>156</v>
      </c>
      <c r="C30" s="8" t="s">
        <v>188</v>
      </c>
      <c r="D30" s="9">
        <v>20</v>
      </c>
      <c r="E30" s="9">
        <v>0</v>
      </c>
      <c r="F30" s="9">
        <v>20</v>
      </c>
      <c r="G30" s="10">
        <f>+VLOOKUP(Tabla110345345445545647910812913615689[[#This Row],[Ingrediente]],Tabla34[#All],3,0)</f>
        <v>15.86411244</v>
      </c>
      <c r="H30" s="11">
        <f>+Tabla110345345445545647910812913615689[[#This Row],[Costo]]*Tabla110345345445545647910812913615689[[#This Row],[Columna2]]</f>
        <v>317.28224879999999</v>
      </c>
      <c r="I30" s="4"/>
      <c r="J30" s="5" t="s">
        <v>113</v>
      </c>
      <c r="K30" s="12">
        <f>+K29*5%</f>
        <v>623.9229366385</v>
      </c>
    </row>
    <row r="31" spans="2:11" x14ac:dyDescent="0.3">
      <c r="B31" s="7" t="s">
        <v>90</v>
      </c>
      <c r="C31" s="8" t="s">
        <v>188</v>
      </c>
      <c r="D31" s="9">
        <v>10</v>
      </c>
      <c r="E31" s="9">
        <v>0</v>
      </c>
      <c r="F31" s="9">
        <v>10</v>
      </c>
      <c r="G31" s="10">
        <f>+VLOOKUP(Tabla110345345445545647910812913615689[[#This Row],[Ingrediente]],Tabla34[#All],3,0)</f>
        <v>1.8699025499999999</v>
      </c>
      <c r="H31" s="11">
        <f>+Tabla110345345445545647910812913615689[[#This Row],[Costo]]*Tabla110345345445545647910812913615689[[#This Row],[Columna2]]</f>
        <v>18.699025499999998</v>
      </c>
      <c r="I31" s="4"/>
      <c r="J31" s="5" t="s">
        <v>9</v>
      </c>
      <c r="K31" s="12">
        <f>+K29+K30</f>
        <v>13102.3816694085</v>
      </c>
    </row>
    <row r="32" spans="2:11" x14ac:dyDescent="0.3">
      <c r="B32" s="21" t="s">
        <v>553</v>
      </c>
      <c r="C32" s="8" t="s">
        <v>188</v>
      </c>
      <c r="D32" s="9">
        <v>1.9999999799999999</v>
      </c>
      <c r="E32" s="9">
        <v>40</v>
      </c>
      <c r="F32" s="9">
        <v>3.3333333000000001</v>
      </c>
      <c r="G32" s="10">
        <f>+VLOOKUP(Tabla110345345445545647910812913615689[[#This Row],[Ingrediente]],Tabla34[#All],3,0)</f>
        <v>16</v>
      </c>
      <c r="H32" s="11">
        <f>+Tabla110345345445545647910812913615689[[#This Row],[Costo]]*Tabla110345345445545647910812913615689[[#This Row],[Columna2]]</f>
        <v>53.333332800000001</v>
      </c>
      <c r="I32" s="4"/>
      <c r="J32" s="17" t="s">
        <v>10</v>
      </c>
      <c r="K32" s="18">
        <v>39000</v>
      </c>
    </row>
    <row r="33" spans="2:11" x14ac:dyDescent="0.3">
      <c r="B33" s="21" t="s">
        <v>357</v>
      </c>
      <c r="C33" s="8" t="s">
        <v>188</v>
      </c>
      <c r="D33" s="9">
        <v>2</v>
      </c>
      <c r="E33" s="9">
        <v>0</v>
      </c>
      <c r="F33" s="9">
        <v>2</v>
      </c>
      <c r="G33" s="10">
        <f>+VLOOKUP(Tabla110345345445545647910812913615689[[#This Row],[Ingrediente]],Tabla34[#All],3,0)</f>
        <v>34.426229499999998</v>
      </c>
      <c r="H33" s="11">
        <f>+Tabla110345345445545647910812913615689[[#This Row],[Costo]]*Tabla110345345445545647910812913615689[[#This Row],[Columna2]]</f>
        <v>68.852458999999996</v>
      </c>
      <c r="I33" s="4"/>
      <c r="J33" s="5" t="s">
        <v>11</v>
      </c>
      <c r="K33" s="12">
        <f>+K32/1.08*0.08</f>
        <v>2888.8888888888887</v>
      </c>
    </row>
    <row r="34" spans="2:11" x14ac:dyDescent="0.3">
      <c r="B34" s="7" t="s">
        <v>390</v>
      </c>
      <c r="C34" s="8" t="s">
        <v>570</v>
      </c>
      <c r="D34" s="9">
        <v>1</v>
      </c>
      <c r="E34" s="9">
        <v>0</v>
      </c>
      <c r="F34" s="9">
        <v>1</v>
      </c>
      <c r="G34" s="10">
        <f>+VLOOKUP(Tabla110345345445545647910812913615689[[#This Row],[Ingrediente]],Tabla34[#All],3,0)</f>
        <v>5133.6666666700003</v>
      </c>
      <c r="H34" s="11">
        <f>+Tabla110345345445545647910812913615689[[#This Row],[Costo]]*Tabla110345345445545647910812913615689[[#This Row],[Columna2]]</f>
        <v>5133.6666666700003</v>
      </c>
      <c r="I34" s="4"/>
      <c r="J34" s="5" t="s">
        <v>12</v>
      </c>
      <c r="K34" s="12">
        <f>+K32-K33</f>
        <v>36111.111111111109</v>
      </c>
    </row>
    <row r="35" spans="2:11" x14ac:dyDescent="0.3">
      <c r="B35" s="7" t="s">
        <v>1217</v>
      </c>
      <c r="C35" s="8" t="s">
        <v>349</v>
      </c>
      <c r="D35" s="9">
        <v>2</v>
      </c>
      <c r="E35" s="9">
        <v>0</v>
      </c>
      <c r="F35" s="9">
        <v>2</v>
      </c>
      <c r="G35" s="10">
        <f>+VLOOKUP(Tabla110345345445545647910812913615689[[#This Row],[Ingrediente]],Tabla34[#All],3,0)</f>
        <v>3443.3125</v>
      </c>
      <c r="H35" s="11">
        <f>+Tabla110345345445545647910812913615689[[#This Row],[Costo]]*Tabla110345345445545647910812913615689[[#This Row],[Columna2]]</f>
        <v>6886.625</v>
      </c>
      <c r="I35" s="4"/>
      <c r="J35" s="5" t="s">
        <v>13</v>
      </c>
      <c r="K35" s="19">
        <f>+K31/K34</f>
        <v>0.36283518469131232</v>
      </c>
    </row>
    <row r="36" spans="2:11" x14ac:dyDescent="0.3">
      <c r="B36" s="13"/>
      <c r="C36" s="14"/>
      <c r="D36" s="14"/>
      <c r="E36" s="14"/>
      <c r="F36" s="14"/>
      <c r="G36" s="15"/>
      <c r="H36" s="15">
        <f>SUBTOTAL(109,Tabla110345345445545647910812913615689[Total costo])</f>
        <v>12478.458732769999</v>
      </c>
      <c r="I36" s="4"/>
      <c r="J36" s="5" t="s">
        <v>14</v>
      </c>
      <c r="K36" s="20">
        <f>+K34-K31</f>
        <v>23008.72944170261</v>
      </c>
    </row>
    <row r="37" spans="2:11" x14ac:dyDescent="0.3">
      <c r="J37" s="5" t="s">
        <v>15</v>
      </c>
      <c r="K37" s="22">
        <f>+K36/K31</f>
        <v>1.756072294506845</v>
      </c>
    </row>
    <row r="38" spans="2:11" x14ac:dyDescent="0.3">
      <c r="H38" s="4"/>
      <c r="I38" s="29"/>
    </row>
    <row r="39" spans="2:11" x14ac:dyDescent="0.3">
      <c r="H39" s="4"/>
      <c r="I39" s="29"/>
    </row>
    <row r="40" spans="2:11" x14ac:dyDescent="0.3">
      <c r="H40" s="4"/>
      <c r="I40" s="29"/>
    </row>
    <row r="42" spans="2:11" x14ac:dyDescent="0.3">
      <c r="B42" s="16" t="s">
        <v>874</v>
      </c>
      <c r="C42" s="2"/>
      <c r="D42" s="2"/>
      <c r="E42" s="3"/>
      <c r="F42" s="3"/>
      <c r="G42" s="3"/>
      <c r="H42" s="3"/>
      <c r="J42" s="277" t="s">
        <v>0</v>
      </c>
      <c r="K42" s="277"/>
    </row>
    <row r="43" spans="2:11" x14ac:dyDescent="0.3">
      <c r="B43" s="13" t="s">
        <v>1</v>
      </c>
      <c r="C43" s="14" t="s">
        <v>2</v>
      </c>
      <c r="D43" s="14" t="s">
        <v>3</v>
      </c>
      <c r="E43" s="14" t="s">
        <v>343</v>
      </c>
      <c r="F43" s="14" t="s">
        <v>585</v>
      </c>
      <c r="G43" s="28" t="s">
        <v>4</v>
      </c>
      <c r="H43" s="28" t="s">
        <v>5</v>
      </c>
      <c r="I43" s="4"/>
      <c r="J43" s="5" t="s">
        <v>6</v>
      </c>
      <c r="K43" s="6">
        <f>SUM(Tabla1103453454455456479108130137157[Total costo])</f>
        <v>12616.932041591001</v>
      </c>
    </row>
    <row r="44" spans="2:11" x14ac:dyDescent="0.3">
      <c r="B44" s="7" t="s">
        <v>660</v>
      </c>
      <c r="C44" s="8" t="s">
        <v>349</v>
      </c>
      <c r="D44" s="9">
        <v>2</v>
      </c>
      <c r="E44" s="9">
        <v>0</v>
      </c>
      <c r="F44" s="9">
        <v>2</v>
      </c>
      <c r="G44" s="10">
        <f>+VLOOKUP(Tabla1103453454455456479108130137157[[#This Row],[Ingrediente]],Tabla34[#All],3,0)</f>
        <v>5291.6666666700003</v>
      </c>
      <c r="H44" s="11">
        <f>+Tabla1103453454455456479108130137157[[#This Row],[Costo]]*Tabla1103453454455456479108130137157[[#This Row],[Columna2]]</f>
        <v>10583.333333340001</v>
      </c>
      <c r="I44" s="4"/>
      <c r="J44" s="5" t="s">
        <v>113</v>
      </c>
      <c r="K44" s="12">
        <f>+K43*5%</f>
        <v>630.84660207955005</v>
      </c>
    </row>
    <row r="45" spans="2:11" x14ac:dyDescent="0.3">
      <c r="B45" s="21" t="s">
        <v>167</v>
      </c>
      <c r="C45" s="8" t="s">
        <v>188</v>
      </c>
      <c r="D45" s="9">
        <v>2</v>
      </c>
      <c r="E45" s="9">
        <v>0</v>
      </c>
      <c r="F45" s="9">
        <v>2</v>
      </c>
      <c r="G45" s="10">
        <f>+VLOOKUP(Tabla1103453454455456479108130137157[[#This Row],[Ingrediente]],Tabla34[#All],3,0)</f>
        <v>4.5</v>
      </c>
      <c r="H45" s="11">
        <f>+Tabla1103453454455456479108130137157[[#This Row],[Costo]]*Tabla1103453454455456479108130137157[[#This Row],[Columna2]]</f>
        <v>9</v>
      </c>
      <c r="I45" s="4"/>
      <c r="J45" s="5" t="s">
        <v>9</v>
      </c>
      <c r="K45" s="12">
        <f>+K43+K44</f>
        <v>13247.77864367055</v>
      </c>
    </row>
    <row r="46" spans="2:11" x14ac:dyDescent="0.3">
      <c r="B46" s="7" t="s">
        <v>90</v>
      </c>
      <c r="C46" s="8" t="s">
        <v>188</v>
      </c>
      <c r="D46" s="9">
        <v>15</v>
      </c>
      <c r="E46" s="9">
        <v>0</v>
      </c>
      <c r="F46" s="9">
        <v>15</v>
      </c>
      <c r="G46" s="10">
        <f>+VLOOKUP(Tabla1103453454455456479108130137157[[#This Row],[Ingrediente]],Tabla34[#All],3,0)</f>
        <v>1.8699025499999999</v>
      </c>
      <c r="H46" s="11">
        <f>+Tabla1103453454455456479108130137157[[#This Row],[Costo]]*Tabla1103453454455456479108130137157[[#This Row],[Columna2]]</f>
        <v>28.04853825</v>
      </c>
      <c r="I46" s="4"/>
      <c r="J46" s="17" t="s">
        <v>10</v>
      </c>
      <c r="K46" s="18">
        <v>44500</v>
      </c>
    </row>
    <row r="47" spans="2:11" x14ac:dyDescent="0.3">
      <c r="B47" s="21" t="s">
        <v>553</v>
      </c>
      <c r="C47" s="8" t="s">
        <v>188</v>
      </c>
      <c r="D47" s="9">
        <v>12</v>
      </c>
      <c r="E47" s="9">
        <v>40</v>
      </c>
      <c r="F47" s="9">
        <v>20</v>
      </c>
      <c r="G47" s="10">
        <f>+VLOOKUP(Tabla1103453454455456479108130137157[[#This Row],[Ingrediente]],Tabla34[#All],3,0)</f>
        <v>16</v>
      </c>
      <c r="H47" s="11">
        <f>+Tabla1103453454455456479108130137157[[#This Row],[Costo]]*Tabla1103453454455456479108130137157[[#This Row],[Columna2]]</f>
        <v>320</v>
      </c>
      <c r="I47" s="4"/>
      <c r="J47" s="5" t="s">
        <v>11</v>
      </c>
      <c r="K47" s="12">
        <f>+K46/1.08*0.08</f>
        <v>3296.2962962962961</v>
      </c>
    </row>
    <row r="48" spans="2:11" x14ac:dyDescent="0.3">
      <c r="B48" s="7" t="s">
        <v>410</v>
      </c>
      <c r="C48" s="8" t="s">
        <v>570</v>
      </c>
      <c r="D48" s="213">
        <v>0.3</v>
      </c>
      <c r="E48" s="9">
        <v>0</v>
      </c>
      <c r="F48" s="9">
        <v>0.3</v>
      </c>
      <c r="G48" s="10">
        <f>+VLOOKUP(Tabla1103453454455456479108130137157[[#This Row],[Ingrediente]],Tabla34[#All],3,0)</f>
        <v>1497.5916666700002</v>
      </c>
      <c r="H48" s="11">
        <f>+Tabla1103453454455456479108130137157[[#This Row],[Costo]]*Tabla1103453454455456479108130137157[[#This Row],[Columna2]]</f>
        <v>449.27750000100008</v>
      </c>
      <c r="I48" s="4"/>
      <c r="J48" s="5" t="s">
        <v>12</v>
      </c>
      <c r="K48" s="12">
        <f>+K46-K47</f>
        <v>41203.703703703701</v>
      </c>
    </row>
    <row r="49" spans="2:11" x14ac:dyDescent="0.3">
      <c r="B49" s="21" t="s">
        <v>536</v>
      </c>
      <c r="C49" s="8" t="s">
        <v>188</v>
      </c>
      <c r="D49" s="9">
        <v>59.999997200000003</v>
      </c>
      <c r="E49" s="9">
        <v>78</v>
      </c>
      <c r="F49" s="9">
        <v>272.72726</v>
      </c>
      <c r="G49" s="10">
        <f>+VLOOKUP(Tabla1103453454455456479108130137157[[#This Row],[Ingrediente]],Tabla34[#All],3,0)</f>
        <v>4.5</v>
      </c>
      <c r="H49" s="11">
        <f>+Tabla1103453454455456479108130137157[[#This Row],[Costo]]*Tabla1103453454455456479108130137157[[#This Row],[Columna2]]</f>
        <v>1227.2726700000001</v>
      </c>
      <c r="I49" s="4"/>
      <c r="J49" s="5" t="s">
        <v>13</v>
      </c>
      <c r="K49" s="19">
        <f>+K45/K48</f>
        <v>0.32151912213852124</v>
      </c>
    </row>
    <row r="50" spans="2:11" x14ac:dyDescent="0.3">
      <c r="B50" s="13"/>
      <c r="C50" s="14"/>
      <c r="D50" s="14"/>
      <c r="E50" s="14"/>
      <c r="F50" s="14"/>
      <c r="G50" s="15"/>
      <c r="H50" s="15">
        <f>SUBTOTAL(109,Tabla1103453454455456479108130137157[Total costo])</f>
        <v>12616.932041591001</v>
      </c>
      <c r="I50" s="4"/>
      <c r="J50" s="5" t="s">
        <v>14</v>
      </c>
      <c r="K50" s="20">
        <f>+K48-K45</f>
        <v>27955.925060033151</v>
      </c>
    </row>
    <row r="51" spans="2:11" x14ac:dyDescent="0.3">
      <c r="G51" s="4"/>
      <c r="H51" s="4"/>
      <c r="I51" s="4"/>
      <c r="J51" s="5" t="s">
        <v>15</v>
      </c>
      <c r="K51" s="22">
        <f>+K50/K45</f>
        <v>2.1102349165072876</v>
      </c>
    </row>
    <row r="52" spans="2:11" x14ac:dyDescent="0.3">
      <c r="G52" s="4"/>
      <c r="H52" s="4"/>
      <c r="I52" s="23"/>
    </row>
    <row r="53" spans="2:11" x14ac:dyDescent="0.3">
      <c r="G53" s="4"/>
      <c r="H53" s="4"/>
      <c r="I53" s="23"/>
    </row>
    <row r="54" spans="2:11" x14ac:dyDescent="0.3">
      <c r="B54" s="1" t="s">
        <v>171</v>
      </c>
      <c r="C54" s="2"/>
      <c r="D54" s="2"/>
      <c r="E54" s="3"/>
      <c r="F54" s="3"/>
      <c r="G54" s="3"/>
      <c r="H54" s="3"/>
      <c r="I54" s="4"/>
      <c r="J54" s="102" t="s">
        <v>0</v>
      </c>
      <c r="K54" s="102"/>
    </row>
    <row r="55" spans="2:11" x14ac:dyDescent="0.3">
      <c r="B55" s="13" t="s">
        <v>1</v>
      </c>
      <c r="C55" s="14" t="s">
        <v>2</v>
      </c>
      <c r="D55" s="14" t="s">
        <v>3</v>
      </c>
      <c r="E55" s="14" t="s">
        <v>343</v>
      </c>
      <c r="F55" s="14" t="s">
        <v>585</v>
      </c>
      <c r="G55" s="28" t="s">
        <v>4</v>
      </c>
      <c r="H55" s="28" t="s">
        <v>5</v>
      </c>
      <c r="I55" s="24"/>
      <c r="J55" s="5" t="s">
        <v>6</v>
      </c>
      <c r="K55" s="6">
        <f>SUM(Tabla1103453454455456479108131138166[Total costo])</f>
        <v>11320.8054166805</v>
      </c>
    </row>
    <row r="56" spans="2:11" x14ac:dyDescent="0.3">
      <c r="B56" s="7" t="s">
        <v>501</v>
      </c>
      <c r="C56" s="8" t="s">
        <v>188</v>
      </c>
      <c r="D56" s="9">
        <v>15</v>
      </c>
      <c r="E56" s="9">
        <v>0</v>
      </c>
      <c r="F56" s="9">
        <v>15</v>
      </c>
      <c r="G56" s="10">
        <f>+VLOOKUP(Tabla1103453454455456479108131138166[[#This Row],[Ingrediente]],Tabla34[#All],3,0)</f>
        <v>2.6</v>
      </c>
      <c r="H56" s="11">
        <f>+Tabla1103453454455456479108131138166[[#This Row],[Costo]]*Tabla1103453454455456479108131138166[[#This Row],[Columna2]]</f>
        <v>39</v>
      </c>
      <c r="J56" s="5" t="s">
        <v>113</v>
      </c>
      <c r="K56" s="12">
        <f>+K55*5%</f>
        <v>566.04027083402502</v>
      </c>
    </row>
    <row r="57" spans="2:11" x14ac:dyDescent="0.3">
      <c r="B57" s="21" t="s">
        <v>534</v>
      </c>
      <c r="C57" s="8" t="s">
        <v>188</v>
      </c>
      <c r="D57" s="9">
        <v>150</v>
      </c>
      <c r="E57" s="9">
        <v>0</v>
      </c>
      <c r="F57" s="9">
        <v>150</v>
      </c>
      <c r="G57" s="10">
        <f>+VLOOKUP(Tabla1103453454455456479108131138166[[#This Row],[Ingrediente]],Tabla34[#All],3,0)</f>
        <v>1</v>
      </c>
      <c r="H57" s="11">
        <f>+Tabla1103453454455456479108131138166[[#This Row],[Costo]]*Tabla1103453454455456479108131138166[[#This Row],[Columna2]]</f>
        <v>150</v>
      </c>
      <c r="J57" s="5" t="s">
        <v>9</v>
      </c>
      <c r="K57" s="12">
        <f>+K55+K56</f>
        <v>11886.845687514524</v>
      </c>
    </row>
    <row r="58" spans="2:11" x14ac:dyDescent="0.3">
      <c r="B58" s="7" t="s">
        <v>410</v>
      </c>
      <c r="C58" s="8" t="s">
        <v>570</v>
      </c>
      <c r="D58" s="214">
        <v>0.15</v>
      </c>
      <c r="E58" s="9">
        <v>0</v>
      </c>
      <c r="F58" s="9">
        <v>0.15</v>
      </c>
      <c r="G58" s="10">
        <f>+VLOOKUP(Tabla1103453454455456479108131138166[[#This Row],[Ingrediente]],Tabla34[#All],3,0)</f>
        <v>1497.5916666700002</v>
      </c>
      <c r="H58" s="11">
        <f>+Tabla1103453454455456479108131138166[[#This Row],[Costo]]*Tabla1103453454455456479108131138166[[#This Row],[Columna2]]</f>
        <v>224.63875000050004</v>
      </c>
      <c r="J58" s="17" t="s">
        <v>10</v>
      </c>
      <c r="K58" s="18">
        <v>39000</v>
      </c>
    </row>
    <row r="59" spans="2:11" x14ac:dyDescent="0.3">
      <c r="B59" s="21" t="s">
        <v>344</v>
      </c>
      <c r="C59" s="8" t="s">
        <v>349</v>
      </c>
      <c r="D59" s="9">
        <v>2</v>
      </c>
      <c r="E59" s="9">
        <v>0</v>
      </c>
      <c r="F59" s="9">
        <v>2</v>
      </c>
      <c r="G59" s="10">
        <f>+VLOOKUP(Tabla1103453454455456479108131138166[[#This Row],[Ingrediente]],Tabla34[#All],3,0)</f>
        <v>2036.91666667</v>
      </c>
      <c r="H59" s="11">
        <f>+Tabla1103453454455456479108131138166[[#This Row],[Costo]]*Tabla1103453454455456479108131138166[[#This Row],[Columna2]]</f>
        <v>4073.8333333400001</v>
      </c>
      <c r="J59" s="5" t="s">
        <v>11</v>
      </c>
      <c r="K59" s="12">
        <f>+K58/1.08*0.08</f>
        <v>2888.8888888888887</v>
      </c>
    </row>
    <row r="60" spans="2:11" x14ac:dyDescent="0.3">
      <c r="B60" s="7" t="s">
        <v>435</v>
      </c>
      <c r="C60" s="8" t="s">
        <v>349</v>
      </c>
      <c r="D60" s="9">
        <v>2</v>
      </c>
      <c r="E60" s="9">
        <v>0</v>
      </c>
      <c r="F60" s="9">
        <v>2</v>
      </c>
      <c r="G60" s="10">
        <f>+VLOOKUP(Tabla1103453454455456479108131138166[[#This Row],[Ingrediente]],Tabla34[#All],3,0)</f>
        <v>3416.6666666699998</v>
      </c>
      <c r="H60" s="11">
        <f>+Tabla1103453454455456479108131138166[[#This Row],[Costo]]*Tabla1103453454455456479108131138166[[#This Row],[Columna2]]</f>
        <v>6833.3333333399996</v>
      </c>
      <c r="J60" s="5" t="s">
        <v>12</v>
      </c>
      <c r="K60" s="12">
        <f>+K58-K59</f>
        <v>36111.111111111109</v>
      </c>
    </row>
    <row r="61" spans="2:11" x14ac:dyDescent="0.3">
      <c r="B61" s="13"/>
      <c r="C61" s="14"/>
      <c r="D61" s="14"/>
      <c r="E61" s="14"/>
      <c r="F61" s="14"/>
      <c r="G61" s="15"/>
      <c r="H61" s="15">
        <f>SUBTOTAL(109,Tabla1103453454455456479108131138166[Total costo])</f>
        <v>11320.8054166805</v>
      </c>
      <c r="I61" s="4"/>
      <c r="J61" s="5" t="s">
        <v>13</v>
      </c>
      <c r="K61" s="19">
        <f>+K57/K60</f>
        <v>0.32917418826963296</v>
      </c>
    </row>
    <row r="62" spans="2:11" x14ac:dyDescent="0.3">
      <c r="I62" s="4"/>
      <c r="J62" s="5" t="s">
        <v>14</v>
      </c>
      <c r="K62" s="20">
        <f>+K60-K57</f>
        <v>24224.265423596586</v>
      </c>
    </row>
    <row r="63" spans="2:11" x14ac:dyDescent="0.3">
      <c r="J63" s="5" t="s">
        <v>15</v>
      </c>
      <c r="K63" s="22">
        <f>+K62/K57</f>
        <v>2.0379052660741448</v>
      </c>
    </row>
    <row r="64" spans="2:11" x14ac:dyDescent="0.3">
      <c r="G64" s="4"/>
      <c r="H64" s="4"/>
      <c r="I64" s="23"/>
    </row>
    <row r="65" spans="2:11" x14ac:dyDescent="0.3">
      <c r="G65" s="4"/>
    </row>
    <row r="66" spans="2:11" x14ac:dyDescent="0.3">
      <c r="G66" s="4"/>
    </row>
    <row r="67" spans="2:11" x14ac:dyDescent="0.3">
      <c r="B67" s="1" t="s">
        <v>172</v>
      </c>
      <c r="C67" s="2"/>
      <c r="D67" s="2"/>
      <c r="E67" s="3"/>
      <c r="F67" s="3"/>
      <c r="G67" s="3"/>
      <c r="H67" s="3"/>
      <c r="I67" s="4"/>
      <c r="J67" s="102" t="s">
        <v>0</v>
      </c>
      <c r="K67" s="102"/>
    </row>
    <row r="68" spans="2:11" x14ac:dyDescent="0.3">
      <c r="B68" s="13" t="s">
        <v>1</v>
      </c>
      <c r="C68" s="14" t="s">
        <v>2</v>
      </c>
      <c r="D68" s="14" t="s">
        <v>3</v>
      </c>
      <c r="E68" s="14" t="s">
        <v>343</v>
      </c>
      <c r="F68" s="14" t="s">
        <v>585</v>
      </c>
      <c r="G68" s="28" t="s">
        <v>4</v>
      </c>
      <c r="H68" s="28" t="s">
        <v>5</v>
      </c>
      <c r="I68" s="4"/>
      <c r="J68" s="5" t="s">
        <v>6</v>
      </c>
      <c r="K68" s="6">
        <f>SUM(Tabla1103453454455456479108133140168[Total costo])</f>
        <v>13373.22989904</v>
      </c>
    </row>
    <row r="69" spans="2:11" x14ac:dyDescent="0.3">
      <c r="B69" s="7" t="s">
        <v>524</v>
      </c>
      <c r="C69" s="8" t="s">
        <v>188</v>
      </c>
      <c r="D69" s="9">
        <v>1</v>
      </c>
      <c r="E69" s="9">
        <v>0</v>
      </c>
      <c r="F69" s="9">
        <v>1</v>
      </c>
      <c r="G69" s="10">
        <f>+VLOOKUP(Tabla1103453454455456479108133140168[[#This Row],[Ingrediente]],Tabla34[#All],3,0)</f>
        <v>362.45906571</v>
      </c>
      <c r="H69" s="11">
        <f>+Tabla1103453454455456479108133140168[[#This Row],[Costo]]*Tabla1103453454455456479108133140168[[#This Row],[Columna2]]</f>
        <v>362.45906571</v>
      </c>
      <c r="I69" s="4"/>
      <c r="J69" s="5" t="s">
        <v>113</v>
      </c>
      <c r="K69" s="12">
        <f>+K68*5%</f>
        <v>668.661494952</v>
      </c>
    </row>
    <row r="70" spans="2:11" x14ac:dyDescent="0.3">
      <c r="B70" s="21" t="s">
        <v>501</v>
      </c>
      <c r="C70" s="8" t="s">
        <v>188</v>
      </c>
      <c r="D70" s="9">
        <v>10</v>
      </c>
      <c r="E70" s="9">
        <v>0</v>
      </c>
      <c r="F70" s="9">
        <v>10</v>
      </c>
      <c r="G70" s="10">
        <f>+VLOOKUP(Tabla1103453454455456479108133140168[[#This Row],[Ingrediente]],Tabla34[#All],3,0)</f>
        <v>2.6</v>
      </c>
      <c r="H70" s="11">
        <f>+Tabla1103453454455456479108133140168[[#This Row],[Costo]]*Tabla1103453454455456479108133140168[[#This Row],[Columna2]]</f>
        <v>26</v>
      </c>
      <c r="I70" s="4"/>
      <c r="J70" s="5" t="s">
        <v>9</v>
      </c>
      <c r="K70" s="12">
        <f>+K68+K69</f>
        <v>14041.891393992</v>
      </c>
    </row>
    <row r="71" spans="2:11" x14ac:dyDescent="0.3">
      <c r="B71" s="7" t="s">
        <v>534</v>
      </c>
      <c r="C71" s="8" t="s">
        <v>188</v>
      </c>
      <c r="D71" s="9">
        <v>80</v>
      </c>
      <c r="E71" s="9">
        <v>0</v>
      </c>
      <c r="F71" s="9">
        <v>80</v>
      </c>
      <c r="G71" s="10">
        <f>+VLOOKUP(Tabla1103453454455456479108133140168[[#This Row],[Ingrediente]],Tabla34[#All],3,0)</f>
        <v>1</v>
      </c>
      <c r="H71" s="11">
        <f>+Tabla1103453454455456479108133140168[[#This Row],[Costo]]*Tabla1103453454455456479108133140168[[#This Row],[Columna2]]</f>
        <v>80</v>
      </c>
      <c r="I71" s="4"/>
      <c r="J71" s="17" t="s">
        <v>10</v>
      </c>
      <c r="K71" s="18">
        <v>44000</v>
      </c>
    </row>
    <row r="72" spans="2:11" x14ac:dyDescent="0.3">
      <c r="B72" s="7" t="s">
        <v>429</v>
      </c>
      <c r="C72" s="8" t="s">
        <v>349</v>
      </c>
      <c r="D72" s="9">
        <v>1</v>
      </c>
      <c r="E72" s="9">
        <v>0</v>
      </c>
      <c r="F72" s="9">
        <v>1</v>
      </c>
      <c r="G72" s="10">
        <f>+VLOOKUP(Tabla1103453454455456479108133140168[[#This Row],[Ingrediente]],Tabla34[#All],3,0)</f>
        <v>2627.6875</v>
      </c>
      <c r="H72" s="11">
        <f>+Tabla1103453454455456479108133140168[[#This Row],[Costo]]*Tabla1103453454455456479108133140168[[#This Row],[Columna2]]</f>
        <v>2627.6875</v>
      </c>
      <c r="I72" s="4"/>
      <c r="J72" s="5" t="s">
        <v>11</v>
      </c>
      <c r="K72" s="12">
        <f>+K71/1.08*0.08</f>
        <v>3259.2592592592591</v>
      </c>
    </row>
    <row r="73" spans="2:11" x14ac:dyDescent="0.3">
      <c r="B73" s="21" t="s">
        <v>162</v>
      </c>
      <c r="C73" s="8" t="s">
        <v>349</v>
      </c>
      <c r="D73" s="9">
        <v>1</v>
      </c>
      <c r="E73" s="9">
        <v>0</v>
      </c>
      <c r="F73" s="9">
        <v>1</v>
      </c>
      <c r="G73" s="10">
        <f>+VLOOKUP(Tabla1103453454455456479108133140168[[#This Row],[Ingrediente]],Tabla34[#All],3,0)</f>
        <v>4089.5833333300002</v>
      </c>
      <c r="H73" s="11">
        <f>+Tabla1103453454455456479108133140168[[#This Row],[Costo]]*Tabla1103453454455456479108133140168[[#This Row],[Columna2]]</f>
        <v>4089.5833333300002</v>
      </c>
      <c r="I73" s="4"/>
      <c r="J73" s="5" t="s">
        <v>12</v>
      </c>
      <c r="K73" s="12">
        <f>+K71-K72</f>
        <v>40740.740740740745</v>
      </c>
    </row>
    <row r="74" spans="2:11" x14ac:dyDescent="0.3">
      <c r="B74" s="21" t="s">
        <v>664</v>
      </c>
      <c r="C74" s="8" t="s">
        <v>349</v>
      </c>
      <c r="D74" s="9">
        <v>1</v>
      </c>
      <c r="E74" s="9">
        <v>0</v>
      </c>
      <c r="F74" s="9">
        <v>1</v>
      </c>
      <c r="G74" s="10">
        <f>+VLOOKUP(Tabla1103453454455456479108133140168[[#This Row],[Ingrediente]],Tabla34[#All],3,0)</f>
        <v>6187.5</v>
      </c>
      <c r="H74" s="11">
        <f>+Tabla1103453454455456479108133140168[[#This Row],[Costo]]*Tabla1103453454455456479108133140168[[#This Row],[Columna2]]</f>
        <v>6187.5</v>
      </c>
      <c r="I74" s="24"/>
      <c r="J74" s="5" t="s">
        <v>13</v>
      </c>
      <c r="K74" s="19">
        <f>+K70/K73</f>
        <v>0.34466460694343998</v>
      </c>
    </row>
    <row r="75" spans="2:11" x14ac:dyDescent="0.3">
      <c r="B75" s="13"/>
      <c r="C75" s="14"/>
      <c r="D75" s="14"/>
      <c r="E75" s="14"/>
      <c r="F75" s="14"/>
      <c r="G75" s="15"/>
      <c r="H75" s="15">
        <f>SUBTOTAL(109,Tabla1103453454455456479108133140168[Total costo])</f>
        <v>13373.22989904</v>
      </c>
      <c r="J75" s="5" t="s">
        <v>14</v>
      </c>
      <c r="K75" s="20">
        <f>+K73-K70</f>
        <v>26698.849346748742</v>
      </c>
    </row>
    <row r="76" spans="2:11" x14ac:dyDescent="0.3">
      <c r="J76" s="5" t="s">
        <v>15</v>
      </c>
      <c r="K76" s="22">
        <f>+K75/K70</f>
        <v>1.9013713037384821</v>
      </c>
    </row>
    <row r="77" spans="2:11" x14ac:dyDescent="0.3">
      <c r="H77" s="4"/>
      <c r="I77" s="23"/>
    </row>
    <row r="78" spans="2:11" x14ac:dyDescent="0.3">
      <c r="H78" s="4"/>
      <c r="I78" s="23"/>
    </row>
    <row r="79" spans="2:11" x14ac:dyDescent="0.3">
      <c r="B79" s="1" t="s">
        <v>175</v>
      </c>
      <c r="C79" s="2"/>
      <c r="D79" s="2"/>
      <c r="E79" s="3"/>
      <c r="F79" s="3"/>
      <c r="G79" s="3"/>
      <c r="H79" s="3"/>
      <c r="J79" s="102" t="s">
        <v>0</v>
      </c>
      <c r="K79" s="102"/>
    </row>
    <row r="80" spans="2:11" x14ac:dyDescent="0.3">
      <c r="B80" s="13" t="s">
        <v>1</v>
      </c>
      <c r="C80" s="14" t="s">
        <v>2</v>
      </c>
      <c r="D80" s="14" t="s">
        <v>3</v>
      </c>
      <c r="E80" s="14" t="s">
        <v>343</v>
      </c>
      <c r="F80" s="14" t="s">
        <v>585</v>
      </c>
      <c r="G80" s="28" t="s">
        <v>4</v>
      </c>
      <c r="H80" s="28" t="s">
        <v>5</v>
      </c>
      <c r="I80" s="4"/>
      <c r="J80" s="5" t="s">
        <v>6</v>
      </c>
      <c r="K80" s="6">
        <f>SUM(Tabla1103453454455456479108134141171[Total costo])</f>
        <v>12082.072498878002</v>
      </c>
    </row>
    <row r="81" spans="2:11" x14ac:dyDescent="0.3">
      <c r="B81" s="7" t="s">
        <v>403</v>
      </c>
      <c r="C81" s="8" t="s">
        <v>188</v>
      </c>
      <c r="D81" s="9">
        <v>3</v>
      </c>
      <c r="E81" s="9">
        <v>0</v>
      </c>
      <c r="F81" s="9">
        <v>3</v>
      </c>
      <c r="G81" s="10">
        <f>+VLOOKUP(Tabla1103453454455456479108134141171[[#This Row],[Ingrediente]],Tabla34[#All],3,0)</f>
        <v>482.66183940000002</v>
      </c>
      <c r="H81" s="11">
        <f>+Tabla1103453454455456479108134141171[[#This Row],[Costo]]*Tabla1103453454455456479108134141171[[#This Row],[Columna2]]</f>
        <v>1447.9855182000001</v>
      </c>
      <c r="I81" s="4"/>
      <c r="J81" s="5" t="s">
        <v>113</v>
      </c>
      <c r="K81" s="12">
        <f>+K80*5%</f>
        <v>604.10362494390017</v>
      </c>
    </row>
    <row r="82" spans="2:11" x14ac:dyDescent="0.3">
      <c r="B82" s="7" t="s">
        <v>501</v>
      </c>
      <c r="C82" s="8" t="s">
        <v>188</v>
      </c>
      <c r="D82" s="9">
        <v>2</v>
      </c>
      <c r="E82" s="9">
        <v>0</v>
      </c>
      <c r="F82" s="9">
        <v>2</v>
      </c>
      <c r="G82" s="10">
        <f>+VLOOKUP(Tabla1103453454455456479108134141171[[#This Row],[Ingrediente]],Tabla34[#All],3,0)</f>
        <v>2.6</v>
      </c>
      <c r="H82" s="11">
        <f>+Tabla1103453454455456479108134141171[[#This Row],[Costo]]*Tabla1103453454455456479108134141171[[#This Row],[Columna2]]</f>
        <v>5.2</v>
      </c>
      <c r="I82" s="4"/>
      <c r="J82" s="5" t="s">
        <v>9</v>
      </c>
      <c r="K82" s="12">
        <f>+K80+K81</f>
        <v>12686.176123821902</v>
      </c>
    </row>
    <row r="83" spans="2:11" x14ac:dyDescent="0.3">
      <c r="B83" s="21" t="s">
        <v>90</v>
      </c>
      <c r="C83" s="8" t="s">
        <v>188</v>
      </c>
      <c r="D83" s="9">
        <v>10</v>
      </c>
      <c r="E83" s="9">
        <v>0</v>
      </c>
      <c r="F83" s="9">
        <v>10</v>
      </c>
      <c r="G83" s="10">
        <f>+VLOOKUP(Tabla1103453454455456479108134141171[[#This Row],[Ingrediente]],Tabla34[#All],3,0)</f>
        <v>1.8699025499999999</v>
      </c>
      <c r="H83" s="11">
        <f>+Tabla1103453454455456479108134141171[[#This Row],[Costo]]*Tabla1103453454455456479108134141171[[#This Row],[Columna2]]</f>
        <v>18.699025499999998</v>
      </c>
      <c r="I83" s="4"/>
      <c r="J83" s="17" t="s">
        <v>10</v>
      </c>
      <c r="K83" s="18">
        <v>43900</v>
      </c>
    </row>
    <row r="84" spans="2:11" x14ac:dyDescent="0.3">
      <c r="B84" s="21" t="s">
        <v>534</v>
      </c>
      <c r="C84" s="8" t="s">
        <v>188</v>
      </c>
      <c r="D84" s="9">
        <v>140</v>
      </c>
      <c r="E84" s="9">
        <v>0</v>
      </c>
      <c r="F84" s="9">
        <v>140</v>
      </c>
      <c r="G84" s="10">
        <f>+VLOOKUP(Tabla1103453454455456479108134141171[[#This Row],[Ingrediente]],Tabla34[#All],3,0)</f>
        <v>1</v>
      </c>
      <c r="H84" s="11">
        <f>+Tabla1103453454455456479108134141171[[#This Row],[Costo]]*Tabla1103453454455456479108134141171[[#This Row],[Columna2]]</f>
        <v>140</v>
      </c>
      <c r="I84" s="4"/>
      <c r="J84" s="5" t="s">
        <v>11</v>
      </c>
      <c r="K84" s="12">
        <f>+K83/1.08*0.08</f>
        <v>3251.8518518518517</v>
      </c>
    </row>
    <row r="85" spans="2:11" x14ac:dyDescent="0.3">
      <c r="B85" s="21" t="s">
        <v>414</v>
      </c>
      <c r="C85" s="8" t="s">
        <v>188</v>
      </c>
      <c r="D85" s="9">
        <v>15</v>
      </c>
      <c r="E85" s="9">
        <v>0</v>
      </c>
      <c r="F85" s="9">
        <v>15</v>
      </c>
      <c r="G85" s="10">
        <f>+VLOOKUP(Tabla1103453454455456479108134141171[[#This Row],[Ingrediente]],Tabla34[#All],3,0)</f>
        <v>31.81697479</v>
      </c>
      <c r="H85" s="11">
        <f>+Tabla1103453454455456479108134141171[[#This Row],[Costo]]*Tabla1103453454455456479108134141171[[#This Row],[Columna2]]</f>
        <v>477.25462184999998</v>
      </c>
      <c r="I85" s="4"/>
      <c r="J85" s="5" t="s">
        <v>12</v>
      </c>
      <c r="K85" s="12">
        <f>+K83-K84</f>
        <v>40648.148148148146</v>
      </c>
    </row>
    <row r="86" spans="2:11" x14ac:dyDescent="0.3">
      <c r="B86" s="7" t="s">
        <v>454</v>
      </c>
      <c r="C86" s="8" t="s">
        <v>349</v>
      </c>
      <c r="D86" s="9">
        <v>1.6</v>
      </c>
      <c r="E86" s="9">
        <v>0</v>
      </c>
      <c r="F86" s="9">
        <v>1.6</v>
      </c>
      <c r="G86" s="10">
        <f>+VLOOKUP(Tabla1103453454455456479108134141171[[#This Row],[Ingrediente]],Tabla34[#All],3,0)</f>
        <v>6245.5833333299997</v>
      </c>
      <c r="H86" s="11">
        <f>+Tabla1103453454455456479108134141171[[#This Row],[Costo]]*Tabla1103453454455456479108134141171[[#This Row],[Columna2]]</f>
        <v>9992.933333328001</v>
      </c>
      <c r="I86" s="4"/>
      <c r="J86" s="5" t="s">
        <v>13</v>
      </c>
      <c r="K86" s="19">
        <f>+K82/K85</f>
        <v>0.31209727138331789</v>
      </c>
    </row>
    <row r="87" spans="2:11" x14ac:dyDescent="0.3">
      <c r="B87" s="13"/>
      <c r="C87" s="14"/>
      <c r="D87" s="14"/>
      <c r="E87" s="14"/>
      <c r="F87" s="14"/>
      <c r="G87" s="15"/>
      <c r="H87" s="15">
        <f>SUBTOTAL(109,Tabla1103453454455456479108134141171[Total costo])</f>
        <v>12082.072498878002</v>
      </c>
      <c r="I87" s="4"/>
      <c r="J87" s="5" t="s">
        <v>14</v>
      </c>
      <c r="K87" s="20">
        <f>+K85-K82</f>
        <v>27961.972024326242</v>
      </c>
    </row>
    <row r="88" spans="2:11" x14ac:dyDescent="0.3">
      <c r="G88" s="4"/>
      <c r="H88" s="4"/>
      <c r="I88" s="4"/>
      <c r="J88" s="5" t="s">
        <v>15</v>
      </c>
      <c r="K88" s="22">
        <f>+K87/K82</f>
        <v>2.2041292625458424</v>
      </c>
    </row>
    <row r="89" spans="2:11" x14ac:dyDescent="0.3">
      <c r="G89" s="4"/>
      <c r="H89" s="4"/>
      <c r="I89" s="23"/>
    </row>
    <row r="90" spans="2:11" x14ac:dyDescent="0.3">
      <c r="B90" s="1" t="s">
        <v>705</v>
      </c>
      <c r="C90" s="2"/>
      <c r="D90" s="2"/>
      <c r="E90" s="3"/>
      <c r="F90" s="3"/>
      <c r="G90" s="3"/>
      <c r="H90" s="3"/>
      <c r="I90" s="23"/>
      <c r="J90" s="102" t="s">
        <v>0</v>
      </c>
      <c r="K90" s="102"/>
    </row>
    <row r="91" spans="2:11" x14ac:dyDescent="0.3">
      <c r="B91" s="13" t="s">
        <v>1</v>
      </c>
      <c r="C91" s="14" t="s">
        <v>2</v>
      </c>
      <c r="D91" s="14" t="s">
        <v>3</v>
      </c>
      <c r="E91" s="14" t="s">
        <v>343</v>
      </c>
      <c r="F91" s="14" t="s">
        <v>585</v>
      </c>
      <c r="G91" s="28" t="s">
        <v>4</v>
      </c>
      <c r="H91" s="28" t="s">
        <v>5</v>
      </c>
      <c r="I91" s="4"/>
      <c r="J91" s="5" t="s">
        <v>6</v>
      </c>
      <c r="K91" s="6">
        <f>SUM(Tabla1103453454455456479108134141171251[Total costo])</f>
        <v>13360.282500000001</v>
      </c>
    </row>
    <row r="92" spans="2:11" x14ac:dyDescent="0.3">
      <c r="B92" s="7" t="s">
        <v>1022</v>
      </c>
      <c r="C92" s="8" t="s">
        <v>188</v>
      </c>
      <c r="D92" s="9">
        <v>15</v>
      </c>
      <c r="E92" s="9">
        <v>0</v>
      </c>
      <c r="F92" s="9">
        <v>15</v>
      </c>
      <c r="G92" s="10">
        <f>+VLOOKUP(Tabla1103453454455456479108134141171251[[#This Row],[Ingrediente]],Tabla34[#All],3,0)</f>
        <v>50.792000000000002</v>
      </c>
      <c r="H92" s="11">
        <f>+Tabla1103453454455456479108134141171251[[#This Row],[Costo]]*Tabla1103453454455456479108134141171251[[#This Row],[Columna2]]</f>
        <v>761.88</v>
      </c>
      <c r="I92" s="24"/>
      <c r="J92" s="5" t="s">
        <v>113</v>
      </c>
      <c r="K92" s="12">
        <f>+K91*5%</f>
        <v>668.01412500000015</v>
      </c>
    </row>
    <row r="93" spans="2:11" x14ac:dyDescent="0.3">
      <c r="B93" s="21" t="s">
        <v>445</v>
      </c>
      <c r="C93" s="8" t="s">
        <v>188</v>
      </c>
      <c r="D93" s="9">
        <v>15</v>
      </c>
      <c r="E93" s="9">
        <v>0</v>
      </c>
      <c r="F93" s="9">
        <v>15</v>
      </c>
      <c r="G93" s="10">
        <f>+VLOOKUP(Tabla1103453454455456479108134141171251[[#This Row],[Ingrediente]],Tabla34[#All],3,0)</f>
        <v>39.472999999999999</v>
      </c>
      <c r="H93" s="11">
        <f>+Tabla1103453454455456479108134141171251[[#This Row],[Costo]]*Tabla1103453454455456479108134141171251[[#This Row],[Columna2]]</f>
        <v>592.09500000000003</v>
      </c>
      <c r="J93" s="5" t="s">
        <v>9</v>
      </c>
      <c r="K93" s="12">
        <f>+K91+K92</f>
        <v>14028.296625000001</v>
      </c>
    </row>
    <row r="94" spans="2:11" x14ac:dyDescent="0.3">
      <c r="B94" s="7" t="s">
        <v>241</v>
      </c>
      <c r="C94" s="8" t="s">
        <v>349</v>
      </c>
      <c r="D94" s="9">
        <v>0.66</v>
      </c>
      <c r="E94" s="9">
        <v>0</v>
      </c>
      <c r="F94" s="9">
        <v>0.66</v>
      </c>
      <c r="G94" s="10">
        <f>+VLOOKUP(Tabla1103453454455456479108134141171251[[#This Row],[Ingrediente]],Tabla34[#All],3,0)</f>
        <v>2628.875</v>
      </c>
      <c r="H94" s="11">
        <f>+Tabla1103453454455456479108134141171251[[#This Row],[Costo]]*Tabla1103453454455456479108134141171251[[#This Row],[Columna2]]</f>
        <v>1735.0575000000001</v>
      </c>
      <c r="J94" s="17" t="s">
        <v>10</v>
      </c>
      <c r="K94" s="18">
        <v>42900</v>
      </c>
    </row>
    <row r="95" spans="2:11" x14ac:dyDescent="0.3">
      <c r="B95" s="21" t="s">
        <v>664</v>
      </c>
      <c r="C95" s="8" t="s">
        <v>349</v>
      </c>
      <c r="D95" s="9">
        <v>1.66</v>
      </c>
      <c r="E95" s="9">
        <v>0</v>
      </c>
      <c r="F95" s="9">
        <v>1.66</v>
      </c>
      <c r="G95" s="10">
        <f>+VLOOKUP(Tabla1103453454455456479108134141171251[[#This Row],[Ingrediente]],Tabla34[#All],3,0)</f>
        <v>6187.5</v>
      </c>
      <c r="H95" s="11">
        <f>+Tabla1103453454455456479108134141171251[[#This Row],[Costo]]*Tabla1103453454455456479108134141171251[[#This Row],[Columna2]]</f>
        <v>10271.25</v>
      </c>
      <c r="J95" s="5" t="s">
        <v>11</v>
      </c>
      <c r="K95" s="12">
        <f>+K94/1.08*0.08</f>
        <v>3177.7777777777774</v>
      </c>
    </row>
    <row r="96" spans="2:11" x14ac:dyDescent="0.3">
      <c r="B96" s="13"/>
      <c r="C96" s="14"/>
      <c r="D96" s="14"/>
      <c r="E96" s="14"/>
      <c r="F96" s="14"/>
      <c r="G96" s="15"/>
      <c r="H96" s="15">
        <f>SUBTOTAL(109,Tabla1103453454455456479108134141171251[Total costo])</f>
        <v>13360.282500000001</v>
      </c>
      <c r="J96" s="5" t="s">
        <v>12</v>
      </c>
      <c r="K96" s="12">
        <f>+K94-K95</f>
        <v>39722.222222222219</v>
      </c>
    </row>
    <row r="97" spans="2:11" x14ac:dyDescent="0.3">
      <c r="J97" s="5" t="s">
        <v>13</v>
      </c>
      <c r="K97" s="19">
        <f>+K93/K96</f>
        <v>0.35315991503496508</v>
      </c>
    </row>
    <row r="98" spans="2:11" x14ac:dyDescent="0.3">
      <c r="J98" s="5" t="s">
        <v>14</v>
      </c>
      <c r="K98" s="20">
        <f>+K96-K93</f>
        <v>25693.925597222216</v>
      </c>
    </row>
    <row r="99" spans="2:11" x14ac:dyDescent="0.3">
      <c r="I99" s="4"/>
      <c r="J99" s="5" t="s">
        <v>15</v>
      </c>
      <c r="K99" s="22">
        <f>+K98/K93</f>
        <v>1.8315784363607448</v>
      </c>
    </row>
    <row r="100" spans="2:11" x14ac:dyDescent="0.3">
      <c r="G100" s="4"/>
      <c r="H100" s="4"/>
      <c r="I100" s="4"/>
    </row>
    <row r="101" spans="2:11" x14ac:dyDescent="0.3">
      <c r="G101" s="4"/>
      <c r="H101" s="4"/>
      <c r="I101" s="23"/>
    </row>
    <row r="102" spans="2:11" x14ac:dyDescent="0.3">
      <c r="G102" s="4"/>
      <c r="H102" s="24"/>
      <c r="I102" s="23"/>
    </row>
    <row r="103" spans="2:11" x14ac:dyDescent="0.3">
      <c r="B103" s="1" t="s">
        <v>176</v>
      </c>
      <c r="C103" s="2"/>
      <c r="D103" s="2"/>
      <c r="E103" s="3"/>
      <c r="F103" s="3"/>
      <c r="G103" s="3"/>
      <c r="H103" s="3"/>
      <c r="I103" s="24"/>
      <c r="J103" s="102" t="s">
        <v>0</v>
      </c>
      <c r="K103" s="102"/>
    </row>
    <row r="104" spans="2:11" x14ac:dyDescent="0.3">
      <c r="B104" s="13" t="s">
        <v>1</v>
      </c>
      <c r="C104" s="14" t="s">
        <v>2</v>
      </c>
      <c r="D104" s="14" t="s">
        <v>3</v>
      </c>
      <c r="E104" s="14" t="s">
        <v>343</v>
      </c>
      <c r="F104" s="14" t="s">
        <v>585</v>
      </c>
      <c r="G104" s="28" t="s">
        <v>4</v>
      </c>
      <c r="H104" s="28" t="s">
        <v>5</v>
      </c>
      <c r="I104" s="4"/>
      <c r="J104" s="5" t="s">
        <v>6</v>
      </c>
      <c r="K104" s="6">
        <f>SUM(Tabla1103453454455456479108134141171252[Total costo])</f>
        <v>8952.0561742999998</v>
      </c>
    </row>
    <row r="105" spans="2:11" x14ac:dyDescent="0.3">
      <c r="B105" s="7" t="s">
        <v>242</v>
      </c>
      <c r="C105" s="8" t="s">
        <v>349</v>
      </c>
      <c r="D105" s="9">
        <v>0.5</v>
      </c>
      <c r="E105" s="9">
        <v>0</v>
      </c>
      <c r="F105" s="9">
        <v>0.5</v>
      </c>
      <c r="G105" s="10">
        <f>+VLOOKUP(Tabla1103453454455456479108134141171252[[#This Row],[Ingrediente]],Tabla34[#All],3,0)</f>
        <v>1742.6875</v>
      </c>
      <c r="H105" s="11">
        <f>+Tabla1103453454455456479108134141171252[[#This Row],[Costo]]*Tabla1103453454455456479108134141171252[[#This Row],[Columna2]]</f>
        <v>871.34375</v>
      </c>
      <c r="I105" s="4"/>
      <c r="J105" s="5" t="s">
        <v>113</v>
      </c>
      <c r="K105" s="12">
        <f>+K104*5%</f>
        <v>447.60280871500004</v>
      </c>
    </row>
    <row r="106" spans="2:11" x14ac:dyDescent="0.3">
      <c r="B106" s="21" t="s">
        <v>191</v>
      </c>
      <c r="C106" s="8" t="s">
        <v>349</v>
      </c>
      <c r="D106" s="214">
        <v>3.3000000000000002E-2</v>
      </c>
      <c r="E106" s="9">
        <v>0</v>
      </c>
      <c r="F106" s="9">
        <v>3.3000000000000002E-2</v>
      </c>
      <c r="G106" s="10">
        <f>+VLOOKUP(Tabla1103453454455456479108134141171252[[#This Row],[Ingrediente]],Tabla34[#All],3,0)</f>
        <v>4390</v>
      </c>
      <c r="H106" s="11">
        <f>+Tabla1103453454455456479108134141171252[[#This Row],[Costo]]*Tabla1103453454455456479108134141171252[[#This Row],[Columna2]]</f>
        <v>144.87</v>
      </c>
      <c r="I106" s="4"/>
      <c r="J106" s="5" t="s">
        <v>9</v>
      </c>
      <c r="K106" s="12">
        <f>+K104+K105</f>
        <v>9399.6589830150006</v>
      </c>
    </row>
    <row r="107" spans="2:11" x14ac:dyDescent="0.3">
      <c r="B107" s="7" t="s">
        <v>644</v>
      </c>
      <c r="C107" s="8" t="s">
        <v>188</v>
      </c>
      <c r="D107" s="9">
        <v>20</v>
      </c>
      <c r="E107" s="9">
        <v>0</v>
      </c>
      <c r="F107" s="9">
        <v>20</v>
      </c>
      <c r="G107" s="10">
        <f>+VLOOKUP(Tabla1103453454455456479108134141171252[[#This Row],[Ingrediente]],Tabla34[#All],3,0)</f>
        <v>47.896666670000002</v>
      </c>
      <c r="H107" s="11">
        <f>+Tabla1103453454455456479108134141171252[[#This Row],[Costo]]*Tabla1103453454455456479108134141171252[[#This Row],[Columna2]]</f>
        <v>957.93333340000004</v>
      </c>
      <c r="I107" s="4"/>
      <c r="J107" s="17" t="s">
        <v>10</v>
      </c>
      <c r="K107" s="18">
        <v>42900</v>
      </c>
    </row>
    <row r="108" spans="2:11" x14ac:dyDescent="0.3">
      <c r="B108" s="21" t="s">
        <v>58</v>
      </c>
      <c r="C108" s="8" t="s">
        <v>349</v>
      </c>
      <c r="D108" s="9">
        <v>0.5</v>
      </c>
      <c r="E108" s="9">
        <v>0</v>
      </c>
      <c r="F108" s="9">
        <v>0.5</v>
      </c>
      <c r="G108" s="10">
        <f>+VLOOKUP(Tabla1103453454455456479108134141171252[[#This Row],[Ingrediente]],Tabla34[#All],3,0)</f>
        <v>1594</v>
      </c>
      <c r="H108" s="11">
        <f>+Tabla1103453454455456479108134141171252[[#This Row],[Costo]]*Tabla1103453454455456479108134141171252[[#This Row],[Columna2]]</f>
        <v>797</v>
      </c>
      <c r="I108" s="4"/>
      <c r="J108" s="5" t="s">
        <v>11</v>
      </c>
      <c r="K108" s="12">
        <f>+K107/1.08*0.08</f>
        <v>3177.7777777777774</v>
      </c>
    </row>
    <row r="109" spans="2:11" x14ac:dyDescent="0.3">
      <c r="B109" s="7" t="s">
        <v>432</v>
      </c>
      <c r="C109" s="8" t="s">
        <v>349</v>
      </c>
      <c r="D109" s="9">
        <v>2</v>
      </c>
      <c r="E109" s="9">
        <v>0</v>
      </c>
      <c r="F109" s="9">
        <v>2</v>
      </c>
      <c r="G109" s="10">
        <f>+VLOOKUP(Tabla1103453454455456479108134141171252[[#This Row],[Ingrediente]],Tabla34[#All],3,0)</f>
        <v>3090.4545454499998</v>
      </c>
      <c r="H109" s="11">
        <f>+Tabla1103453454455456479108134141171252[[#This Row],[Costo]]*Tabla1103453454455456479108134141171252[[#This Row],[Columna2]]</f>
        <v>6180.9090908999997</v>
      </c>
      <c r="I109" s="4"/>
      <c r="J109" s="5" t="s">
        <v>12</v>
      </c>
      <c r="K109" s="12">
        <f>+K107-K108</f>
        <v>39722.222222222219</v>
      </c>
    </row>
    <row r="110" spans="2:11" x14ac:dyDescent="0.3">
      <c r="B110" s="13"/>
      <c r="C110" s="14"/>
      <c r="D110" s="14"/>
      <c r="E110" s="14"/>
      <c r="F110" s="14"/>
      <c r="G110" s="15"/>
      <c r="H110" s="15">
        <f>SUBTOTAL(109,Tabla1103453454455456479108134141171252[Total costo])</f>
        <v>8952.0561742999998</v>
      </c>
      <c r="I110" s="4"/>
      <c r="J110" s="5" t="s">
        <v>13</v>
      </c>
      <c r="K110" s="19">
        <f>+K106/K109</f>
        <v>0.23663477160037766</v>
      </c>
    </row>
    <row r="111" spans="2:11" x14ac:dyDescent="0.3">
      <c r="I111" s="24"/>
      <c r="J111" s="5" t="s">
        <v>14</v>
      </c>
      <c r="K111" s="20">
        <f>+K109-K106</f>
        <v>30322.563239207218</v>
      </c>
    </row>
    <row r="112" spans="2:11" x14ac:dyDescent="0.3">
      <c r="J112" s="5" t="s">
        <v>15</v>
      </c>
      <c r="K112" s="22">
        <f>+K111/K106</f>
        <v>3.2259216311995464</v>
      </c>
    </row>
    <row r="113" spans="2:11" x14ac:dyDescent="0.3">
      <c r="H113" s="4"/>
    </row>
    <row r="114" spans="2:11" x14ac:dyDescent="0.3">
      <c r="H114" s="4"/>
      <c r="I114" s="23"/>
    </row>
    <row r="115" spans="2:11" x14ac:dyDescent="0.3">
      <c r="B115" s="1" t="s">
        <v>177</v>
      </c>
      <c r="C115" s="2"/>
      <c r="D115" s="2"/>
      <c r="E115" s="3"/>
      <c r="F115" s="3"/>
      <c r="G115" s="3"/>
      <c r="H115" s="3"/>
      <c r="I115" s="23"/>
      <c r="J115" s="102" t="s">
        <v>0</v>
      </c>
      <c r="K115" s="102"/>
    </row>
    <row r="116" spans="2:11" x14ac:dyDescent="0.3">
      <c r="B116" s="13" t="s">
        <v>1</v>
      </c>
      <c r="C116" s="14" t="s">
        <v>2</v>
      </c>
      <c r="D116" s="14" t="s">
        <v>3</v>
      </c>
      <c r="E116" s="14" t="s">
        <v>343</v>
      </c>
      <c r="F116" s="14" t="s">
        <v>585</v>
      </c>
      <c r="G116" s="28" t="s">
        <v>4</v>
      </c>
      <c r="H116" s="28" t="s">
        <v>5</v>
      </c>
      <c r="J116" s="5" t="s">
        <v>6</v>
      </c>
      <c r="K116" s="6">
        <f>SUM(Tabla1103453454455456479108134141171253[Total costo])</f>
        <v>8783.7314344818005</v>
      </c>
    </row>
    <row r="117" spans="2:11" x14ac:dyDescent="0.3">
      <c r="B117" s="7" t="s">
        <v>243</v>
      </c>
      <c r="C117" s="8" t="s">
        <v>349</v>
      </c>
      <c r="D117" s="9">
        <v>1</v>
      </c>
      <c r="E117" s="9">
        <v>0</v>
      </c>
      <c r="F117" s="9">
        <v>1</v>
      </c>
      <c r="G117" s="10">
        <f>+VLOOKUP(Tabla1103453454455456479108134141171253[[#This Row],[Ingrediente]],Tabla34[#All],3,0)</f>
        <v>333</v>
      </c>
      <c r="H117" s="11">
        <f>+Tabla1103453454455456479108134141171253[[#This Row],[Costo]]*Tabla1103453454455456479108134141171253[[#This Row],[Columna2]]</f>
        <v>333</v>
      </c>
      <c r="I117" s="4"/>
      <c r="J117" s="5" t="s">
        <v>113</v>
      </c>
      <c r="K117" s="12">
        <f>+K116*5%</f>
        <v>439.18657172409007</v>
      </c>
    </row>
    <row r="118" spans="2:11" x14ac:dyDescent="0.3">
      <c r="B118" s="21" t="s">
        <v>156</v>
      </c>
      <c r="C118" s="8" t="s">
        <v>188</v>
      </c>
      <c r="D118" s="9">
        <v>15</v>
      </c>
      <c r="E118" s="9">
        <v>0</v>
      </c>
      <c r="F118" s="9">
        <v>15</v>
      </c>
      <c r="G118" s="10">
        <f>+VLOOKUP(Tabla1103453454455456479108134141171253[[#This Row],[Ingrediente]],Tabla34[#All],3,0)</f>
        <v>15.86411244</v>
      </c>
      <c r="H118" s="11">
        <f>+Tabla1103453454455456479108134141171253[[#This Row],[Costo]]*Tabla1103453454455456479108134141171253[[#This Row],[Columna2]]</f>
        <v>237.96168660000001</v>
      </c>
      <c r="I118" s="4"/>
      <c r="J118" s="5" t="s">
        <v>9</v>
      </c>
      <c r="K118" s="12">
        <f>+K116+K117</f>
        <v>9222.9180062058913</v>
      </c>
    </row>
    <row r="119" spans="2:11" x14ac:dyDescent="0.3">
      <c r="B119" s="7" t="s">
        <v>501</v>
      </c>
      <c r="C119" s="8" t="s">
        <v>188</v>
      </c>
      <c r="D119" s="9">
        <v>0.99999998999999995</v>
      </c>
      <c r="E119" s="9">
        <v>70</v>
      </c>
      <c r="F119" s="9">
        <v>3.3333333000000001</v>
      </c>
      <c r="G119" s="10">
        <f>+VLOOKUP(Tabla1103453454455456479108134141171253[[#This Row],[Ingrediente]],Tabla34[#All],3,0)</f>
        <v>2.6</v>
      </c>
      <c r="H119" s="11">
        <f>+Tabla1103453454455456479108134141171253[[#This Row],[Costo]]*Tabla1103453454455456479108134141171253[[#This Row],[Columna2]]</f>
        <v>8.6666665800000011</v>
      </c>
      <c r="I119" s="4"/>
      <c r="J119" s="17" t="s">
        <v>10</v>
      </c>
      <c r="K119" s="18">
        <v>39000</v>
      </c>
    </row>
    <row r="120" spans="2:11" x14ac:dyDescent="0.3">
      <c r="B120" s="21" t="s">
        <v>414</v>
      </c>
      <c r="C120" s="8" t="s">
        <v>188</v>
      </c>
      <c r="D120" s="9">
        <v>10</v>
      </c>
      <c r="E120" s="9">
        <v>0</v>
      </c>
      <c r="F120" s="9">
        <v>10</v>
      </c>
      <c r="G120" s="10">
        <f>+VLOOKUP(Tabla1103453454455456479108134141171253[[#This Row],[Ingrediente]],Tabla34[#All],3,0)</f>
        <v>31.81697479</v>
      </c>
      <c r="H120" s="11">
        <f>+Tabla1103453454455456479108134141171253[[#This Row],[Costo]]*Tabla1103453454455456479108134141171253[[#This Row],[Columna2]]</f>
        <v>318.1697479</v>
      </c>
      <c r="I120" s="4"/>
      <c r="J120" s="5" t="s">
        <v>11</v>
      </c>
      <c r="K120" s="12">
        <f>+K119/1.08*0.08</f>
        <v>2888.8888888888887</v>
      </c>
    </row>
    <row r="121" spans="2:11" x14ac:dyDescent="0.3">
      <c r="B121" s="21" t="s">
        <v>644</v>
      </c>
      <c r="C121" s="8" t="s">
        <v>188</v>
      </c>
      <c r="D121" s="9">
        <v>20</v>
      </c>
      <c r="E121" s="9">
        <v>0</v>
      </c>
      <c r="F121" s="9">
        <v>20</v>
      </c>
      <c r="G121" s="10">
        <f>+VLOOKUP(Tabla1103453454455456479108134141171253[[#This Row],[Ingrediente]],Tabla34[#All],3,0)</f>
        <v>47.896666670000002</v>
      </c>
      <c r="H121" s="11">
        <f>+Tabla1103453454455456479108134141171253[[#This Row],[Costo]]*Tabla1103453454455456479108134141171253[[#This Row],[Columna2]]</f>
        <v>957.93333340000004</v>
      </c>
      <c r="I121" s="4"/>
      <c r="J121" s="5" t="s">
        <v>12</v>
      </c>
      <c r="K121" s="12">
        <f>+K119-K120</f>
        <v>36111.111111111109</v>
      </c>
    </row>
    <row r="122" spans="2:11" x14ac:dyDescent="0.3">
      <c r="B122" s="21" t="s">
        <v>424</v>
      </c>
      <c r="C122" s="8" t="s">
        <v>349</v>
      </c>
      <c r="D122" s="9">
        <v>0.66</v>
      </c>
      <c r="E122" s="9">
        <v>0</v>
      </c>
      <c r="F122" s="9">
        <v>0.66</v>
      </c>
      <c r="G122" s="10">
        <f>+VLOOKUP(Tabla1103453454455456479108134141171253[[#This Row],[Ingrediente]],Tabla34[#All],3,0)</f>
        <v>2022.7272727299999</v>
      </c>
      <c r="H122" s="11">
        <f>+Tabla1103453454455456479108134141171253[[#This Row],[Costo]]*Tabla1103453454455456479108134141171253[[#This Row],[Columna2]]</f>
        <v>1335.0000000017999</v>
      </c>
      <c r="I122" s="4"/>
      <c r="J122" s="5" t="s">
        <v>13</v>
      </c>
      <c r="K122" s="19">
        <f>+K118/K121</f>
        <v>0.25540388324877855</v>
      </c>
    </row>
    <row r="123" spans="2:11" x14ac:dyDescent="0.3">
      <c r="B123" s="7" t="s">
        <v>1018</v>
      </c>
      <c r="C123" s="8" t="s">
        <v>349</v>
      </c>
      <c r="D123" s="9">
        <v>2</v>
      </c>
      <c r="E123" s="9">
        <v>0</v>
      </c>
      <c r="F123" s="9">
        <v>2</v>
      </c>
      <c r="G123" s="10">
        <f>+VLOOKUP(Tabla1103453454455456479108134141171253[[#This Row],[Ingrediente]],Tabla34[#All],3,0)</f>
        <v>2796.5</v>
      </c>
      <c r="H123" s="11">
        <f>+Tabla1103453454455456479108134141171253[[#This Row],[Costo]]*Tabla1103453454455456479108134141171253[[#This Row],[Columna2]]</f>
        <v>5593</v>
      </c>
      <c r="I123" s="24"/>
      <c r="J123" s="5" t="s">
        <v>14</v>
      </c>
      <c r="K123" s="20">
        <f>+K121-K118</f>
        <v>26888.193104905218</v>
      </c>
    </row>
    <row r="124" spans="2:11" x14ac:dyDescent="0.3">
      <c r="B124" s="13"/>
      <c r="C124" s="14"/>
      <c r="D124" s="14"/>
      <c r="E124" s="14"/>
      <c r="F124" s="14"/>
      <c r="G124" s="15"/>
      <c r="H124" s="15">
        <f>SUBTOTAL(109,Tabla1103453454455456479108134141171253[Total costo])</f>
        <v>8783.7314344818005</v>
      </c>
      <c r="J124" s="5" t="s">
        <v>15</v>
      </c>
      <c r="K124" s="22">
        <f>+K123/K118</f>
        <v>2.9153672500192203</v>
      </c>
    </row>
    <row r="127" spans="2:11" x14ac:dyDescent="0.3">
      <c r="B127" s="1" t="s">
        <v>220</v>
      </c>
      <c r="C127" s="2"/>
      <c r="D127" s="2"/>
      <c r="E127" s="3"/>
      <c r="F127" s="3"/>
      <c r="G127" s="3"/>
      <c r="H127" s="3"/>
      <c r="J127" s="102" t="s">
        <v>0</v>
      </c>
      <c r="K127" s="102"/>
    </row>
    <row r="128" spans="2:11" x14ac:dyDescent="0.3">
      <c r="B128" s="13" t="s">
        <v>1</v>
      </c>
      <c r="C128" s="14" t="s">
        <v>2</v>
      </c>
      <c r="D128" s="14" t="s">
        <v>3</v>
      </c>
      <c r="E128" s="14" t="s">
        <v>343</v>
      </c>
      <c r="F128" s="14" t="s">
        <v>585</v>
      </c>
      <c r="G128" s="28" t="s">
        <v>4</v>
      </c>
      <c r="H128" s="28" t="s">
        <v>5</v>
      </c>
      <c r="J128" s="5" t="s">
        <v>6</v>
      </c>
      <c r="K128" s="6">
        <f>SUM(Tabla1103453454455456479108134141171253254[Total costo])</f>
        <v>13207.286052097801</v>
      </c>
    </row>
    <row r="129" spans="2:11" x14ac:dyDescent="0.3">
      <c r="B129" s="7" t="s">
        <v>364</v>
      </c>
      <c r="C129" s="8" t="s">
        <v>349</v>
      </c>
      <c r="D129" s="9">
        <v>2</v>
      </c>
      <c r="E129" s="9">
        <v>0</v>
      </c>
      <c r="F129" s="9">
        <v>2</v>
      </c>
      <c r="G129" s="10">
        <f>+VLOOKUP(Tabla1103453454455456479108134141171253254[[#This Row],[Ingrediente]],Tabla34[#All],3,0)</f>
        <v>3390</v>
      </c>
      <c r="H129" s="11">
        <f>+Tabla1103453454455456479108134141171253254[[#This Row],[Costo]]*Tabla1103453454455456479108134141171253254[[#This Row],[Columna2]]</f>
        <v>6780</v>
      </c>
      <c r="J129" s="5" t="s">
        <v>113</v>
      </c>
      <c r="K129" s="12">
        <f>+K128*5%</f>
        <v>660.3643026048901</v>
      </c>
    </row>
    <row r="130" spans="2:11" x14ac:dyDescent="0.3">
      <c r="B130" s="7" t="s">
        <v>641</v>
      </c>
      <c r="C130" s="8" t="s">
        <v>349</v>
      </c>
      <c r="D130" s="9">
        <v>0.66</v>
      </c>
      <c r="E130" s="9">
        <v>0</v>
      </c>
      <c r="F130" s="9">
        <v>0.66</v>
      </c>
      <c r="G130" s="10">
        <f>+VLOOKUP(Tabla1103453454455456479108134141171253254[[#This Row],[Ingrediente]],Tabla34[#All],3,0)</f>
        <v>5465.0833333299997</v>
      </c>
      <c r="H130" s="11">
        <f>+Tabla1103453454455456479108134141171253254[[#This Row],[Costo]]*Tabla1103453454455456479108134141171253254[[#This Row],[Columna2]]</f>
        <v>3606.9549999977999</v>
      </c>
      <c r="J130" s="5" t="s">
        <v>9</v>
      </c>
      <c r="K130" s="12">
        <f>+K128+K129</f>
        <v>13867.650354702691</v>
      </c>
    </row>
    <row r="131" spans="2:11" x14ac:dyDescent="0.3">
      <c r="B131" s="21" t="s">
        <v>350</v>
      </c>
      <c r="C131" s="8" t="s">
        <v>188</v>
      </c>
      <c r="D131" s="9">
        <v>30</v>
      </c>
      <c r="E131" s="9">
        <v>0</v>
      </c>
      <c r="F131" s="9">
        <v>30</v>
      </c>
      <c r="G131" s="10">
        <f>+VLOOKUP(Tabla1103453454455456479108134141171253254[[#This Row],[Ingrediente]],Tabla34[#All],3,0)</f>
        <v>68.432671080000006</v>
      </c>
      <c r="H131" s="11">
        <f>+Tabla1103453454455456479108134141171253254[[#This Row],[Costo]]*Tabla1103453454455456479108134141171253254[[#This Row],[Columna2]]</f>
        <v>2052.9801324</v>
      </c>
      <c r="I131" s="4"/>
      <c r="J131" s="17" t="s">
        <v>10</v>
      </c>
      <c r="K131" s="18">
        <v>39000</v>
      </c>
    </row>
    <row r="132" spans="2:11" x14ac:dyDescent="0.3">
      <c r="B132" s="21" t="s">
        <v>179</v>
      </c>
      <c r="C132" s="8" t="s">
        <v>349</v>
      </c>
      <c r="D132" s="214">
        <v>0.33</v>
      </c>
      <c r="E132" s="9">
        <v>0</v>
      </c>
      <c r="F132" s="9">
        <v>0.33</v>
      </c>
      <c r="G132" s="10">
        <f>+VLOOKUP(Tabla1103453454455456479108134141171253254[[#This Row],[Ingrediente]],Tabla34[#All],3,0)</f>
        <v>1594</v>
      </c>
      <c r="H132" s="11">
        <f>+Tabla1103453454455456479108134141171253254[[#This Row],[Costo]]*Tabla1103453454455456479108134141171253254[[#This Row],[Columna2]]</f>
        <v>526.02</v>
      </c>
      <c r="I132" s="4"/>
      <c r="J132" s="5" t="s">
        <v>11</v>
      </c>
      <c r="K132" s="12">
        <f>+K131/1.08*0.08</f>
        <v>2888.8888888888887</v>
      </c>
    </row>
    <row r="133" spans="2:11" x14ac:dyDescent="0.3">
      <c r="B133" s="21" t="s">
        <v>403</v>
      </c>
      <c r="C133" s="8" t="s">
        <v>188</v>
      </c>
      <c r="D133" s="9">
        <v>0.5</v>
      </c>
      <c r="E133" s="9">
        <v>0</v>
      </c>
      <c r="F133" s="9">
        <v>0.5</v>
      </c>
      <c r="G133" s="10">
        <f>+VLOOKUP(Tabla1103453454455456479108134141171253254[[#This Row],[Ingrediente]],Tabla34[#All],3,0)</f>
        <v>482.66183940000002</v>
      </c>
      <c r="H133" s="11">
        <f>+Tabla1103453454455456479108134141171253254[[#This Row],[Costo]]*Tabla1103453454455456479108134141171253254[[#This Row],[Columna2]]</f>
        <v>241.33091970000001</v>
      </c>
      <c r="I133" s="4"/>
      <c r="J133" s="5" t="s">
        <v>12</v>
      </c>
      <c r="K133" s="12">
        <f>+K131-K132</f>
        <v>36111.111111111109</v>
      </c>
    </row>
    <row r="134" spans="2:11" x14ac:dyDescent="0.3">
      <c r="B134" s="13"/>
      <c r="C134" s="14"/>
      <c r="D134" s="14"/>
      <c r="E134" s="14"/>
      <c r="F134" s="14"/>
      <c r="G134" s="15"/>
      <c r="H134" s="15">
        <f>SUBTOTAL(109,Tabla1103453454455456479108134141171253254[Total costo])</f>
        <v>13207.286052097801</v>
      </c>
      <c r="I134" s="4"/>
      <c r="J134" s="5" t="s">
        <v>13</v>
      </c>
      <c r="K134" s="19">
        <f>+K130/K133</f>
        <v>0.38402724059176685</v>
      </c>
    </row>
    <row r="135" spans="2:11" x14ac:dyDescent="0.3">
      <c r="I135" s="4"/>
      <c r="J135" s="5" t="s">
        <v>14</v>
      </c>
      <c r="K135" s="20">
        <f>+K133-K130</f>
        <v>22243.460756408418</v>
      </c>
    </row>
    <row r="136" spans="2:11" x14ac:dyDescent="0.3">
      <c r="I136" s="4"/>
      <c r="J136" s="5" t="s">
        <v>15</v>
      </c>
      <c r="K136" s="22">
        <f>+K135/K130</f>
        <v>1.6039819426847164</v>
      </c>
    </row>
    <row r="137" spans="2:11" x14ac:dyDescent="0.3">
      <c r="G137" s="4"/>
      <c r="I137" s="24"/>
    </row>
    <row r="139" spans="2:11" x14ac:dyDescent="0.3">
      <c r="G139" s="4"/>
    </row>
    <row r="140" spans="2:11" x14ac:dyDescent="0.3">
      <c r="B140" s="1" t="s">
        <v>706</v>
      </c>
      <c r="C140" s="2"/>
      <c r="D140" s="2"/>
      <c r="E140" s="3"/>
      <c r="F140" s="3"/>
      <c r="G140" s="3"/>
      <c r="H140" s="3"/>
      <c r="J140" s="102" t="s">
        <v>0</v>
      </c>
      <c r="K140" s="102"/>
    </row>
    <row r="141" spans="2:11" x14ac:dyDescent="0.3">
      <c r="B141" s="13" t="s">
        <v>1</v>
      </c>
      <c r="C141" s="14" t="s">
        <v>2</v>
      </c>
      <c r="D141" s="14" t="s">
        <v>3</v>
      </c>
      <c r="E141" s="14" t="s">
        <v>343</v>
      </c>
      <c r="F141" s="14" t="s">
        <v>585</v>
      </c>
      <c r="G141" s="28" t="s">
        <v>4</v>
      </c>
      <c r="H141" s="28" t="s">
        <v>5</v>
      </c>
      <c r="I141" s="4"/>
      <c r="J141" s="5" t="s">
        <v>6</v>
      </c>
      <c r="K141" s="6">
        <f>SUM(Tabla1103453454455456479108134141171253254256[Total costo])</f>
        <v>14010.865743900002</v>
      </c>
    </row>
    <row r="142" spans="2:11" x14ac:dyDescent="0.3">
      <c r="B142" s="7" t="s">
        <v>185</v>
      </c>
      <c r="C142" s="8" t="s">
        <v>188</v>
      </c>
      <c r="D142" s="9">
        <v>4</v>
      </c>
      <c r="E142" s="9">
        <v>0</v>
      </c>
      <c r="F142" s="9">
        <v>4</v>
      </c>
      <c r="G142" s="10">
        <f>+VLOOKUP(Tabla1103453454455456479108134141171253254256[[#This Row],[Ingrediente]],Tabla34[#All],3,0)</f>
        <v>75.580544020000005</v>
      </c>
      <c r="H142" s="11">
        <f>+Tabla1103453454455456479108134141171253254256[[#This Row],[Costo]]*Tabla1103453454455456479108134141171253254256[[#This Row],[Columna2]]</f>
        <v>302.32217608000002</v>
      </c>
      <c r="I142" s="4"/>
      <c r="J142" s="5" t="s">
        <v>113</v>
      </c>
      <c r="K142" s="12">
        <f>+K141*5%</f>
        <v>700.54328719500018</v>
      </c>
    </row>
    <row r="143" spans="2:11" x14ac:dyDescent="0.3">
      <c r="B143" s="21" t="s">
        <v>156</v>
      </c>
      <c r="C143" s="8" t="s">
        <v>188</v>
      </c>
      <c r="D143" s="9">
        <v>30</v>
      </c>
      <c r="E143" s="9">
        <v>0</v>
      </c>
      <c r="F143" s="9">
        <v>30</v>
      </c>
      <c r="G143" s="10">
        <f>+VLOOKUP(Tabla1103453454455456479108134141171253254256[[#This Row],[Ingrediente]],Tabla34[#All],3,0)</f>
        <v>15.86411244</v>
      </c>
      <c r="H143" s="11">
        <f>+Tabla1103453454455456479108134141171253254256[[#This Row],[Costo]]*Tabla1103453454455456479108134141171253254256[[#This Row],[Columna2]]</f>
        <v>475.92337320000001</v>
      </c>
      <c r="I143" s="4"/>
      <c r="J143" s="5" t="s">
        <v>9</v>
      </c>
      <c r="K143" s="12">
        <f>+K141+K142</f>
        <v>14711.409031095001</v>
      </c>
    </row>
    <row r="144" spans="2:11" x14ac:dyDescent="0.3">
      <c r="B144" s="7" t="s">
        <v>534</v>
      </c>
      <c r="C144" s="8" t="s">
        <v>188</v>
      </c>
      <c r="D144" s="9">
        <v>50</v>
      </c>
      <c r="E144" s="9">
        <v>0</v>
      </c>
      <c r="F144" s="9">
        <v>50</v>
      </c>
      <c r="G144" s="10">
        <f>+VLOOKUP(Tabla1103453454455456479108134141171253254256[[#This Row],[Ingrediente]],Tabla34[#All],3,0)</f>
        <v>1</v>
      </c>
      <c r="H144" s="11">
        <f>+Tabla1103453454455456479108134141171253254256[[#This Row],[Costo]]*Tabla1103453454455456479108134141171253254256[[#This Row],[Columna2]]</f>
        <v>50</v>
      </c>
      <c r="I144" s="4"/>
      <c r="J144" s="17" t="s">
        <v>10</v>
      </c>
      <c r="K144" s="18">
        <v>48000</v>
      </c>
    </row>
    <row r="145" spans="2:11" x14ac:dyDescent="0.3">
      <c r="B145" s="7" t="s">
        <v>357</v>
      </c>
      <c r="C145" s="8" t="s">
        <v>188</v>
      </c>
      <c r="D145" s="9">
        <v>1</v>
      </c>
      <c r="E145" s="9">
        <v>0</v>
      </c>
      <c r="F145" s="9">
        <v>1</v>
      </c>
      <c r="G145" s="10">
        <f>+VLOOKUP(Tabla1103453454455456479108134141171253254256[[#This Row],[Ingrediente]],Tabla34[#All],3,0)</f>
        <v>34.426229499999998</v>
      </c>
      <c r="H145" s="11">
        <f>+Tabla1103453454455456479108134141171253254256[[#This Row],[Costo]]*Tabla1103453454455456479108134141171253254256[[#This Row],[Columna2]]</f>
        <v>34.426229499999998</v>
      </c>
      <c r="I145" s="4"/>
      <c r="J145" s="5" t="s">
        <v>11</v>
      </c>
      <c r="K145" s="12">
        <f>+K144/1.08*0.08</f>
        <v>3555.5555555555552</v>
      </c>
    </row>
    <row r="146" spans="2:11" x14ac:dyDescent="0.3">
      <c r="B146" s="7" t="s">
        <v>564</v>
      </c>
      <c r="C146" s="8" t="s">
        <v>188</v>
      </c>
      <c r="D146" s="9">
        <v>45</v>
      </c>
      <c r="E146" s="9">
        <v>0</v>
      </c>
      <c r="F146" s="9">
        <v>45</v>
      </c>
      <c r="G146" s="10">
        <f>+VLOOKUP(Tabla1103453454455456479108134141171253254256[[#This Row],[Ingrediente]],Tabla34[#All],3,0)</f>
        <v>3.1083507400000001</v>
      </c>
      <c r="H146" s="11">
        <f>+Tabla1103453454455456479108134141171253254256[[#This Row],[Costo]]*Tabla1103453454455456479108134141171253254256[[#This Row],[Columna2]]</f>
        <v>139.87578329999999</v>
      </c>
      <c r="I146" s="24"/>
      <c r="J146" s="5" t="s">
        <v>12</v>
      </c>
      <c r="K146" s="12">
        <f>+K144-K145</f>
        <v>44444.444444444445</v>
      </c>
    </row>
    <row r="147" spans="2:11" x14ac:dyDescent="0.3">
      <c r="B147" s="7" t="s">
        <v>1120</v>
      </c>
      <c r="C147" s="8" t="s">
        <v>349</v>
      </c>
      <c r="D147" s="9">
        <v>2</v>
      </c>
      <c r="E147" s="9">
        <v>0</v>
      </c>
      <c r="F147" s="9">
        <v>2</v>
      </c>
      <c r="G147" s="10">
        <f>+VLOOKUP(Tabla1103453454455456479108134141171253254256[[#This Row],[Ingrediente]],Tabla34[#All],3,0)</f>
        <v>6504.1590909100005</v>
      </c>
      <c r="H147" s="11">
        <f>+Tabla1103453454455456479108134141171253254256[[#This Row],[Costo]]*Tabla1103453454455456479108134141171253254256[[#This Row],[Columna2]]</f>
        <v>13008.318181820001</v>
      </c>
      <c r="J147" s="5" t="s">
        <v>13</v>
      </c>
      <c r="K147" s="19">
        <f>+K143/K146</f>
        <v>0.33100670319963754</v>
      </c>
    </row>
    <row r="148" spans="2:11" x14ac:dyDescent="0.3">
      <c r="B148" s="13"/>
      <c r="C148" s="14"/>
      <c r="D148" s="14"/>
      <c r="E148" s="14"/>
      <c r="F148" s="14"/>
      <c r="G148" s="15"/>
      <c r="H148" s="15">
        <f>SUBTOTAL(109,Tabla1103453454455456479108134141171253254256[Total costo])</f>
        <v>14010.865743900002</v>
      </c>
      <c r="J148" s="5" t="s">
        <v>14</v>
      </c>
      <c r="K148" s="20">
        <f>+K146-K143</f>
        <v>29733.035413349444</v>
      </c>
    </row>
    <row r="149" spans="2:11" x14ac:dyDescent="0.3">
      <c r="J149" s="5" t="s">
        <v>15</v>
      </c>
      <c r="K149" s="22">
        <f>+K148/K143</f>
        <v>2.0210868551410504</v>
      </c>
    </row>
    <row r="150" spans="2:11" x14ac:dyDescent="0.3">
      <c r="I150" s="4"/>
    </row>
    <row r="151" spans="2:11" x14ac:dyDescent="0.3">
      <c r="G151" s="4"/>
    </row>
    <row r="152" spans="2:11" x14ac:dyDescent="0.3">
      <c r="G152" s="4"/>
    </row>
    <row r="153" spans="2:11" x14ac:dyDescent="0.3">
      <c r="B153" s="1" t="s">
        <v>186</v>
      </c>
      <c r="C153" s="2"/>
      <c r="D153" s="2"/>
      <c r="E153" s="3"/>
      <c r="F153" s="3"/>
      <c r="G153" s="3"/>
      <c r="H153" s="3"/>
      <c r="J153" s="102" t="s">
        <v>0</v>
      </c>
      <c r="K153" s="102"/>
    </row>
    <row r="154" spans="2:11" x14ac:dyDescent="0.3">
      <c r="B154" s="13" t="s">
        <v>1</v>
      </c>
      <c r="C154" s="14" t="s">
        <v>2</v>
      </c>
      <c r="D154" s="14" t="s">
        <v>3</v>
      </c>
      <c r="E154" s="14" t="s">
        <v>343</v>
      </c>
      <c r="F154" s="14" t="s">
        <v>585</v>
      </c>
      <c r="G154" s="28" t="s">
        <v>4</v>
      </c>
      <c r="H154" s="28" t="s">
        <v>5</v>
      </c>
      <c r="I154" s="4"/>
      <c r="J154" s="5" t="s">
        <v>6</v>
      </c>
      <c r="K154" s="6">
        <f>SUM(Tabla1103453454455456479108134141171253254256257274[Total costo])</f>
        <v>6798.7689602390001</v>
      </c>
    </row>
    <row r="155" spans="2:11" x14ac:dyDescent="0.3">
      <c r="B155" s="7" t="s">
        <v>156</v>
      </c>
      <c r="C155" s="8" t="s">
        <v>188</v>
      </c>
      <c r="D155" s="9">
        <v>60</v>
      </c>
      <c r="E155" s="9">
        <v>0</v>
      </c>
      <c r="F155" s="9">
        <v>60</v>
      </c>
      <c r="G155" s="10">
        <f>+VLOOKUP(Tabla1103453454455456479108134141171253254256257274[[#This Row],[Ingrediente]],Tabla34[#All],3,0)</f>
        <v>15.86411244</v>
      </c>
      <c r="H155" s="11">
        <f>+Tabla1103453454455456479108134141171253254256257274[[#This Row],[Costo]]*Tabla1103453454455456479108134141171253254256257274[[#This Row],[Columna2]]</f>
        <v>951.84674640000003</v>
      </c>
      <c r="I155" s="4"/>
      <c r="J155" s="5" t="s">
        <v>113</v>
      </c>
      <c r="K155" s="12">
        <f>+K154*5%</f>
        <v>339.93844801195002</v>
      </c>
    </row>
    <row r="156" spans="2:11" x14ac:dyDescent="0.3">
      <c r="B156" s="21" t="s">
        <v>534</v>
      </c>
      <c r="C156" s="8" t="s">
        <v>188</v>
      </c>
      <c r="D156" s="9">
        <v>50</v>
      </c>
      <c r="E156" s="9">
        <v>0</v>
      </c>
      <c r="F156" s="9">
        <v>50</v>
      </c>
      <c r="G156" s="10">
        <f>+VLOOKUP(Tabla1103453454455456479108134141171253254256257274[[#This Row],[Ingrediente]],Tabla34[#All],3,0)</f>
        <v>1</v>
      </c>
      <c r="H156" s="11">
        <f>+Tabla1103453454455456479108134141171253254256257274[[#This Row],[Costo]]*Tabla1103453454455456479108134141171253254256257274[[#This Row],[Columna2]]</f>
        <v>50</v>
      </c>
      <c r="I156" s="4"/>
      <c r="J156" s="5" t="s">
        <v>9</v>
      </c>
      <c r="K156" s="12">
        <f>+K154+K155</f>
        <v>7138.7074082509498</v>
      </c>
    </row>
    <row r="157" spans="2:11" x14ac:dyDescent="0.3">
      <c r="B157" s="7" t="s">
        <v>167</v>
      </c>
      <c r="C157" s="8" t="s">
        <v>188</v>
      </c>
      <c r="D157" s="9">
        <v>5</v>
      </c>
      <c r="E157" s="9">
        <v>0</v>
      </c>
      <c r="F157" s="9">
        <v>5</v>
      </c>
      <c r="G157" s="10">
        <f>+VLOOKUP(Tabla1103453454455456479108134141171253254256257274[[#This Row],[Ingrediente]],Tabla34[#All],3,0)</f>
        <v>4.5</v>
      </c>
      <c r="H157" s="11">
        <f>+Tabla1103453454455456479108134141171253254256257274[[#This Row],[Costo]]*Tabla1103453454455456479108134141171253254256257274[[#This Row],[Columna2]]</f>
        <v>22.5</v>
      </c>
      <c r="I157" s="4"/>
      <c r="J157" s="17" t="s">
        <v>10</v>
      </c>
      <c r="K157" s="18">
        <v>34900</v>
      </c>
    </row>
    <row r="158" spans="2:11" x14ac:dyDescent="0.3">
      <c r="B158" s="21" t="s">
        <v>90</v>
      </c>
      <c r="C158" s="8" t="s">
        <v>188</v>
      </c>
      <c r="D158" s="9">
        <v>40</v>
      </c>
      <c r="E158" s="9">
        <v>0</v>
      </c>
      <c r="F158" s="9">
        <v>40</v>
      </c>
      <c r="G158" s="10">
        <f>+VLOOKUP(Tabla1103453454455456479108134141171253254256257274[[#This Row],[Ingrediente]],Tabla34[#All],3,0)</f>
        <v>1.8699025499999999</v>
      </c>
      <c r="H158" s="11">
        <f>+Tabla1103453454455456479108134141171253254256257274[[#This Row],[Costo]]*Tabla1103453454455456479108134141171253254256257274[[#This Row],[Columna2]]</f>
        <v>74.796101999999991</v>
      </c>
      <c r="I158" s="24"/>
      <c r="J158" s="5" t="s">
        <v>11</v>
      </c>
      <c r="K158" s="12">
        <f>+K157/1.08*0.08</f>
        <v>2585.1851851851852</v>
      </c>
    </row>
    <row r="159" spans="2:11" x14ac:dyDescent="0.3">
      <c r="B159" s="7" t="s">
        <v>553</v>
      </c>
      <c r="C159" s="8" t="s">
        <v>188</v>
      </c>
      <c r="D159" s="9">
        <v>12</v>
      </c>
      <c r="E159" s="9">
        <v>40</v>
      </c>
      <c r="F159" s="9">
        <v>20</v>
      </c>
      <c r="G159" s="10">
        <f>+VLOOKUP(Tabla1103453454455456479108134141171253254256257274[[#This Row],[Ingrediente]],Tabla34[#All],3,0)</f>
        <v>16</v>
      </c>
      <c r="H159" s="11">
        <f>+Tabla1103453454455456479108134141171253254256257274[[#This Row],[Costo]]*Tabla1103453454455456479108134141171253254256257274[[#This Row],[Columna2]]</f>
        <v>320</v>
      </c>
      <c r="J159" s="5" t="s">
        <v>12</v>
      </c>
      <c r="K159" s="12">
        <f>+K157-K158</f>
        <v>32314.814814814814</v>
      </c>
    </row>
    <row r="160" spans="2:11" x14ac:dyDescent="0.3">
      <c r="B160" s="21" t="s">
        <v>254</v>
      </c>
      <c r="C160" s="8" t="s">
        <v>570</v>
      </c>
      <c r="D160" s="214">
        <v>0.3</v>
      </c>
      <c r="E160" s="9">
        <v>0</v>
      </c>
      <c r="F160" s="9">
        <v>0.3</v>
      </c>
      <c r="G160" s="10">
        <f>+VLOOKUP(Tabla1103453454455456479108134141171253254256257274[[#This Row],[Ingrediente]],Tabla34[#All],3,0)</f>
        <v>1709.9658273299999</v>
      </c>
      <c r="H160" s="11">
        <f>+Tabla1103453454455456479108134141171253254256257274[[#This Row],[Costo]]*Tabla1103453454455456479108134141171253254256257274[[#This Row],[Columna2]]</f>
        <v>512.98974819899991</v>
      </c>
      <c r="J160" s="5" t="s">
        <v>13</v>
      </c>
      <c r="K160" s="19">
        <f>+K156/K159</f>
        <v>0.2209112894243847</v>
      </c>
    </row>
    <row r="161" spans="2:11" x14ac:dyDescent="0.3">
      <c r="B161" s="7" t="s">
        <v>1149</v>
      </c>
      <c r="C161" s="8" t="s">
        <v>349</v>
      </c>
      <c r="D161" s="9">
        <v>2</v>
      </c>
      <c r="E161" s="9">
        <v>0</v>
      </c>
      <c r="F161" s="9">
        <v>2</v>
      </c>
      <c r="G161" s="10">
        <f>+VLOOKUP(Tabla1103453454455456479108134141171253254256257274[[#This Row],[Ingrediente]],Tabla34[#All],3,0)</f>
        <v>2433.3181818200001</v>
      </c>
      <c r="H161" s="11">
        <f>+Tabla1103453454455456479108134141171253254256257274[[#This Row],[Costo]]*Tabla1103453454455456479108134141171253254256257274[[#This Row],[Columna2]]</f>
        <v>4866.6363636400001</v>
      </c>
      <c r="J161" s="5" t="s">
        <v>14</v>
      </c>
      <c r="K161" s="20">
        <f>+K159-K156</f>
        <v>25176.107406563864</v>
      </c>
    </row>
    <row r="162" spans="2:11" x14ac:dyDescent="0.3">
      <c r="B162" s="13"/>
      <c r="C162" s="14"/>
      <c r="D162" s="14"/>
      <c r="E162" s="14"/>
      <c r="F162" s="14"/>
      <c r="G162" s="15"/>
      <c r="H162" s="15">
        <f>SUBTOTAL(109,Tabla1103453454455456479108134141171253254256257274[Total costo])</f>
        <v>6798.7689602390001</v>
      </c>
      <c r="J162" s="5" t="s">
        <v>15</v>
      </c>
      <c r="K162" s="22">
        <f>+K161/K156</f>
        <v>3.5267039208618085</v>
      </c>
    </row>
    <row r="164" spans="2:11" x14ac:dyDescent="0.3">
      <c r="G164" s="4"/>
    </row>
    <row r="165" spans="2:11" x14ac:dyDescent="0.3">
      <c r="G165" s="4"/>
    </row>
    <row r="166" spans="2:11" x14ac:dyDescent="0.3">
      <c r="B166" s="1" t="s">
        <v>884</v>
      </c>
      <c r="C166" s="2"/>
      <c r="D166" s="2"/>
      <c r="E166" s="3"/>
      <c r="F166" s="3"/>
      <c r="G166" s="3"/>
      <c r="H166" s="3"/>
      <c r="J166" s="102" t="s">
        <v>0</v>
      </c>
      <c r="K166" s="102"/>
    </row>
    <row r="167" spans="2:11" x14ac:dyDescent="0.3">
      <c r="B167" s="13" t="s">
        <v>1</v>
      </c>
      <c r="C167" s="14" t="s">
        <v>2</v>
      </c>
      <c r="D167" s="14" t="s">
        <v>3</v>
      </c>
      <c r="E167" s="14" t="s">
        <v>343</v>
      </c>
      <c r="F167" s="14" t="s">
        <v>585</v>
      </c>
      <c r="G167" s="28" t="s">
        <v>4</v>
      </c>
      <c r="H167" s="28" t="s">
        <v>5</v>
      </c>
      <c r="I167" s="4"/>
      <c r="J167" s="5" t="s">
        <v>6</v>
      </c>
      <c r="K167" s="6">
        <f>SUM(Tabla1103453454455456479108130137157194203212218240284326329[Total costo])</f>
        <v>9961.7588556868996</v>
      </c>
    </row>
    <row r="168" spans="2:11" x14ac:dyDescent="0.3">
      <c r="B168" s="7" t="s">
        <v>513</v>
      </c>
      <c r="C168" s="8" t="s">
        <v>188</v>
      </c>
      <c r="D168" s="9">
        <v>10</v>
      </c>
      <c r="E168" s="9">
        <v>0</v>
      </c>
      <c r="F168" s="9">
        <v>10</v>
      </c>
      <c r="G168" s="10">
        <f>+VLOOKUP(Tabla1103453454455456479108130137157194203212218240284326329[[#This Row],[Ingrediente]],Tabla34[#All],3,0)</f>
        <v>26.089848069999999</v>
      </c>
      <c r="H168" s="11">
        <f>+Tabla1103453454455456479108130137157194203212218240284326329[[#This Row],[Costo]]*Tabla1103453454455456479108130137157194203212218240284326329[[#This Row],[Columna2]]</f>
        <v>260.89848069999999</v>
      </c>
      <c r="I168" s="4"/>
      <c r="J168" s="5" t="s">
        <v>113</v>
      </c>
      <c r="K168" s="12">
        <f>+K167*5%</f>
        <v>498.08794278434499</v>
      </c>
    </row>
    <row r="169" spans="2:11" x14ac:dyDescent="0.3">
      <c r="B169" s="7" t="s">
        <v>49</v>
      </c>
      <c r="C169" s="8" t="s">
        <v>349</v>
      </c>
      <c r="D169" s="9">
        <v>1.6</v>
      </c>
      <c r="E169" s="9">
        <v>0</v>
      </c>
      <c r="F169" s="9">
        <v>1.6</v>
      </c>
      <c r="G169" s="10">
        <f>+VLOOKUP(Tabla1103453454455456479108130137157194203212218240284326329[[#This Row],[Ingrediente]],Tabla34[#All],3,0)</f>
        <v>4333.3333333299997</v>
      </c>
      <c r="H169" s="11">
        <f>+Tabla1103453454455456479108130137157194203212218240284326329[[#This Row],[Costo]]*Tabla1103453454455456479108130137157194203212218240284326329[[#This Row],[Columna2]]</f>
        <v>6933.3333333279998</v>
      </c>
      <c r="J169" s="5" t="s">
        <v>9</v>
      </c>
      <c r="K169" s="12">
        <f>+K167+K168</f>
        <v>10459.846798471244</v>
      </c>
    </row>
    <row r="170" spans="2:11" x14ac:dyDescent="0.3">
      <c r="B170" s="7" t="s">
        <v>403</v>
      </c>
      <c r="C170" s="8" t="s">
        <v>188</v>
      </c>
      <c r="D170" s="9">
        <v>1</v>
      </c>
      <c r="E170" s="9">
        <v>0</v>
      </c>
      <c r="F170" s="9">
        <v>1</v>
      </c>
      <c r="G170" s="10">
        <f>+VLOOKUP(Tabla1103453454455456479108130137157194203212218240284326329[[#This Row],[Ingrediente]],Tabla34[#All],3,0)</f>
        <v>482.66183940000002</v>
      </c>
      <c r="H170" s="11">
        <f>+Tabla1103453454455456479108130137157194203212218240284326329[[#This Row],[Costo]]*Tabla1103453454455456479108130137157194203212218240284326329[[#This Row],[Columna2]]</f>
        <v>482.66183940000002</v>
      </c>
      <c r="J170" s="17" t="s">
        <v>10</v>
      </c>
      <c r="K170" s="18">
        <v>41000</v>
      </c>
    </row>
    <row r="171" spans="2:11" x14ac:dyDescent="0.3">
      <c r="B171" s="7" t="s">
        <v>168</v>
      </c>
      <c r="C171" s="8" t="s">
        <v>188</v>
      </c>
      <c r="D171" s="9">
        <v>20</v>
      </c>
      <c r="E171" s="9">
        <v>0</v>
      </c>
      <c r="F171" s="9">
        <v>20</v>
      </c>
      <c r="G171" s="10">
        <f>+VLOOKUP(Tabla1103453454455456479108130137157194203212218240284326329[[#This Row],[Ingrediente]],Tabla34[#All],3,0)</f>
        <v>5.2944800000000001</v>
      </c>
      <c r="H171" s="11">
        <f>+Tabla1103453454455456479108130137157194203212218240284326329[[#This Row],[Costo]]*Tabla1103453454455456479108130137157194203212218240284326329[[#This Row],[Columna2]]</f>
        <v>105.8896</v>
      </c>
      <c r="J171" s="5" t="s">
        <v>11</v>
      </c>
      <c r="K171" s="12">
        <f>+K170/1.08*0.08</f>
        <v>3037.037037037037</v>
      </c>
    </row>
    <row r="172" spans="2:11" x14ac:dyDescent="0.3">
      <c r="B172" s="7" t="s">
        <v>534</v>
      </c>
      <c r="C172" s="8" t="s">
        <v>188</v>
      </c>
      <c r="D172" s="9">
        <v>50</v>
      </c>
      <c r="E172" s="9">
        <v>0</v>
      </c>
      <c r="F172" s="9">
        <v>50</v>
      </c>
      <c r="G172" s="10">
        <f>+VLOOKUP(Tabla1103453454455456479108130137157194203212218240284326329[[#This Row],[Ingrediente]],Tabla34[#All],3,0)</f>
        <v>1</v>
      </c>
      <c r="H172" s="11">
        <f>+Tabla1103453454455456479108130137157194203212218240284326329[[#This Row],[Costo]]*Tabla1103453454455456479108130137157194203212218240284326329[[#This Row],[Columna2]]</f>
        <v>50</v>
      </c>
      <c r="J172" s="5" t="s">
        <v>12</v>
      </c>
      <c r="K172" s="12">
        <f>+K170-K171</f>
        <v>37962.962962962964</v>
      </c>
    </row>
    <row r="173" spans="2:11" x14ac:dyDescent="0.3">
      <c r="B173" s="7" t="s">
        <v>169</v>
      </c>
      <c r="C173" s="8" t="s">
        <v>570</v>
      </c>
      <c r="D173" s="9">
        <v>1</v>
      </c>
      <c r="E173" s="9">
        <v>0</v>
      </c>
      <c r="F173" s="9">
        <v>1</v>
      </c>
      <c r="G173" s="10">
        <f>+VLOOKUP(Tabla1103453454455456479108130137157194203212218240284326329[[#This Row],[Ingrediente]],Tabla34[#All],3,0)</f>
        <v>39.884564009999998</v>
      </c>
      <c r="H173" s="11">
        <f>+Tabla1103453454455456479108130137157194203212218240284326329[[#This Row],[Costo]]*Tabla1103453454455456479108130137157194203212218240284326329[[#This Row],[Columna2]]</f>
        <v>39.884564009999998</v>
      </c>
      <c r="J173" s="5" t="s">
        <v>13</v>
      </c>
      <c r="K173" s="19">
        <f>+K169/K172</f>
        <v>0.27552767176460841</v>
      </c>
    </row>
    <row r="174" spans="2:11" x14ac:dyDescent="0.3">
      <c r="B174" s="21" t="s">
        <v>90</v>
      </c>
      <c r="C174" s="8" t="s">
        <v>188</v>
      </c>
      <c r="D174" s="9">
        <v>15</v>
      </c>
      <c r="E174" s="9">
        <v>0</v>
      </c>
      <c r="F174" s="9">
        <v>15</v>
      </c>
      <c r="G174" s="10">
        <f>+VLOOKUP(Tabla1103453454455456479108130137157194203212218240284326329[[#This Row],[Ingrediente]],Tabla34[#All],3,0)</f>
        <v>1.8699025499999999</v>
      </c>
      <c r="H174" s="11">
        <f>+Tabla1103453454455456479108130137157194203212218240284326329[[#This Row],[Costo]]*Tabla1103453454455456479108130137157194203212218240284326329[[#This Row],[Columna2]]</f>
        <v>28.04853825</v>
      </c>
      <c r="J174" s="5" t="s">
        <v>14</v>
      </c>
      <c r="K174" s="20">
        <f>+K172-K169</f>
        <v>27503.116164491719</v>
      </c>
    </row>
    <row r="175" spans="2:11" x14ac:dyDescent="0.3">
      <c r="B175" s="7" t="s">
        <v>454</v>
      </c>
      <c r="C175" s="8" t="s">
        <v>349</v>
      </c>
      <c r="D175" s="214">
        <v>0.33</v>
      </c>
      <c r="E175" s="9">
        <v>0</v>
      </c>
      <c r="F175" s="9">
        <v>0.33</v>
      </c>
      <c r="G175" s="10">
        <f>+VLOOKUP(Tabla1103453454455456479108130137157194203212218240284326329[[#This Row],[Ingrediente]],Tabla34[#All],3,0)</f>
        <v>6245.5833333299997</v>
      </c>
      <c r="H175" s="11">
        <f>+Tabla1103453454455456479108130137157194203212218240284326329[[#This Row],[Costo]]*Tabla1103453454455456479108130137157194203212218240284326329[[#This Row],[Columna2]]</f>
        <v>2061.0424999989</v>
      </c>
      <c r="J175" s="5" t="s">
        <v>15</v>
      </c>
      <c r="K175" s="22">
        <f>+K174/K169</f>
        <v>2.6293995212732399</v>
      </c>
    </row>
    <row r="176" spans="2:11" x14ac:dyDescent="0.3">
      <c r="B176" s="13"/>
      <c r="C176" s="14"/>
      <c r="D176" s="14"/>
      <c r="E176" s="14"/>
      <c r="F176" s="14"/>
      <c r="G176" s="15"/>
      <c r="H176" s="15">
        <f>SUBTOTAL(109,Tabla1103453454455456479108130137157194203212218240284326329[Total costo])</f>
        <v>9961.7588556868996</v>
      </c>
    </row>
    <row r="177" spans="2:11" x14ac:dyDescent="0.3">
      <c r="G177" s="4"/>
      <c r="I177" s="4"/>
    </row>
    <row r="179" spans="2:11" x14ac:dyDescent="0.3">
      <c r="B179" s="1" t="s">
        <v>865</v>
      </c>
      <c r="C179" s="2"/>
      <c r="D179" s="2"/>
      <c r="E179" s="3"/>
      <c r="F179" s="3"/>
      <c r="G179" s="3"/>
      <c r="H179" s="3"/>
      <c r="J179" s="102" t="s">
        <v>0</v>
      </c>
      <c r="K179" s="102"/>
    </row>
    <row r="180" spans="2:11" x14ac:dyDescent="0.3">
      <c r="B180" s="13" t="s">
        <v>1</v>
      </c>
      <c r="C180" s="14" t="s">
        <v>2</v>
      </c>
      <c r="D180" s="14" t="s">
        <v>3</v>
      </c>
      <c r="E180" s="14" t="s">
        <v>343</v>
      </c>
      <c r="F180" s="14" t="s">
        <v>585</v>
      </c>
      <c r="G180" s="28" t="s">
        <v>4</v>
      </c>
      <c r="H180" s="28" t="s">
        <v>5</v>
      </c>
      <c r="I180" s="4"/>
      <c r="J180" s="5" t="s">
        <v>6</v>
      </c>
      <c r="K180" s="6">
        <f>SUM(Tabla1103453454455456479108135112127[Total costo])</f>
        <v>25732.489813510001</v>
      </c>
    </row>
    <row r="181" spans="2:11" x14ac:dyDescent="0.3">
      <c r="B181" s="7" t="s">
        <v>482</v>
      </c>
      <c r="C181" s="8" t="s">
        <v>188</v>
      </c>
      <c r="D181" s="9">
        <v>1</v>
      </c>
      <c r="E181" s="9">
        <v>0</v>
      </c>
      <c r="F181" s="9">
        <v>1</v>
      </c>
      <c r="G181" s="10">
        <f>+VLOOKUP(Tabla1103453454455456479108135112127[[#This Row],[Ingrediente]],Tabla34[#All],3,0)</f>
        <v>2.6999075600000002</v>
      </c>
      <c r="H181" s="11">
        <f>+Tabla1103453454455456479108135112127[[#This Row],[Costo]]*Tabla1103453454455456479108135112127[[#This Row],[Columna2]]</f>
        <v>2.6999075600000002</v>
      </c>
      <c r="I181" s="4"/>
      <c r="J181" s="5" t="s">
        <v>113</v>
      </c>
      <c r="K181" s="12">
        <f>+K180*5%</f>
        <v>1286.6244906755001</v>
      </c>
    </row>
    <row r="182" spans="2:11" x14ac:dyDescent="0.3">
      <c r="B182" s="7" t="s">
        <v>167</v>
      </c>
      <c r="C182" s="8" t="s">
        <v>188</v>
      </c>
      <c r="D182" s="9">
        <v>2</v>
      </c>
      <c r="E182" s="9">
        <v>0</v>
      </c>
      <c r="F182" s="9">
        <v>2</v>
      </c>
      <c r="G182" s="10">
        <f>+VLOOKUP(Tabla1103453454455456479108135112127[[#This Row],[Ingrediente]],Tabla34[#All],3,0)</f>
        <v>4.5</v>
      </c>
      <c r="H182" s="11">
        <f>+Tabla1103453454455456479108135112127[[#This Row],[Costo]]*Tabla1103453454455456479108135112127[[#This Row],[Columna2]]</f>
        <v>9</v>
      </c>
      <c r="I182" s="4"/>
      <c r="J182" s="5" t="s">
        <v>9</v>
      </c>
      <c r="K182" s="12">
        <f>+K180+K181</f>
        <v>27019.114304185503</v>
      </c>
    </row>
    <row r="183" spans="2:11" x14ac:dyDescent="0.3">
      <c r="B183" s="21" t="s">
        <v>90</v>
      </c>
      <c r="C183" s="8" t="s">
        <v>188</v>
      </c>
      <c r="D183" s="9">
        <v>10</v>
      </c>
      <c r="E183" s="9">
        <v>0</v>
      </c>
      <c r="F183" s="9">
        <v>10</v>
      </c>
      <c r="G183" s="10">
        <f>+VLOOKUP(Tabla1103453454455456479108135112127[[#This Row],[Ingrediente]],Tabla34[#All],3,0)</f>
        <v>1.8699025499999999</v>
      </c>
      <c r="H183" s="11">
        <f>+Tabla1103453454455456479108135112127[[#This Row],[Costo]]*Tabla1103453454455456479108135112127[[#This Row],[Columna2]]</f>
        <v>18.699025499999998</v>
      </c>
      <c r="I183" s="4"/>
      <c r="J183" s="17" t="s">
        <v>10</v>
      </c>
      <c r="K183" s="18">
        <v>70900</v>
      </c>
    </row>
    <row r="184" spans="2:11" x14ac:dyDescent="0.3">
      <c r="B184" s="7" t="s">
        <v>536</v>
      </c>
      <c r="C184" s="8" t="s">
        <v>188</v>
      </c>
      <c r="D184" s="9">
        <v>29.999998600000001</v>
      </c>
      <c r="E184" s="9">
        <v>78</v>
      </c>
      <c r="F184" s="9">
        <v>136.36363</v>
      </c>
      <c r="G184" s="10">
        <f>+VLOOKUP(Tabla1103453454455456479108135112127[[#This Row],[Ingrediente]],Tabla34[#All],3,0)</f>
        <v>4.5</v>
      </c>
      <c r="H184" s="11">
        <f>+Tabla1103453454455456479108135112127[[#This Row],[Costo]]*Tabla1103453454455456479108135112127[[#This Row],[Columna2]]</f>
        <v>613.63633500000003</v>
      </c>
      <c r="I184" s="4"/>
      <c r="J184" s="5" t="s">
        <v>11</v>
      </c>
      <c r="K184" s="12">
        <f>+K183/1.08*0.08</f>
        <v>5251.8518518518522</v>
      </c>
    </row>
    <row r="185" spans="2:11" x14ac:dyDescent="0.3">
      <c r="B185" s="7" t="s">
        <v>424</v>
      </c>
      <c r="C185" s="8" t="s">
        <v>349</v>
      </c>
      <c r="D185" s="9">
        <v>1</v>
      </c>
      <c r="E185" s="9">
        <v>0</v>
      </c>
      <c r="F185" s="9">
        <v>1</v>
      </c>
      <c r="G185" s="10">
        <f>+VLOOKUP(Tabla1103453454455456479108135112127[[#This Row],[Ingrediente]],Tabla34[#All],3,0)</f>
        <v>2022.7272727299999</v>
      </c>
      <c r="H185" s="11">
        <f>+Tabla1103453454455456479108135112127[[#This Row],[Costo]]*Tabla1103453454455456479108135112127[[#This Row],[Columna2]]</f>
        <v>2022.7272727299999</v>
      </c>
      <c r="I185" s="4"/>
      <c r="J185" s="5" t="s">
        <v>12</v>
      </c>
      <c r="K185" s="12">
        <f>+K183-K184</f>
        <v>65648.148148148146</v>
      </c>
    </row>
    <row r="186" spans="2:11" x14ac:dyDescent="0.3">
      <c r="B186" s="21" t="s">
        <v>1084</v>
      </c>
      <c r="C186" s="8" t="s">
        <v>188</v>
      </c>
      <c r="D186" s="9">
        <v>2</v>
      </c>
      <c r="E186" s="9">
        <v>0</v>
      </c>
      <c r="F186" s="9">
        <v>2</v>
      </c>
      <c r="G186" s="10">
        <f>+VLOOKUP(Tabla1103453454455456479108135112127[[#This Row],[Ingrediente]],Tabla34[#All],3,0)</f>
        <v>11532.86363636</v>
      </c>
      <c r="H186" s="11">
        <f>+Tabla1103453454455456479108135112127[[#This Row],[Costo]]*Tabla1103453454455456479108135112127[[#This Row],[Columna2]]</f>
        <v>23065.72727272</v>
      </c>
      <c r="I186" s="4"/>
      <c r="J186" s="5" t="s">
        <v>13</v>
      </c>
      <c r="K186" s="19">
        <f>+K182/K185</f>
        <v>0.41157466076897525</v>
      </c>
    </row>
    <row r="187" spans="2:11" x14ac:dyDescent="0.3">
      <c r="B187" s="13"/>
      <c r="C187" s="14"/>
      <c r="D187" s="14"/>
      <c r="E187" s="14"/>
      <c r="F187" s="14"/>
      <c r="G187" s="15"/>
      <c r="H187" s="15">
        <f>SUBTOTAL(109,Tabla1103453454455456479108135112127[Total costo])</f>
        <v>25732.489813510001</v>
      </c>
      <c r="I187" s="4"/>
      <c r="J187" s="5" t="s">
        <v>14</v>
      </c>
      <c r="K187" s="20">
        <f>+K185-K182</f>
        <v>38629.033843962643</v>
      </c>
    </row>
    <row r="188" spans="2:11" x14ac:dyDescent="0.3">
      <c r="I188" s="4"/>
      <c r="J188" s="5" t="s">
        <v>15</v>
      </c>
      <c r="K188" s="22">
        <f>+K187/K182</f>
        <v>1.4296928244601512</v>
      </c>
    </row>
    <row r="192" spans="2:11" x14ac:dyDescent="0.3">
      <c r="B192" s="1" t="s">
        <v>1275</v>
      </c>
      <c r="C192" s="2"/>
      <c r="D192" s="2"/>
      <c r="E192" s="3"/>
      <c r="F192" s="3"/>
      <c r="G192" s="3"/>
      <c r="H192" s="3"/>
      <c r="J192" s="102" t="s">
        <v>0</v>
      </c>
      <c r="K192" s="102"/>
    </row>
    <row r="193" spans="2:11" x14ac:dyDescent="0.3">
      <c r="B193" s="13" t="s">
        <v>1</v>
      </c>
      <c r="C193" s="14" t="s">
        <v>2</v>
      </c>
      <c r="D193" s="14" t="s">
        <v>3</v>
      </c>
      <c r="E193" s="14" t="s">
        <v>343</v>
      </c>
      <c r="F193" s="14" t="s">
        <v>585</v>
      </c>
      <c r="G193" s="28" t="s">
        <v>4</v>
      </c>
      <c r="H193" s="28" t="s">
        <v>5</v>
      </c>
      <c r="I193" s="4"/>
      <c r="J193" s="5" t="s">
        <v>6</v>
      </c>
      <c r="K193" s="6">
        <f>SUM(Tabla110345345445545647910813511212772[Total costo])</f>
        <v>15026.124991940002</v>
      </c>
    </row>
    <row r="194" spans="2:11" x14ac:dyDescent="0.3">
      <c r="B194" s="7" t="s">
        <v>1120</v>
      </c>
      <c r="C194" s="8" t="s">
        <v>349</v>
      </c>
      <c r="D194" s="9">
        <v>2</v>
      </c>
      <c r="E194" s="9">
        <v>0</v>
      </c>
      <c r="F194" s="9">
        <v>2</v>
      </c>
      <c r="G194" s="10">
        <f>+VLOOKUP(Tabla110345345445545647910813511212772[[#This Row],[Ingrediente]],Tabla34[#All],3,0)</f>
        <v>6504.1590909100005</v>
      </c>
      <c r="H194" s="11">
        <f>+Tabla110345345445545647910813511212772[[#This Row],[Costo]]*Tabla110345345445545647910813511212772[[#This Row],[Columna2]]</f>
        <v>13008.318181820001</v>
      </c>
      <c r="I194" s="4"/>
      <c r="J194" s="5" t="s">
        <v>113</v>
      </c>
      <c r="K194" s="12">
        <f>+K193*5%</f>
        <v>751.30624959700015</v>
      </c>
    </row>
    <row r="195" spans="2:11" x14ac:dyDescent="0.3">
      <c r="B195" s="7" t="s">
        <v>77</v>
      </c>
      <c r="C195" s="8" t="s">
        <v>188</v>
      </c>
      <c r="D195" s="9">
        <v>60</v>
      </c>
      <c r="E195" s="9">
        <v>0</v>
      </c>
      <c r="F195" s="9">
        <v>60</v>
      </c>
      <c r="G195" s="10">
        <f>+VLOOKUP(Tabla110345345445545647910813511212772[[#This Row],[Ingrediente]],Tabla34[#All],3,0)</f>
        <v>18.622814269999999</v>
      </c>
      <c r="H195" s="11">
        <f>+Tabla110345345445545647910813511212772[[#This Row],[Costo]]*Tabla110345345445545647910813511212772[[#This Row],[Columna2]]</f>
        <v>1117.3688562</v>
      </c>
      <c r="I195" s="4"/>
      <c r="J195" s="5" t="s">
        <v>9</v>
      </c>
      <c r="K195" s="12">
        <f>+K193+K194</f>
        <v>15777.431241537002</v>
      </c>
    </row>
    <row r="196" spans="2:11" x14ac:dyDescent="0.3">
      <c r="B196" s="21" t="s">
        <v>156</v>
      </c>
      <c r="C196" s="8" t="s">
        <v>188</v>
      </c>
      <c r="D196" s="9">
        <v>30</v>
      </c>
      <c r="E196" s="9">
        <v>0</v>
      </c>
      <c r="F196" s="9">
        <v>30</v>
      </c>
      <c r="G196" s="10">
        <f>+VLOOKUP(Tabla110345345445545647910813511212772[[#This Row],[Ingrediente]],Tabla34[#All],3,0)</f>
        <v>15.86411244</v>
      </c>
      <c r="H196" s="11">
        <f>+Tabla110345345445545647910813511212772[[#This Row],[Costo]]*Tabla110345345445545647910813511212772[[#This Row],[Columna2]]</f>
        <v>475.92337320000001</v>
      </c>
      <c r="I196" s="4"/>
      <c r="J196" s="17" t="s">
        <v>10</v>
      </c>
      <c r="K196" s="18">
        <v>55000</v>
      </c>
    </row>
    <row r="197" spans="2:11" x14ac:dyDescent="0.3">
      <c r="B197" s="7" t="s">
        <v>1177</v>
      </c>
      <c r="C197" s="8" t="s">
        <v>188</v>
      </c>
      <c r="D197" s="9">
        <v>30</v>
      </c>
      <c r="E197" s="9">
        <v>0</v>
      </c>
      <c r="F197" s="9">
        <v>30</v>
      </c>
      <c r="G197" s="10">
        <f>+VLOOKUP(Tabla110345345445545647910813511212772[[#This Row],[Ingrediente]],Tabla34[#All],3,0)</f>
        <v>12.164332180000001</v>
      </c>
      <c r="H197" s="11">
        <f>+Tabla110345345445545647910813511212772[[#This Row],[Costo]]*Tabla110345345445545647910813511212772[[#This Row],[Columna2]]</f>
        <v>364.92996540000001</v>
      </c>
      <c r="I197" s="4"/>
      <c r="J197" s="5" t="s">
        <v>11</v>
      </c>
      <c r="K197" s="12">
        <f>+K196/1.08*0.08</f>
        <v>4074.0740740740735</v>
      </c>
    </row>
    <row r="198" spans="2:11" x14ac:dyDescent="0.3">
      <c r="B198" s="7" t="s">
        <v>505</v>
      </c>
      <c r="C198" s="8" t="s">
        <v>188</v>
      </c>
      <c r="D198" s="9">
        <v>1</v>
      </c>
      <c r="E198" s="9">
        <v>0</v>
      </c>
      <c r="F198" s="9">
        <v>1</v>
      </c>
      <c r="G198" s="10">
        <f>+VLOOKUP(Tabla110345345445545647910813511212772[[#This Row],[Ingrediente]],Tabla34[#All],3,0)</f>
        <v>9.5</v>
      </c>
      <c r="H198" s="11">
        <f>+Tabla110345345445545647910813511212772[[#This Row],[Costo]]*Tabla110345345445545647910813511212772[[#This Row],[Columna2]]</f>
        <v>9.5</v>
      </c>
      <c r="I198" s="4"/>
      <c r="J198" s="5" t="s">
        <v>12</v>
      </c>
      <c r="K198" s="12">
        <f>+K196-K197</f>
        <v>50925.925925925927</v>
      </c>
    </row>
    <row r="199" spans="2:11" x14ac:dyDescent="0.3">
      <c r="B199" s="21" t="s">
        <v>189</v>
      </c>
      <c r="C199" s="8" t="s">
        <v>188</v>
      </c>
      <c r="D199" s="9">
        <v>1</v>
      </c>
      <c r="E199" s="9">
        <v>0</v>
      </c>
      <c r="F199" s="9">
        <v>1</v>
      </c>
      <c r="G199" s="10">
        <f>+VLOOKUP(Tabla110345345445545647910813511212772[[#This Row],[Ingrediente]],Tabla34[#All],3,0)</f>
        <v>50.08461531999999</v>
      </c>
      <c r="H199" s="11">
        <f>+Tabla110345345445545647910813511212772[[#This Row],[Costo]]*Tabla110345345445545647910813511212772[[#This Row],[Columna2]]</f>
        <v>50.08461531999999</v>
      </c>
      <c r="I199" s="4"/>
      <c r="J199" s="5" t="s">
        <v>13</v>
      </c>
      <c r="K199" s="19">
        <f>+K195/K198</f>
        <v>0.30981137710654477</v>
      </c>
    </row>
    <row r="200" spans="2:11" x14ac:dyDescent="0.3">
      <c r="B200" s="13"/>
      <c r="C200" s="14"/>
      <c r="D200" s="14"/>
      <c r="E200" s="14"/>
      <c r="F200" s="14"/>
      <c r="G200" s="15"/>
      <c r="H200" s="15">
        <f>SUBTOTAL(109,Tabla110345345445545647910813511212772[Total costo])</f>
        <v>15026.124991940002</v>
      </c>
      <c r="I200" s="4"/>
      <c r="J200" s="5" t="s">
        <v>14</v>
      </c>
      <c r="K200" s="20">
        <f>+K198-K195</f>
        <v>35148.494684388927</v>
      </c>
    </row>
    <row r="201" spans="2:11" x14ac:dyDescent="0.3">
      <c r="I201" s="4"/>
      <c r="J201" s="5" t="s">
        <v>15</v>
      </c>
      <c r="K201" s="22">
        <f>+K200/K195</f>
        <v>2.2277704238605089</v>
      </c>
    </row>
    <row r="207" spans="2:11" x14ac:dyDescent="0.3">
      <c r="B207" s="1" t="s">
        <v>1279</v>
      </c>
      <c r="C207" s="2"/>
      <c r="D207" s="2"/>
      <c r="E207" s="3"/>
      <c r="F207" s="3"/>
      <c r="G207" s="3"/>
      <c r="H207" s="3"/>
      <c r="J207" s="102" t="s">
        <v>0</v>
      </c>
      <c r="K207" s="102"/>
    </row>
    <row r="208" spans="2:11" x14ac:dyDescent="0.3">
      <c r="B208" s="13" t="s">
        <v>1</v>
      </c>
      <c r="C208" s="14" t="s">
        <v>2</v>
      </c>
      <c r="D208" s="14" t="s">
        <v>3</v>
      </c>
      <c r="E208" s="14" t="s">
        <v>343</v>
      </c>
      <c r="F208" s="14" t="s">
        <v>585</v>
      </c>
      <c r="G208" s="28" t="s">
        <v>4</v>
      </c>
      <c r="H208" s="28" t="s">
        <v>5</v>
      </c>
      <c r="I208" s="4"/>
      <c r="J208" s="5" t="s">
        <v>6</v>
      </c>
      <c r="K208" s="6">
        <f>SUM(Tabla11034534544554564791081351121277282[Total costo])</f>
        <v>8987.6108731999993</v>
      </c>
    </row>
    <row r="209" spans="2:11" x14ac:dyDescent="0.3">
      <c r="B209" s="7" t="s">
        <v>156</v>
      </c>
      <c r="C209" s="8" t="s">
        <v>188</v>
      </c>
      <c r="D209" s="9">
        <v>30</v>
      </c>
      <c r="E209" s="9">
        <v>0</v>
      </c>
      <c r="F209" s="9">
        <v>30</v>
      </c>
      <c r="G209" s="10">
        <f>+VLOOKUP(Tabla11034534544554564791081351121277282[[#This Row],[Ingrediente]],Tabla34[#All],3,0)</f>
        <v>15.86411244</v>
      </c>
      <c r="H209" s="11">
        <f>+Tabla11034534544554564791081351121277282[[#This Row],[Costo]]*Tabla11034534544554564791081351121277282[[#This Row],[Columna2]]</f>
        <v>475.92337320000001</v>
      </c>
      <c r="I209" s="4"/>
      <c r="J209" s="5" t="s">
        <v>113</v>
      </c>
      <c r="K209" s="12">
        <f>+K208*5%</f>
        <v>449.38054366</v>
      </c>
    </row>
    <row r="210" spans="2:11" x14ac:dyDescent="0.3">
      <c r="B210" s="7" t="s">
        <v>1210</v>
      </c>
      <c r="C210" s="8" t="s">
        <v>188</v>
      </c>
      <c r="D210" s="9">
        <v>3</v>
      </c>
      <c r="E210" s="9">
        <v>0</v>
      </c>
      <c r="F210" s="9">
        <v>3</v>
      </c>
      <c r="G210" s="10">
        <f>+VLOOKUP(Tabla11034534544554564791081351121277282[[#This Row],[Ingrediente]],Tabla34[#All],3,0)</f>
        <v>0</v>
      </c>
      <c r="H210" s="11">
        <f>+Tabla11034534544554564791081351121277282[[#This Row],[Costo]]*Tabla11034534544554564791081351121277282[[#This Row],[Columna2]]</f>
        <v>0</v>
      </c>
      <c r="I210" s="4"/>
      <c r="J210" s="5" t="s">
        <v>9</v>
      </c>
      <c r="K210" s="12">
        <f>+K208+K209</f>
        <v>9436.9914168599989</v>
      </c>
    </row>
    <row r="211" spans="2:11" x14ac:dyDescent="0.3">
      <c r="B211" s="21" t="s">
        <v>1156</v>
      </c>
      <c r="C211" s="8" t="s">
        <v>188</v>
      </c>
      <c r="D211" s="9">
        <v>3</v>
      </c>
      <c r="E211" s="9">
        <v>0</v>
      </c>
      <c r="F211" s="9">
        <v>3</v>
      </c>
      <c r="G211" s="10">
        <f>+VLOOKUP(Tabla11034534544554564791081351121277282[[#This Row],[Ingrediente]],Tabla34[#All],3,0)</f>
        <v>29.6875</v>
      </c>
      <c r="H211" s="11">
        <f>+Tabla11034534544554564791081351121277282[[#This Row],[Costo]]*Tabla11034534544554564791081351121277282[[#This Row],[Columna2]]</f>
        <v>89.0625</v>
      </c>
      <c r="I211" s="4"/>
      <c r="J211" s="17" t="s">
        <v>10</v>
      </c>
      <c r="K211" s="18"/>
    </row>
    <row r="212" spans="2:11" x14ac:dyDescent="0.3">
      <c r="B212" s="7" t="s">
        <v>1217</v>
      </c>
      <c r="C212" s="8" t="s">
        <v>349</v>
      </c>
      <c r="D212" s="9">
        <v>2</v>
      </c>
      <c r="E212" s="9">
        <v>0</v>
      </c>
      <c r="F212" s="9">
        <v>2</v>
      </c>
      <c r="G212" s="10">
        <f>+VLOOKUP(Tabla11034534544554564791081351121277282[[#This Row],[Ingrediente]],Tabla34[#All],3,0)</f>
        <v>3443.3125</v>
      </c>
      <c r="H212" s="11">
        <f>+Tabla11034534544554564791081351121277282[[#This Row],[Costo]]*Tabla11034534544554564791081351121277282[[#This Row],[Columna2]]</f>
        <v>6886.625</v>
      </c>
      <c r="I212" s="4"/>
      <c r="J212" s="5" t="s">
        <v>11</v>
      </c>
      <c r="K212" s="12">
        <f>+K211/1.08*0.08</f>
        <v>0</v>
      </c>
    </row>
    <row r="213" spans="2:11" x14ac:dyDescent="0.3">
      <c r="B213" s="7" t="s">
        <v>1276</v>
      </c>
      <c r="C213" s="8" t="s">
        <v>188</v>
      </c>
      <c r="D213" s="9">
        <v>1</v>
      </c>
      <c r="E213" s="9">
        <v>0</v>
      </c>
      <c r="F213" s="9">
        <v>1</v>
      </c>
      <c r="G213" s="10">
        <f>+VLOOKUP(Tabla11034534544554564791081351121277282[[#This Row],[Ingrediente]],Tabla34[#All],3,0)</f>
        <v>14</v>
      </c>
      <c r="H213" s="11">
        <f>+Tabla11034534544554564791081351121277282[[#This Row],[Costo]]*Tabla11034534544554564791081351121277282[[#This Row],[Columna2]]</f>
        <v>14</v>
      </c>
      <c r="I213" s="4"/>
      <c r="J213" s="5" t="s">
        <v>12</v>
      </c>
      <c r="K213" s="12">
        <f>+K211-K212</f>
        <v>0</v>
      </c>
    </row>
    <row r="214" spans="2:11" x14ac:dyDescent="0.3">
      <c r="B214" s="21" t="s">
        <v>1277</v>
      </c>
      <c r="C214" s="8" t="s">
        <v>570</v>
      </c>
      <c r="D214" s="9">
        <v>1</v>
      </c>
      <c r="E214" s="9">
        <v>0</v>
      </c>
      <c r="F214" s="9">
        <v>1</v>
      </c>
      <c r="G214" s="10">
        <f>+VLOOKUP(Tabla11034534544554564791081351121277282[[#This Row],[Ingrediente]],Tabla34[#All],3,0)</f>
        <v>1222</v>
      </c>
      <c r="H214" s="11">
        <f>+Tabla11034534544554564791081351121277282[[#This Row],[Costo]]*Tabla11034534544554564791081351121277282[[#This Row],[Columna2]]</f>
        <v>1222</v>
      </c>
      <c r="I214" s="4"/>
      <c r="J214" s="5" t="s">
        <v>13</v>
      </c>
      <c r="K214" s="19" t="e">
        <f>+K210/K213</f>
        <v>#DIV/0!</v>
      </c>
    </row>
    <row r="215" spans="2:11" x14ac:dyDescent="0.3">
      <c r="B215" s="7" t="s">
        <v>1278</v>
      </c>
      <c r="C215" s="8" t="s">
        <v>188</v>
      </c>
      <c r="D215" s="9">
        <v>20</v>
      </c>
      <c r="E215" s="9">
        <v>0</v>
      </c>
      <c r="F215" s="9">
        <v>20</v>
      </c>
      <c r="G215" s="10">
        <f>+VLOOKUP(Tabla11034534544554564791081351121277282[[#This Row],[Ingrediente]],Tabla34[#All],3,0)</f>
        <v>15</v>
      </c>
      <c r="H215" s="11">
        <f>+Tabla11034534544554564791081351121277282[[#This Row],[Costo]]*Tabla11034534544554564791081351121277282[[#This Row],[Columna2]]</f>
        <v>300</v>
      </c>
      <c r="I215" s="4"/>
      <c r="J215" s="5" t="s">
        <v>14</v>
      </c>
      <c r="K215" s="20">
        <f>+K213-K210</f>
        <v>-9436.9914168599989</v>
      </c>
    </row>
    <row r="216" spans="2:11" x14ac:dyDescent="0.3">
      <c r="B216" s="13"/>
      <c r="C216" s="14"/>
      <c r="D216" s="14"/>
      <c r="E216" s="14"/>
      <c r="F216" s="14"/>
      <c r="G216" s="15"/>
      <c r="H216" s="15">
        <f>SUBTOTAL(109,Tabla11034534544554564791081351121277282[Total costo])</f>
        <v>8987.6108731999993</v>
      </c>
      <c r="I216" s="4"/>
      <c r="J216" s="5" t="s">
        <v>15</v>
      </c>
      <c r="K216" s="22">
        <f>+K215/K210</f>
        <v>-1</v>
      </c>
    </row>
    <row r="221" spans="2:11" x14ac:dyDescent="0.3">
      <c r="B221" s="1" t="s">
        <v>1280</v>
      </c>
      <c r="C221" s="2"/>
      <c r="D221" s="2"/>
      <c r="E221" s="3"/>
      <c r="F221" s="3"/>
      <c r="G221" s="3"/>
      <c r="H221" s="3"/>
      <c r="J221" s="102" t="s">
        <v>0</v>
      </c>
      <c r="K221" s="102"/>
    </row>
    <row r="222" spans="2:11" x14ac:dyDescent="0.3">
      <c r="B222" s="13" t="s">
        <v>1</v>
      </c>
      <c r="C222" s="14" t="s">
        <v>2</v>
      </c>
      <c r="D222" s="14" t="s">
        <v>3</v>
      </c>
      <c r="E222" s="14" t="s">
        <v>343</v>
      </c>
      <c r="F222" s="14" t="s">
        <v>585</v>
      </c>
      <c r="G222" s="28" t="s">
        <v>4</v>
      </c>
      <c r="H222" s="28" t="s">
        <v>5</v>
      </c>
      <c r="I222" s="4"/>
      <c r="J222" s="5" t="s">
        <v>6</v>
      </c>
      <c r="K222" s="6">
        <f>SUM(Tabla1103453454455456479108135112127728286[Total costo])</f>
        <v>5811.4025398599997</v>
      </c>
    </row>
    <row r="223" spans="2:11" x14ac:dyDescent="0.3">
      <c r="B223" s="7" t="s">
        <v>609</v>
      </c>
      <c r="C223" s="8" t="s">
        <v>349</v>
      </c>
      <c r="D223" s="9">
        <v>2</v>
      </c>
      <c r="E223" s="9">
        <v>0</v>
      </c>
      <c r="F223" s="9">
        <v>2</v>
      </c>
      <c r="G223" s="10">
        <f>+VLOOKUP(Tabla1103453454455456479108135112127728286[[#This Row],[Ingrediente]],Tabla34[#All],3,0)</f>
        <v>1898.20833333</v>
      </c>
      <c r="H223" s="11">
        <f>+Tabla1103453454455456479108135112127728286[[#This Row],[Costo]]*Tabla1103453454455456479108135112127728286[[#This Row],[Columna2]]</f>
        <v>3796.4166666599999</v>
      </c>
      <c r="I223" s="4"/>
      <c r="J223" s="5" t="s">
        <v>113</v>
      </c>
      <c r="K223" s="12">
        <f>+K222*5%</f>
        <v>290.57012699299997</v>
      </c>
    </row>
    <row r="224" spans="2:11" x14ac:dyDescent="0.3">
      <c r="B224" s="7" t="s">
        <v>1278</v>
      </c>
      <c r="C224" s="8" t="s">
        <v>188</v>
      </c>
      <c r="D224" s="9">
        <v>30</v>
      </c>
      <c r="E224" s="9">
        <v>0</v>
      </c>
      <c r="F224" s="9">
        <v>30</v>
      </c>
      <c r="G224" s="10">
        <f>+VLOOKUP(Tabla1103453454455456479108135112127728286[[#This Row],[Ingrediente]],Tabla34[#All],3,0)</f>
        <v>15</v>
      </c>
      <c r="H224" s="11">
        <f>+Tabla1103453454455456479108135112127728286[[#This Row],[Costo]]*Tabla1103453454455456479108135112127728286[[#This Row],[Columna2]]</f>
        <v>450</v>
      </c>
      <c r="I224" s="4"/>
      <c r="J224" s="5" t="s">
        <v>9</v>
      </c>
      <c r="K224" s="12">
        <f>+K222+K223</f>
        <v>6101.9726668529993</v>
      </c>
    </row>
    <row r="225" spans="2:11" x14ac:dyDescent="0.3">
      <c r="B225" s="21" t="s">
        <v>1259</v>
      </c>
      <c r="C225" s="8" t="s">
        <v>188</v>
      </c>
      <c r="D225" s="9">
        <v>30</v>
      </c>
      <c r="E225" s="9">
        <v>0</v>
      </c>
      <c r="F225" s="9">
        <v>30</v>
      </c>
      <c r="G225" s="10">
        <f>+VLOOKUP(Tabla1103453454455456479108135112127728286[[#This Row],[Ingrediente]],Tabla34[#All],3,0)</f>
        <v>30</v>
      </c>
      <c r="H225" s="11">
        <f>+Tabla1103453454455456479108135112127728286[[#This Row],[Costo]]*Tabla1103453454455456479108135112127728286[[#This Row],[Columna2]]</f>
        <v>900</v>
      </c>
      <c r="I225" s="4"/>
      <c r="J225" s="17" t="s">
        <v>10</v>
      </c>
      <c r="K225" s="18"/>
    </row>
    <row r="226" spans="2:11" x14ac:dyDescent="0.3">
      <c r="B226" s="7" t="s">
        <v>156</v>
      </c>
      <c r="C226" s="8" t="s">
        <v>188</v>
      </c>
      <c r="D226" s="9">
        <v>30</v>
      </c>
      <c r="E226" s="9">
        <v>0</v>
      </c>
      <c r="F226" s="9">
        <v>30</v>
      </c>
      <c r="G226" s="10">
        <f>+VLOOKUP(Tabla1103453454455456479108135112127728286[[#This Row],[Ingrediente]],Tabla34[#All],3,0)</f>
        <v>15.86411244</v>
      </c>
      <c r="H226" s="11">
        <f>+Tabla1103453454455456479108135112127728286[[#This Row],[Costo]]*Tabla1103453454455456479108135112127728286[[#This Row],[Columna2]]</f>
        <v>475.92337320000001</v>
      </c>
      <c r="I226" s="4"/>
      <c r="J226" s="5" t="s">
        <v>11</v>
      </c>
      <c r="K226" s="12">
        <f>+K225/1.08*0.08</f>
        <v>0</v>
      </c>
    </row>
    <row r="227" spans="2:11" x14ac:dyDescent="0.3">
      <c r="B227" s="7" t="s">
        <v>1166</v>
      </c>
      <c r="C227" s="8" t="s">
        <v>188</v>
      </c>
      <c r="D227" s="9">
        <v>1</v>
      </c>
      <c r="E227" s="9">
        <v>0</v>
      </c>
      <c r="F227" s="9">
        <v>1</v>
      </c>
      <c r="G227" s="10">
        <f>+VLOOKUP(Tabla1103453454455456479108135112127728286[[#This Row],[Ingrediente]],Tabla34[#All],3,0)</f>
        <v>100</v>
      </c>
      <c r="H227" s="11">
        <f>+Tabla1103453454455456479108135112127728286[[#This Row],[Costo]]*Tabla1103453454455456479108135112127728286[[#This Row],[Columna2]]</f>
        <v>100</v>
      </c>
      <c r="I227" s="4"/>
      <c r="J227" s="5" t="s">
        <v>12</v>
      </c>
      <c r="K227" s="12">
        <f>+K225-K226</f>
        <v>0</v>
      </c>
    </row>
    <row r="228" spans="2:11" x14ac:dyDescent="0.3">
      <c r="B228" s="21" t="s">
        <v>1156</v>
      </c>
      <c r="C228" s="8" t="s">
        <v>188</v>
      </c>
      <c r="D228" s="9">
        <v>3</v>
      </c>
      <c r="E228" s="9">
        <v>0</v>
      </c>
      <c r="F228" s="9">
        <v>3</v>
      </c>
      <c r="G228" s="10">
        <f>+VLOOKUP(Tabla1103453454455456479108135112127728286[[#This Row],[Ingrediente]],Tabla34[#All],3,0)</f>
        <v>29.6875</v>
      </c>
      <c r="H228" s="11">
        <f>+Tabla1103453454455456479108135112127728286[[#This Row],[Costo]]*Tabla1103453454455456479108135112127728286[[#This Row],[Columna2]]</f>
        <v>89.0625</v>
      </c>
      <c r="I228" s="4"/>
      <c r="J228" s="5" t="s">
        <v>13</v>
      </c>
      <c r="K228" s="19" t="e">
        <f>+K224/K227</f>
        <v>#DIV/0!</v>
      </c>
    </row>
    <row r="229" spans="2:11" x14ac:dyDescent="0.3">
      <c r="B229" s="13"/>
      <c r="C229" s="14"/>
      <c r="D229" s="14"/>
      <c r="E229" s="14"/>
      <c r="F229" s="14"/>
      <c r="G229" s="15"/>
      <c r="H229" s="15">
        <f>SUBTOTAL(109,Tabla1103453454455456479108135112127728286[Total costo])</f>
        <v>5811.4025398599997</v>
      </c>
      <c r="I229" s="4"/>
      <c r="J229" s="5" t="s">
        <v>14</v>
      </c>
      <c r="K229" s="20">
        <f>+K227-K224</f>
        <v>-6101.9726668529993</v>
      </c>
    </row>
    <row r="230" spans="2:11" x14ac:dyDescent="0.3">
      <c r="I230" s="4"/>
      <c r="J230" s="5" t="s">
        <v>15</v>
      </c>
      <c r="K230" s="22">
        <f>+K229/K224</f>
        <v>-1</v>
      </c>
    </row>
    <row r="234" spans="2:11" x14ac:dyDescent="0.3">
      <c r="B234" s="1" t="s">
        <v>1284</v>
      </c>
      <c r="C234" s="2"/>
      <c r="D234" s="2"/>
      <c r="E234" s="3"/>
      <c r="F234" s="3"/>
      <c r="G234" s="3"/>
      <c r="H234" s="3"/>
      <c r="J234" s="102" t="s">
        <v>0</v>
      </c>
      <c r="K234" s="102"/>
    </row>
    <row r="235" spans="2:11" x14ac:dyDescent="0.3">
      <c r="B235" s="13" t="s">
        <v>1</v>
      </c>
      <c r="C235" s="14" t="s">
        <v>2</v>
      </c>
      <c r="D235" s="14" t="s">
        <v>3</v>
      </c>
      <c r="E235" s="14" t="s">
        <v>343</v>
      </c>
      <c r="F235" s="14" t="s">
        <v>585</v>
      </c>
      <c r="G235" s="28" t="s">
        <v>4</v>
      </c>
      <c r="H235" s="28" t="s">
        <v>5</v>
      </c>
      <c r="I235" s="4"/>
      <c r="J235" s="5" t="s">
        <v>6</v>
      </c>
      <c r="K235" s="6">
        <f>SUM(Tabla1103453454455456479108135112127728288[Total costo])</f>
        <v>10212.372272730001</v>
      </c>
    </row>
    <row r="236" spans="2:11" x14ac:dyDescent="0.3">
      <c r="B236" s="7" t="s">
        <v>1217</v>
      </c>
      <c r="C236" s="8" t="s">
        <v>349</v>
      </c>
      <c r="D236" s="9">
        <v>2</v>
      </c>
      <c r="E236" s="9">
        <v>0</v>
      </c>
      <c r="F236" s="9">
        <v>2</v>
      </c>
      <c r="G236" s="10">
        <f>+VLOOKUP(Tabla1103453454455456479108135112127728288[[#This Row],[Ingrediente]],Tabla34[#All],3,0)</f>
        <v>3443.3125</v>
      </c>
      <c r="H236" s="11">
        <f>+Tabla1103453454455456479108135112127728288[[#This Row],[Costo]]*Tabla1103453454455456479108135112127728288[[#This Row],[Columna2]]</f>
        <v>6886.625</v>
      </c>
      <c r="I236" s="4"/>
      <c r="J236" s="5" t="s">
        <v>113</v>
      </c>
      <c r="K236" s="12">
        <f>+K235*5%</f>
        <v>510.61861363650007</v>
      </c>
    </row>
    <row r="237" spans="2:11" x14ac:dyDescent="0.3">
      <c r="B237" s="7" t="s">
        <v>1281</v>
      </c>
      <c r="C237" s="8" t="s">
        <v>188</v>
      </c>
      <c r="D237" s="9">
        <v>30</v>
      </c>
      <c r="E237" s="9">
        <v>0</v>
      </c>
      <c r="F237" s="9">
        <v>30</v>
      </c>
      <c r="G237" s="10">
        <f>+VLOOKUP(Tabla1103453454455456479108135112127728288[[#This Row],[Ingrediente]],Tabla34[#All],3,0)</f>
        <v>10</v>
      </c>
      <c r="H237" s="11">
        <f>+Tabla1103453454455456479108135112127728288[[#This Row],[Costo]]*Tabla1103453454455456479108135112127728288[[#This Row],[Columna2]]</f>
        <v>300</v>
      </c>
      <c r="I237" s="4"/>
      <c r="J237" s="5" t="s">
        <v>9</v>
      </c>
      <c r="K237" s="12">
        <f>+K235+K236</f>
        <v>10722.9908863665</v>
      </c>
    </row>
    <row r="238" spans="2:11" x14ac:dyDescent="0.3">
      <c r="B238" s="21" t="s">
        <v>965</v>
      </c>
      <c r="C238" s="8" t="s">
        <v>570</v>
      </c>
      <c r="D238" s="9">
        <v>0.2</v>
      </c>
      <c r="E238" s="9">
        <v>0</v>
      </c>
      <c r="F238" s="9">
        <v>0.2</v>
      </c>
      <c r="G238" s="10">
        <f>+VLOOKUP(Tabla1103453454455456479108135112127728288[[#This Row],[Ingrediente]],Tabla34[#All],3,0)</f>
        <v>4002.6</v>
      </c>
      <c r="H238" s="11">
        <f>+Tabla1103453454455456479108135112127728288[[#This Row],[Costo]]*Tabla1103453454455456479108135112127728288[[#This Row],[Columna2]]</f>
        <v>800.52</v>
      </c>
      <c r="I238" s="4"/>
      <c r="J238" s="17" t="s">
        <v>10</v>
      </c>
      <c r="K238" s="18"/>
    </row>
    <row r="239" spans="2:11" x14ac:dyDescent="0.3">
      <c r="B239" s="7" t="s">
        <v>424</v>
      </c>
      <c r="C239" s="8" t="s">
        <v>349</v>
      </c>
      <c r="D239" s="9">
        <v>1</v>
      </c>
      <c r="E239" s="9">
        <v>0</v>
      </c>
      <c r="F239" s="9">
        <v>1</v>
      </c>
      <c r="G239" s="10">
        <f>+VLOOKUP(Tabla1103453454455456479108135112127728288[[#This Row],[Ingrediente]],Tabla34[#All],3,0)</f>
        <v>2022.7272727299999</v>
      </c>
      <c r="H239" s="11">
        <f>+Tabla1103453454455456479108135112127728288[[#This Row],[Costo]]*Tabla1103453454455456479108135112127728288[[#This Row],[Columna2]]</f>
        <v>2022.7272727299999</v>
      </c>
      <c r="I239" s="4"/>
      <c r="J239" s="5" t="s">
        <v>11</v>
      </c>
      <c r="K239" s="12">
        <f>+K238/1.08*0.08</f>
        <v>0</v>
      </c>
    </row>
    <row r="240" spans="2:11" x14ac:dyDescent="0.3">
      <c r="B240" s="7" t="s">
        <v>167</v>
      </c>
      <c r="C240" s="8" t="s">
        <v>188</v>
      </c>
      <c r="D240" s="9">
        <v>5</v>
      </c>
      <c r="E240" s="9">
        <v>0</v>
      </c>
      <c r="F240" s="9">
        <v>5</v>
      </c>
      <c r="G240" s="10">
        <f>+VLOOKUP(Tabla1103453454455456479108135112127728288[[#This Row],[Ingrediente]],Tabla34[#All],3,0)</f>
        <v>4.5</v>
      </c>
      <c r="H240" s="11">
        <f>+Tabla1103453454455456479108135112127728288[[#This Row],[Costo]]*Tabla1103453454455456479108135112127728288[[#This Row],[Columna2]]</f>
        <v>22.5</v>
      </c>
      <c r="I240" s="4"/>
      <c r="J240" s="5" t="s">
        <v>12</v>
      </c>
      <c r="K240" s="12">
        <f>+K238-K239</f>
        <v>0</v>
      </c>
    </row>
    <row r="241" spans="2:11" x14ac:dyDescent="0.3">
      <c r="B241" s="21" t="s">
        <v>534</v>
      </c>
      <c r="C241" s="8" t="s">
        <v>188</v>
      </c>
      <c r="D241" s="9">
        <v>180</v>
      </c>
      <c r="E241" s="9">
        <v>0</v>
      </c>
      <c r="F241" s="9">
        <v>180</v>
      </c>
      <c r="G241" s="10">
        <f>+VLOOKUP(Tabla1103453454455456479108135112127728288[[#This Row],[Ingrediente]],Tabla34[#All],3,0)</f>
        <v>1</v>
      </c>
      <c r="H241" s="11">
        <f>+Tabla1103453454455456479108135112127728288[[#This Row],[Costo]]*Tabla1103453454455456479108135112127728288[[#This Row],[Columna2]]</f>
        <v>180</v>
      </c>
      <c r="I241" s="4"/>
      <c r="J241" s="5" t="s">
        <v>13</v>
      </c>
      <c r="K241" s="19" t="e">
        <f>+K237/K240</f>
        <v>#DIV/0!</v>
      </c>
    </row>
    <row r="242" spans="2:11" x14ac:dyDescent="0.3">
      <c r="B242" s="13"/>
      <c r="C242" s="14"/>
      <c r="D242" s="14"/>
      <c r="E242" s="14"/>
      <c r="F242" s="14"/>
      <c r="G242" s="15"/>
      <c r="H242" s="15">
        <f>SUBTOTAL(109,Tabla1103453454455456479108135112127728288[Total costo])</f>
        <v>10212.372272730001</v>
      </c>
      <c r="I242" s="4"/>
      <c r="J242" s="5" t="s">
        <v>14</v>
      </c>
      <c r="K242" s="20">
        <f>+K240-K237</f>
        <v>-10722.9908863665</v>
      </c>
    </row>
    <row r="243" spans="2:11" x14ac:dyDescent="0.3">
      <c r="I243" s="4"/>
      <c r="J243" s="5" t="s">
        <v>15</v>
      </c>
      <c r="K243" s="22">
        <f>+K242/K237</f>
        <v>-1</v>
      </c>
    </row>
    <row r="249" spans="2:11" x14ac:dyDescent="0.3">
      <c r="B249" s="1" t="s">
        <v>1287</v>
      </c>
      <c r="C249" s="2"/>
      <c r="D249" s="2"/>
      <c r="E249" s="3"/>
      <c r="F249" s="3"/>
      <c r="G249" s="3"/>
      <c r="H249" s="3"/>
      <c r="J249" s="102" t="s">
        <v>0</v>
      </c>
      <c r="K249" s="102"/>
    </row>
    <row r="250" spans="2:11" x14ac:dyDescent="0.3">
      <c r="B250" s="13" t="s">
        <v>1</v>
      </c>
      <c r="C250" s="14" t="s">
        <v>2</v>
      </c>
      <c r="D250" s="14" t="s">
        <v>3</v>
      </c>
      <c r="E250" s="14" t="s">
        <v>343</v>
      </c>
      <c r="F250" s="14" t="s">
        <v>585</v>
      </c>
      <c r="G250" s="28" t="s">
        <v>4</v>
      </c>
      <c r="H250" s="28" t="s">
        <v>5</v>
      </c>
      <c r="I250" s="4"/>
      <c r="J250" s="5" t="s">
        <v>6</v>
      </c>
      <c r="K250" s="6">
        <f>SUM(Tabla11034534544554564791081351121277282111[Total costo])</f>
        <v>12357.899418785</v>
      </c>
    </row>
    <row r="251" spans="2:11" x14ac:dyDescent="0.3">
      <c r="B251" s="7" t="s">
        <v>1282</v>
      </c>
      <c r="C251" s="8" t="s">
        <v>349</v>
      </c>
      <c r="D251" s="9">
        <v>1</v>
      </c>
      <c r="E251" s="9">
        <v>0</v>
      </c>
      <c r="F251" s="9">
        <v>1</v>
      </c>
      <c r="G251" s="10">
        <f>+VLOOKUP(Tabla11034534544554564791081351121277282111[[#This Row],[Ingrediente]],Tabla34[#All],3,0)</f>
        <v>4448.9545454500003</v>
      </c>
      <c r="H251" s="11">
        <f>+Tabla11034534544554564791081351121277282111[[#This Row],[Costo]]*Tabla11034534544554564791081351121277282111[[#This Row],[Columna2]]</f>
        <v>4448.9545454500003</v>
      </c>
      <c r="I251" s="4"/>
      <c r="J251" s="5" t="s">
        <v>113</v>
      </c>
      <c r="K251" s="12">
        <f>+K250*5%</f>
        <v>617.89497093925002</v>
      </c>
    </row>
    <row r="252" spans="2:11" x14ac:dyDescent="0.3">
      <c r="B252" s="7" t="s">
        <v>432</v>
      </c>
      <c r="C252" s="8" t="s">
        <v>349</v>
      </c>
      <c r="D252" s="9">
        <v>2</v>
      </c>
      <c r="E252" s="9">
        <v>0</v>
      </c>
      <c r="F252" s="9">
        <v>2</v>
      </c>
      <c r="G252" s="10">
        <f>+VLOOKUP(Tabla11034534544554564791081351121277282111[[#This Row],[Ingrediente]],Tabla34[#All],3,0)</f>
        <v>3090.4545454499998</v>
      </c>
      <c r="H252" s="11">
        <f>+Tabla11034534544554564791081351121277282111[[#This Row],[Costo]]*Tabla11034534544554564791081351121277282111[[#This Row],[Columna2]]</f>
        <v>6180.9090908999997</v>
      </c>
      <c r="I252" s="4"/>
      <c r="J252" s="5" t="s">
        <v>9</v>
      </c>
      <c r="K252" s="12">
        <f>+K250+K251</f>
        <v>12975.794389724251</v>
      </c>
    </row>
    <row r="253" spans="2:11" x14ac:dyDescent="0.3">
      <c r="B253" s="21" t="s">
        <v>1283</v>
      </c>
      <c r="C253" s="8" t="s">
        <v>188</v>
      </c>
      <c r="D253" s="9">
        <v>30</v>
      </c>
      <c r="E253" s="9">
        <v>0</v>
      </c>
      <c r="F253" s="9">
        <v>30</v>
      </c>
      <c r="G253" s="10">
        <f>+VLOOKUP(Tabla11034534544554564791081351121277282111[[#This Row],[Ingrediente]],Tabla34[#All],3,0)</f>
        <v>7.2297833100000002</v>
      </c>
      <c r="H253" s="11">
        <f>+Tabla11034534544554564791081351121277282111[[#This Row],[Costo]]*Tabla11034534544554564791081351121277282111[[#This Row],[Columna2]]</f>
        <v>216.8934993</v>
      </c>
      <c r="I253" s="4"/>
      <c r="J253" s="17" t="s">
        <v>10</v>
      </c>
      <c r="K253" s="18"/>
    </row>
    <row r="254" spans="2:11" x14ac:dyDescent="0.3">
      <c r="B254" s="7" t="s">
        <v>156</v>
      </c>
      <c r="C254" s="8" t="s">
        <v>188</v>
      </c>
      <c r="D254" s="9">
        <v>30</v>
      </c>
      <c r="E254" s="9">
        <v>0</v>
      </c>
      <c r="F254" s="9">
        <v>30</v>
      </c>
      <c r="G254" s="10">
        <f>+VLOOKUP(Tabla11034534544554564791081351121277282111[[#This Row],[Ingrediente]],Tabla34[#All],3,0)</f>
        <v>15.86411244</v>
      </c>
      <c r="H254" s="11">
        <f>+Tabla11034534544554564791081351121277282111[[#This Row],[Costo]]*Tabla11034534544554564791081351121277282111[[#This Row],[Columna2]]</f>
        <v>475.92337320000001</v>
      </c>
      <c r="I254" s="4"/>
      <c r="J254" s="5" t="s">
        <v>11</v>
      </c>
      <c r="K254" s="12">
        <f>+K253/1.08*0.08</f>
        <v>0</v>
      </c>
    </row>
    <row r="255" spans="2:11" x14ac:dyDescent="0.3">
      <c r="B255" s="7" t="s">
        <v>410</v>
      </c>
      <c r="C255" s="8" t="s">
        <v>570</v>
      </c>
      <c r="D255" s="9">
        <v>0.5</v>
      </c>
      <c r="E255" s="9">
        <v>0</v>
      </c>
      <c r="F255" s="9">
        <v>0.5</v>
      </c>
      <c r="G255" s="10">
        <f>+VLOOKUP(Tabla11034534544554564791081351121277282111[[#This Row],[Ingrediente]],Tabla34[#All],3,0)</f>
        <v>1497.5916666700002</v>
      </c>
      <c r="H255" s="11">
        <f>+Tabla11034534544554564791081351121277282111[[#This Row],[Costo]]*Tabla11034534544554564791081351121277282111[[#This Row],[Columna2]]</f>
        <v>748.79583333500011</v>
      </c>
      <c r="I255" s="4"/>
      <c r="J255" s="5" t="s">
        <v>12</v>
      </c>
      <c r="K255" s="12">
        <f>+K253-K254</f>
        <v>0</v>
      </c>
    </row>
    <row r="256" spans="2:11" x14ac:dyDescent="0.3">
      <c r="B256" s="21" t="s">
        <v>1010</v>
      </c>
      <c r="C256" s="8" t="s">
        <v>188</v>
      </c>
      <c r="D256" s="9">
        <v>1</v>
      </c>
      <c r="E256" s="9">
        <v>0</v>
      </c>
      <c r="F256" s="9">
        <v>1</v>
      </c>
      <c r="G256" s="10">
        <f>+VLOOKUP(Tabla11034534544554564791081351121277282111[[#This Row],[Ingrediente]],Tabla34[#All],3,0)</f>
        <v>36</v>
      </c>
      <c r="H256" s="11">
        <f>+Tabla11034534544554564791081351121277282111[[#This Row],[Costo]]*Tabla11034534544554564791081351121277282111[[#This Row],[Columna2]]</f>
        <v>36</v>
      </c>
      <c r="I256" s="4"/>
      <c r="J256" s="5" t="s">
        <v>13</v>
      </c>
      <c r="K256" s="19" t="e">
        <f>+K252/K255</f>
        <v>#DIV/0!</v>
      </c>
    </row>
    <row r="257" spans="2:11" x14ac:dyDescent="0.3">
      <c r="B257" s="7" t="s">
        <v>189</v>
      </c>
      <c r="C257" s="8" t="s">
        <v>188</v>
      </c>
      <c r="D257" s="9">
        <v>5</v>
      </c>
      <c r="E257" s="9">
        <v>0</v>
      </c>
      <c r="F257" s="9">
        <v>5</v>
      </c>
      <c r="G257" s="10">
        <f>+VLOOKUP(Tabla11034534544554564791081351121277282111[[#This Row],[Ingrediente]],Tabla34[#All],3,0)</f>
        <v>50.08461531999999</v>
      </c>
      <c r="H257" s="11">
        <f>+Tabla11034534544554564791081351121277282111[[#This Row],[Costo]]*Tabla11034534544554564791081351121277282111[[#This Row],[Columna2]]</f>
        <v>250.42307659999994</v>
      </c>
      <c r="I257" s="4"/>
      <c r="J257" s="5" t="s">
        <v>14</v>
      </c>
      <c r="K257" s="20">
        <f>+K255-K252</f>
        <v>-12975.794389724251</v>
      </c>
    </row>
    <row r="258" spans="2:11" x14ac:dyDescent="0.3">
      <c r="B258" s="13"/>
      <c r="C258" s="14"/>
      <c r="D258" s="14"/>
      <c r="E258" s="14"/>
      <c r="F258" s="14"/>
      <c r="G258" s="15"/>
      <c r="H258" s="15">
        <f>SUBTOTAL(109,Tabla11034534544554564791081351121277282111[Total costo])</f>
        <v>12357.899418785</v>
      </c>
      <c r="I258" s="4"/>
      <c r="J258" s="5" t="s">
        <v>15</v>
      </c>
      <c r="K258" s="22">
        <f>+K257/K252</f>
        <v>-1</v>
      </c>
    </row>
    <row r="262" spans="2:11" x14ac:dyDescent="0.3">
      <c r="B262" s="1" t="s">
        <v>1293</v>
      </c>
      <c r="C262" s="2"/>
      <c r="D262" s="2"/>
      <c r="E262" s="3"/>
      <c r="F262" s="3"/>
      <c r="G262" s="3"/>
      <c r="H262" s="3"/>
      <c r="J262" s="102" t="s">
        <v>0</v>
      </c>
      <c r="K262" s="102"/>
    </row>
    <row r="263" spans="2:11" x14ac:dyDescent="0.3">
      <c r="B263" s="13" t="s">
        <v>1</v>
      </c>
      <c r="C263" s="14" t="s">
        <v>2</v>
      </c>
      <c r="D263" s="14" t="s">
        <v>3</v>
      </c>
      <c r="E263" s="14" t="s">
        <v>343</v>
      </c>
      <c r="F263" s="14" t="s">
        <v>585</v>
      </c>
      <c r="G263" s="28" t="s">
        <v>4</v>
      </c>
      <c r="H263" s="28" t="s">
        <v>5</v>
      </c>
      <c r="I263" s="4"/>
      <c r="J263" s="5" t="s">
        <v>6</v>
      </c>
      <c r="K263" s="6">
        <f>SUM(Tabla11034534544554564791081351121277282111126[Total costo])</f>
        <v>11203.89735098</v>
      </c>
    </row>
    <row r="264" spans="2:11" x14ac:dyDescent="0.3">
      <c r="B264" s="7" t="s">
        <v>641</v>
      </c>
      <c r="C264" s="8" t="s">
        <v>349</v>
      </c>
      <c r="D264" s="9">
        <v>2</v>
      </c>
      <c r="E264" s="9">
        <v>0</v>
      </c>
      <c r="F264" s="9">
        <v>2</v>
      </c>
      <c r="G264" s="10">
        <f>+VLOOKUP(Tabla11034534544554564791081351121277282111126[[#This Row],[Ingrediente]],Tabla34[#All],3,0)</f>
        <v>5465.0833333299997</v>
      </c>
      <c r="H264" s="11">
        <f>+Tabla11034534544554564791081351121277282111126[[#This Row],[Costo]]*Tabla11034534544554564791081351121277282111126[[#This Row],[Columna2]]</f>
        <v>10930.166666659999</v>
      </c>
      <c r="I264" s="4"/>
      <c r="J264" s="5" t="s">
        <v>113</v>
      </c>
      <c r="K264" s="12">
        <f>+K263*5%</f>
        <v>560.19486754900004</v>
      </c>
    </row>
    <row r="265" spans="2:11" x14ac:dyDescent="0.3">
      <c r="B265" s="7" t="s">
        <v>350</v>
      </c>
      <c r="C265" s="8" t="s">
        <v>188</v>
      </c>
      <c r="D265" s="9">
        <v>4</v>
      </c>
      <c r="E265" s="9">
        <v>0</v>
      </c>
      <c r="F265" s="9">
        <v>4</v>
      </c>
      <c r="G265" s="10">
        <f>+VLOOKUP(Tabla11034534544554564791081351121277282111126[[#This Row],[Ingrediente]],Tabla34[#All],3,0)</f>
        <v>68.432671080000006</v>
      </c>
      <c r="H265" s="11">
        <f>+Tabla11034534544554564791081351121277282111126[[#This Row],[Costo]]*Tabla11034534544554564791081351121277282111126[[#This Row],[Columna2]]</f>
        <v>273.73068432000002</v>
      </c>
      <c r="I265" s="4"/>
      <c r="J265" s="5" t="s">
        <v>9</v>
      </c>
      <c r="K265" s="12">
        <f>+K263+K264</f>
        <v>11764.092218529</v>
      </c>
    </row>
    <row r="266" spans="2:11" x14ac:dyDescent="0.3">
      <c r="B266" s="13"/>
      <c r="C266" s="14"/>
      <c r="D266" s="14"/>
      <c r="E266" s="14"/>
      <c r="F266" s="14"/>
      <c r="G266" s="15"/>
      <c r="H266" s="15">
        <f>SUBTOTAL(109,Tabla11034534544554564791081351121277282111126[Total costo])</f>
        <v>11203.89735098</v>
      </c>
      <c r="I266" s="4"/>
      <c r="J266" s="17" t="s">
        <v>10</v>
      </c>
      <c r="K266" s="18">
        <v>42000</v>
      </c>
    </row>
    <row r="267" spans="2:11" x14ac:dyDescent="0.3">
      <c r="I267" s="4"/>
      <c r="J267" s="5" t="s">
        <v>11</v>
      </c>
      <c r="K267" s="12">
        <f>+K266/1.08*0.08</f>
        <v>3111.1111111111109</v>
      </c>
    </row>
    <row r="268" spans="2:11" x14ac:dyDescent="0.3">
      <c r="I268" s="4"/>
      <c r="J268" s="5" t="s">
        <v>12</v>
      </c>
      <c r="K268" s="12">
        <f>+K266-K267</f>
        <v>38888.888888888891</v>
      </c>
    </row>
    <row r="269" spans="2:11" x14ac:dyDescent="0.3">
      <c r="I269" s="4"/>
      <c r="J269" s="5" t="s">
        <v>13</v>
      </c>
      <c r="K269" s="19">
        <f>+K265/K268</f>
        <v>0.30250522847646</v>
      </c>
    </row>
    <row r="270" spans="2:11" x14ac:dyDescent="0.3">
      <c r="I270" s="4"/>
      <c r="J270" s="5" t="s">
        <v>14</v>
      </c>
      <c r="K270" s="20">
        <f>+K268-K265</f>
        <v>27124.79667035989</v>
      </c>
    </row>
    <row r="271" spans="2:11" x14ac:dyDescent="0.3">
      <c r="I271" s="4"/>
      <c r="J271" s="5" t="s">
        <v>15</v>
      </c>
      <c r="K271" s="22">
        <f>+K270/K265</f>
        <v>2.3057279870381375</v>
      </c>
    </row>
    <row r="274" spans="2:11" x14ac:dyDescent="0.3">
      <c r="B274" s="1" t="s">
        <v>1294</v>
      </c>
      <c r="C274" s="2"/>
      <c r="D274" s="2"/>
      <c r="E274" s="3"/>
      <c r="F274" s="3"/>
      <c r="G274" s="3"/>
      <c r="H274" s="3"/>
      <c r="J274" s="102" t="s">
        <v>0</v>
      </c>
      <c r="K274" s="102"/>
    </row>
    <row r="275" spans="2:11" x14ac:dyDescent="0.3">
      <c r="B275" s="13" t="s">
        <v>1</v>
      </c>
      <c r="C275" s="14" t="s">
        <v>2</v>
      </c>
      <c r="D275" s="14" t="s">
        <v>3</v>
      </c>
      <c r="E275" s="14" t="s">
        <v>343</v>
      </c>
      <c r="F275" s="14" t="s">
        <v>585</v>
      </c>
      <c r="G275" s="28" t="s">
        <v>4</v>
      </c>
      <c r="H275" s="28" t="s">
        <v>5</v>
      </c>
      <c r="I275" s="4"/>
      <c r="J275" s="5" t="s">
        <v>6</v>
      </c>
      <c r="K275" s="6">
        <f>SUM(Tabla11034534544554564791081351121277282111126144[Total costo])</f>
        <v>7896.0667876100006</v>
      </c>
    </row>
    <row r="276" spans="2:11" x14ac:dyDescent="0.3">
      <c r="B276" s="7" t="s">
        <v>1295</v>
      </c>
      <c r="C276" s="8" t="s">
        <v>349</v>
      </c>
      <c r="D276" s="9">
        <v>0.75</v>
      </c>
      <c r="E276" s="9">
        <v>0</v>
      </c>
      <c r="F276" s="9">
        <v>0.75</v>
      </c>
      <c r="G276" s="10">
        <f>+VLOOKUP(Tabla11034534544554564791081351121277282111126144[[#This Row],[Ingrediente]],Tabla34[#All],3,0)</f>
        <v>3090.9074074099999</v>
      </c>
      <c r="H276" s="11">
        <f>+Tabla11034534544554564791081351121277282111126144[[#This Row],[Costo]]*Tabla11034534544554564791081351121277282111126144[[#This Row],[Columna2]]</f>
        <v>2318.1805555575002</v>
      </c>
      <c r="I276" s="4"/>
      <c r="J276" s="5" t="s">
        <v>113</v>
      </c>
      <c r="K276" s="12">
        <f>+K275*5%</f>
        <v>394.80333938050006</v>
      </c>
    </row>
    <row r="277" spans="2:11" x14ac:dyDescent="0.3">
      <c r="B277" s="7" t="s">
        <v>1296</v>
      </c>
      <c r="C277" s="8" t="s">
        <v>349</v>
      </c>
      <c r="D277" s="9">
        <v>0.75</v>
      </c>
      <c r="E277" s="9">
        <v>0</v>
      </c>
      <c r="F277" s="9">
        <v>0.75</v>
      </c>
      <c r="G277" s="10">
        <f>+VLOOKUP(Tabla11034534544554564791081351121277282111126144[[#This Row],[Ingrediente]],Tabla34[#All],3,0)</f>
        <v>7065.7727272700004</v>
      </c>
      <c r="H277" s="11">
        <f>+Tabla11034534544554564791081351121277282111126144[[#This Row],[Costo]]*Tabla11034534544554564791081351121277282111126144[[#This Row],[Columna2]]</f>
        <v>5299.3295454525005</v>
      </c>
      <c r="I277" s="4"/>
      <c r="J277" s="5" t="s">
        <v>9</v>
      </c>
      <c r="K277" s="12">
        <f>+K275+K276</f>
        <v>8290.8701269905014</v>
      </c>
    </row>
    <row r="278" spans="2:11" x14ac:dyDescent="0.3">
      <c r="B278" s="7" t="s">
        <v>1297</v>
      </c>
      <c r="C278" s="8" t="s">
        <v>349</v>
      </c>
      <c r="D278" s="9">
        <v>0.5</v>
      </c>
      <c r="E278" s="9">
        <v>0</v>
      </c>
      <c r="F278" s="9">
        <v>0.5</v>
      </c>
      <c r="G278" s="10">
        <f>+VLOOKUP(Tabla11034534544554564791081351121277282111126144[[#This Row],[Ingrediente]],Tabla34[#All],3,0)</f>
        <v>0</v>
      </c>
      <c r="H278" s="11">
        <f>+Tabla11034534544554564791081351121277282111126144[[#This Row],[Costo]]*Tabla11034534544554564791081351121277282111126144[[#This Row],[Columna2]]</f>
        <v>0</v>
      </c>
      <c r="I278" s="4"/>
      <c r="J278" s="17" t="s">
        <v>10</v>
      </c>
      <c r="K278" s="18"/>
    </row>
    <row r="279" spans="2:11" x14ac:dyDescent="0.3">
      <c r="B279" s="7" t="s">
        <v>156</v>
      </c>
      <c r="C279" s="8" t="s">
        <v>188</v>
      </c>
      <c r="D279" s="9">
        <v>15</v>
      </c>
      <c r="E279" s="9">
        <v>0</v>
      </c>
      <c r="F279" s="9">
        <v>15</v>
      </c>
      <c r="G279" s="10">
        <f>+VLOOKUP(Tabla11034534544554564791081351121277282111126144[[#This Row],[Ingrediente]],Tabla34[#All],3,0)</f>
        <v>15.86411244</v>
      </c>
      <c r="H279" s="11">
        <f>+Tabla11034534544554564791081351121277282111126144[[#This Row],[Costo]]*Tabla11034534544554564791081351121277282111126144[[#This Row],[Columna2]]</f>
        <v>237.96168660000001</v>
      </c>
      <c r="I279" s="4"/>
      <c r="J279" s="5" t="s">
        <v>11</v>
      </c>
      <c r="K279" s="12">
        <f>+K278/1.08*0.08</f>
        <v>0</v>
      </c>
    </row>
    <row r="280" spans="2:11" x14ac:dyDescent="0.3">
      <c r="B280" s="7" t="s">
        <v>423</v>
      </c>
      <c r="C280" s="8" t="s">
        <v>188</v>
      </c>
      <c r="D280" s="9">
        <v>1</v>
      </c>
      <c r="E280" s="9">
        <v>0</v>
      </c>
      <c r="F280" s="9">
        <v>1</v>
      </c>
      <c r="G280" s="10">
        <f>+VLOOKUP(Tabla11034534544554564791081351121277282111126144[[#This Row],[Ingrediente]],Tabla34[#All],3,0)</f>
        <v>40.594999999999999</v>
      </c>
      <c r="H280" s="11">
        <f>+Tabla11034534544554564791081351121277282111126144[[#This Row],[Costo]]*Tabla11034534544554564791081351121277282111126144[[#This Row],[Columna2]]</f>
        <v>40.594999999999999</v>
      </c>
      <c r="I280" s="4"/>
      <c r="J280" s="5" t="s">
        <v>12</v>
      </c>
      <c r="K280" s="12">
        <f>+K278-K279</f>
        <v>0</v>
      </c>
    </row>
    <row r="281" spans="2:11" x14ac:dyDescent="0.3">
      <c r="B281" s="13"/>
      <c r="C281" s="14"/>
      <c r="D281" s="14"/>
      <c r="E281" s="14"/>
      <c r="F281" s="14"/>
      <c r="G281" s="15"/>
      <c r="H281" s="15">
        <f>SUBTOTAL(109,Tabla11034534544554564791081351121277282111126144[Total costo])</f>
        <v>7896.0667876100006</v>
      </c>
      <c r="I281" s="4"/>
      <c r="J281" s="5" t="s">
        <v>13</v>
      </c>
      <c r="K281" s="19" t="e">
        <f>+K277/K280</f>
        <v>#DIV/0!</v>
      </c>
    </row>
    <row r="282" spans="2:11" x14ac:dyDescent="0.3">
      <c r="I282" s="4"/>
      <c r="J282" s="5" t="s">
        <v>14</v>
      </c>
      <c r="K282" s="20">
        <f>+K280-K277</f>
        <v>-8290.8701269905014</v>
      </c>
    </row>
    <row r="283" spans="2:11" x14ac:dyDescent="0.3">
      <c r="I283" s="4"/>
      <c r="J283" s="5" t="s">
        <v>15</v>
      </c>
      <c r="K283" s="22">
        <f>+K282/K277</f>
        <v>-1</v>
      </c>
    </row>
  </sheetData>
  <mergeCells count="4">
    <mergeCell ref="J6:K6"/>
    <mergeCell ref="J17:K17"/>
    <mergeCell ref="J42:K42"/>
    <mergeCell ref="J28:K28"/>
  </mergeCells>
  <phoneticPr fontId="20" type="noConversion"/>
  <conditionalFormatting sqref="K13">
    <cfRule type="cellIs" dxfId="533" priority="59" operator="lessThan">
      <formula>0.3</formula>
    </cfRule>
    <cfRule type="cellIs" dxfId="532" priority="60" operator="greaterThan">
      <formula>0.3</formula>
    </cfRule>
  </conditionalFormatting>
  <conditionalFormatting sqref="K24">
    <cfRule type="cellIs" dxfId="531" priority="57" operator="lessThan">
      <formula>0.3</formula>
    </cfRule>
    <cfRule type="cellIs" dxfId="530" priority="58" operator="greaterThan">
      <formula>0.3</formula>
    </cfRule>
  </conditionalFormatting>
  <conditionalFormatting sqref="K35">
    <cfRule type="cellIs" dxfId="529" priority="19" operator="lessThan">
      <formula>0.3</formula>
    </cfRule>
    <cfRule type="cellIs" dxfId="528" priority="20" operator="greaterThan">
      <formula>0.3</formula>
    </cfRule>
  </conditionalFormatting>
  <conditionalFormatting sqref="K49">
    <cfRule type="cellIs" dxfId="527" priority="55" operator="lessThan">
      <formula>0.3</formula>
    </cfRule>
    <cfRule type="cellIs" dxfId="526" priority="56" operator="greaterThan">
      <formula>0.3</formula>
    </cfRule>
  </conditionalFormatting>
  <conditionalFormatting sqref="K61">
    <cfRule type="cellIs" dxfId="525" priority="53" operator="lessThan">
      <formula>0.3</formula>
    </cfRule>
    <cfRule type="cellIs" dxfId="524" priority="54" operator="greaterThan">
      <formula>0.3</formula>
    </cfRule>
  </conditionalFormatting>
  <conditionalFormatting sqref="K74">
    <cfRule type="cellIs" dxfId="523" priority="49" operator="lessThan">
      <formula>0.3</formula>
    </cfRule>
    <cfRule type="cellIs" dxfId="522" priority="50" operator="greaterThan">
      <formula>0.3</formula>
    </cfRule>
  </conditionalFormatting>
  <conditionalFormatting sqref="K86">
    <cfRule type="cellIs" dxfId="521" priority="47" operator="lessThan">
      <formula>0.3</formula>
    </cfRule>
    <cfRule type="cellIs" dxfId="520" priority="48" operator="greaterThan">
      <formula>0.3</formula>
    </cfRule>
  </conditionalFormatting>
  <conditionalFormatting sqref="K97">
    <cfRule type="cellIs" dxfId="519" priority="45" operator="lessThan">
      <formula>0.3</formula>
    </cfRule>
    <cfRule type="cellIs" dxfId="518" priority="46" operator="greaterThan">
      <formula>0.3</formula>
    </cfRule>
  </conditionalFormatting>
  <conditionalFormatting sqref="K110">
    <cfRule type="cellIs" dxfId="517" priority="43" operator="lessThan">
      <formula>0.3</formula>
    </cfRule>
    <cfRule type="cellIs" dxfId="516" priority="44" operator="greaterThan">
      <formula>0.3</formula>
    </cfRule>
  </conditionalFormatting>
  <conditionalFormatting sqref="K122">
    <cfRule type="cellIs" dxfId="515" priority="41" operator="lessThan">
      <formula>0.3</formula>
    </cfRule>
    <cfRule type="cellIs" dxfId="514" priority="42" operator="greaterThan">
      <formula>0.3</formula>
    </cfRule>
  </conditionalFormatting>
  <conditionalFormatting sqref="K134">
    <cfRule type="cellIs" dxfId="513" priority="39" operator="lessThan">
      <formula>0.3</formula>
    </cfRule>
    <cfRule type="cellIs" dxfId="512" priority="40" operator="greaterThan">
      <formula>0.3</formula>
    </cfRule>
  </conditionalFormatting>
  <conditionalFormatting sqref="K147">
    <cfRule type="cellIs" dxfId="511" priority="35" operator="lessThan">
      <formula>0.3</formula>
    </cfRule>
    <cfRule type="cellIs" dxfId="510" priority="36" operator="greaterThan">
      <formula>0.3</formula>
    </cfRule>
  </conditionalFormatting>
  <conditionalFormatting sqref="K160">
    <cfRule type="cellIs" dxfId="509" priority="31" operator="lessThan">
      <formula>0.3</formula>
    </cfRule>
    <cfRule type="cellIs" dxfId="508" priority="32" operator="greaterThan">
      <formula>0.3</formula>
    </cfRule>
  </conditionalFormatting>
  <conditionalFormatting sqref="K173">
    <cfRule type="cellIs" dxfId="507" priority="25" operator="lessThan">
      <formula>0.3</formula>
    </cfRule>
    <cfRule type="cellIs" dxfId="506" priority="26" operator="greaterThan">
      <formula>0.3</formula>
    </cfRule>
  </conditionalFormatting>
  <conditionalFormatting sqref="K186">
    <cfRule type="cellIs" dxfId="505" priority="17" operator="lessThan">
      <formula>0.3</formula>
    </cfRule>
    <cfRule type="cellIs" dxfId="504" priority="18" operator="greaterThan">
      <formula>0.3</formula>
    </cfRule>
  </conditionalFormatting>
  <conditionalFormatting sqref="K199">
    <cfRule type="cellIs" dxfId="503" priority="13" operator="lessThan">
      <formula>0.3</formula>
    </cfRule>
    <cfRule type="cellIs" dxfId="502" priority="14" operator="greaterThan">
      <formula>0.3</formula>
    </cfRule>
  </conditionalFormatting>
  <conditionalFormatting sqref="K214">
    <cfRule type="cellIs" dxfId="501" priority="11" operator="lessThan">
      <formula>0.3</formula>
    </cfRule>
    <cfRule type="cellIs" dxfId="500" priority="12" operator="greaterThan">
      <formula>0.3</formula>
    </cfRule>
  </conditionalFormatting>
  <conditionalFormatting sqref="K228">
    <cfRule type="cellIs" dxfId="499" priority="9" operator="lessThan">
      <formula>0.3</formula>
    </cfRule>
    <cfRule type="cellIs" dxfId="498" priority="10" operator="greaterThan">
      <formula>0.3</formula>
    </cfRule>
  </conditionalFormatting>
  <conditionalFormatting sqref="K241">
    <cfRule type="cellIs" dxfId="497" priority="7" operator="lessThan">
      <formula>0.3</formula>
    </cfRule>
    <cfRule type="cellIs" dxfId="496" priority="8" operator="greaterThan">
      <formula>0.3</formula>
    </cfRule>
  </conditionalFormatting>
  <conditionalFormatting sqref="K256">
    <cfRule type="cellIs" dxfId="495" priority="5" operator="lessThan">
      <formula>0.3</formula>
    </cfRule>
    <cfRule type="cellIs" dxfId="494" priority="6" operator="greaterThan">
      <formula>0.3</formula>
    </cfRule>
  </conditionalFormatting>
  <conditionalFormatting sqref="K269">
    <cfRule type="cellIs" dxfId="493" priority="3" operator="lessThan">
      <formula>0.3</formula>
    </cfRule>
    <cfRule type="cellIs" dxfId="492" priority="4" operator="greaterThan">
      <formula>0.3</formula>
    </cfRule>
  </conditionalFormatting>
  <conditionalFormatting sqref="K281">
    <cfRule type="cellIs" dxfId="491" priority="1" operator="lessThan">
      <formula>0.3</formula>
    </cfRule>
    <cfRule type="cellIs" dxfId="490" priority="2" operator="greaterThan">
      <formula>0.3</formula>
    </cfRule>
  </conditionalFormatting>
  <pageMargins left="0.7" right="0.7" top="0.75" bottom="0.75" header="0.3" footer="0.3"/>
  <pageSetup orientation="portrait" horizontalDpi="360" verticalDpi="360" r:id="rId1"/>
  <drawing r:id="rId2"/>
  <tableParts count="22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C6376-7FBA-4365-87D5-40613AC01D2A}">
  <dimension ref="B7:M42"/>
  <sheetViews>
    <sheetView showGridLines="0" topLeftCell="A22" zoomScale="90" zoomScaleNormal="90" workbookViewId="0">
      <selection activeCell="G41" sqref="G41"/>
    </sheetView>
  </sheetViews>
  <sheetFormatPr baseColWidth="10" defaultRowHeight="14.4" x14ac:dyDescent="0.3"/>
  <cols>
    <col min="1" max="1" width="6.33203125" customWidth="1"/>
    <col min="2" max="2" width="40.109375" bestFit="1" customWidth="1"/>
    <col min="5" max="5" width="10.6640625" customWidth="1"/>
    <col min="6" max="7" width="11.5546875" customWidth="1"/>
    <col min="8" max="8" width="14.5546875" customWidth="1"/>
    <col min="10" max="10" width="26.33203125" bestFit="1" customWidth="1"/>
    <col min="13" max="13" width="40.77734375" bestFit="1" customWidth="1"/>
  </cols>
  <sheetData>
    <row r="7" spans="2:13" ht="15" thickBot="1" x14ac:dyDescent="0.35">
      <c r="G7" s="4"/>
      <c r="H7" s="4"/>
      <c r="I7" s="23"/>
    </row>
    <row r="8" spans="2:13" ht="17.399999999999999" x14ac:dyDescent="0.3">
      <c r="B8" s="89" t="s">
        <v>209</v>
      </c>
      <c r="C8" s="90"/>
      <c r="D8" s="90"/>
      <c r="E8" s="90"/>
      <c r="F8" s="90"/>
      <c r="G8" s="90"/>
      <c r="H8" s="90"/>
      <c r="I8" s="4"/>
      <c r="J8" s="277" t="s">
        <v>0</v>
      </c>
      <c r="K8" s="277"/>
      <c r="M8" s="265" t="s">
        <v>1290</v>
      </c>
    </row>
    <row r="9" spans="2:13" ht="26.4" x14ac:dyDescent="0.3">
      <c r="B9" s="91" t="s">
        <v>1</v>
      </c>
      <c r="C9" s="14" t="s">
        <v>2</v>
      </c>
      <c r="D9" s="87" t="s">
        <v>571</v>
      </c>
      <c r="E9" s="87" t="s">
        <v>572</v>
      </c>
      <c r="F9" s="87" t="s">
        <v>573</v>
      </c>
      <c r="G9" s="92" t="s">
        <v>4</v>
      </c>
      <c r="H9" s="92" t="s">
        <v>5</v>
      </c>
      <c r="I9" s="24"/>
      <c r="J9" s="94" t="s">
        <v>6</v>
      </c>
      <c r="K9" s="95">
        <f>+Tabla1103453454455456479108134141177[[#Totals],[Total costo]]</f>
        <v>2840.9794782650001</v>
      </c>
      <c r="M9" t="s">
        <v>1291</v>
      </c>
    </row>
    <row r="10" spans="2:13" x14ac:dyDescent="0.3">
      <c r="B10" s="7" t="s">
        <v>427</v>
      </c>
      <c r="C10" s="8" t="s">
        <v>188</v>
      </c>
      <c r="D10" s="9">
        <v>20</v>
      </c>
      <c r="E10" s="9">
        <v>5</v>
      </c>
      <c r="F10" s="9">
        <v>21.053000000000001</v>
      </c>
      <c r="G10" s="10">
        <f>+VLOOKUP(Tabla1103453454455456479108134141177[[#This Row],[Ingrediente]],Tabla34[#All],3,0)</f>
        <v>15.5</v>
      </c>
      <c r="H10" s="11">
        <f>+Tabla1103453454455456479108134141177[[#This Row],[Costo]]*Tabla1103453454455456479108134141177[[#This Row],[Unidades]]</f>
        <v>326.32150000000001</v>
      </c>
      <c r="J10" s="5" t="s">
        <v>113</v>
      </c>
      <c r="K10" s="12">
        <f>+K9*5%</f>
        <v>142.04897391325002</v>
      </c>
    </row>
    <row r="11" spans="2:13" ht="17.399999999999999" x14ac:dyDescent="0.3">
      <c r="B11" s="21" t="s">
        <v>78</v>
      </c>
      <c r="C11" s="8" t="s">
        <v>188</v>
      </c>
      <c r="D11" s="9">
        <v>5</v>
      </c>
      <c r="E11" s="9">
        <v>0</v>
      </c>
      <c r="F11" s="9">
        <v>5</v>
      </c>
      <c r="G11" s="10">
        <f>+VLOOKUP(Tabla1103453454455456479108134141177[[#This Row],[Ingrediente]],Tabla34[#All],3,0)</f>
        <v>20.657907720000001</v>
      </c>
      <c r="H11" s="11">
        <f>+Tabla1103453454455456479108134141177[[#This Row],[Costo]]*Tabla1103453454455456479108134141177[[#This Row],[Unidades]]</f>
        <v>103.2895386</v>
      </c>
      <c r="J11" s="5" t="s">
        <v>9</v>
      </c>
      <c r="K11" s="12">
        <f>+K9+K10</f>
        <v>2983.0284521782501</v>
      </c>
      <c r="M11" s="266" t="s">
        <v>1292</v>
      </c>
    </row>
    <row r="12" spans="2:13" x14ac:dyDescent="0.3">
      <c r="B12" s="7" t="s">
        <v>440</v>
      </c>
      <c r="C12" s="8" t="s">
        <v>188</v>
      </c>
      <c r="D12" s="9">
        <v>100</v>
      </c>
      <c r="E12" s="9">
        <v>0</v>
      </c>
      <c r="F12" s="9">
        <v>100</v>
      </c>
      <c r="G12" s="10">
        <f>+VLOOKUP(Tabla1103453454455456479108134141177[[#This Row],[Ingrediente]],Tabla34[#All],3,0)</f>
        <v>19.602417729999999</v>
      </c>
      <c r="H12" s="11">
        <f>+Tabla1103453454455456479108134141177[[#This Row],[Costo]]*Tabla1103453454455456479108134141177[[#This Row],[Unidades]]</f>
        <v>1960.241773</v>
      </c>
      <c r="J12" s="17" t="s">
        <v>10</v>
      </c>
      <c r="K12" s="18">
        <v>21900</v>
      </c>
      <c r="M12" t="s">
        <v>1291</v>
      </c>
    </row>
    <row r="13" spans="2:13" x14ac:dyDescent="0.3">
      <c r="B13" s="7" t="s">
        <v>87</v>
      </c>
      <c r="C13" s="8" t="s">
        <v>570</v>
      </c>
      <c r="D13" s="9">
        <v>0.5</v>
      </c>
      <c r="E13" s="9">
        <v>0</v>
      </c>
      <c r="F13" s="9">
        <v>0.5</v>
      </c>
      <c r="G13" s="10">
        <f>+VLOOKUP(Tabla1103453454455456479108134141177[[#This Row],[Ingrediente]],Tabla34[#All],3,0)</f>
        <v>750.69333332999997</v>
      </c>
      <c r="H13" s="11">
        <f>+Tabla1103453454455456479108134141177[[#This Row],[Costo]]*Tabla1103453454455456479108134141177[[#This Row],[Unidades]]</f>
        <v>375.34666666499999</v>
      </c>
      <c r="J13" s="5" t="s">
        <v>11</v>
      </c>
      <c r="K13" s="12">
        <f>+K12/1.08*0.08</f>
        <v>1622.2222222222222</v>
      </c>
    </row>
    <row r="14" spans="2:13" x14ac:dyDescent="0.3">
      <c r="B14" s="21" t="s">
        <v>1010</v>
      </c>
      <c r="C14" s="8" t="s">
        <v>188</v>
      </c>
      <c r="D14" s="9">
        <v>2</v>
      </c>
      <c r="E14" s="9">
        <v>5</v>
      </c>
      <c r="F14" s="9">
        <v>2.105</v>
      </c>
      <c r="G14" s="10">
        <f>+VLOOKUP(Tabla1103453454455456479108134141177[[#This Row],[Ingrediente]],Tabla34[#All],3,0)</f>
        <v>36</v>
      </c>
      <c r="H14" s="11">
        <f>+Tabla1103453454455456479108134141177[[#This Row],[Costo]]*Tabla1103453454455456479108134141177[[#This Row],[Unidades]]</f>
        <v>75.78</v>
      </c>
      <c r="J14" s="5" t="s">
        <v>12</v>
      </c>
      <c r="K14" s="12">
        <f>+K12-K13</f>
        <v>20277.777777777777</v>
      </c>
    </row>
    <row r="15" spans="2:13" x14ac:dyDescent="0.3">
      <c r="B15" s="13"/>
      <c r="C15" s="14"/>
      <c r="D15" s="14"/>
      <c r="E15" s="14"/>
      <c r="F15" s="14"/>
      <c r="G15" s="15"/>
      <c r="H15" s="15">
        <f>SUBTOTAL(109,Tabla1103453454455456479108134141177[Total costo])</f>
        <v>2840.9794782650001</v>
      </c>
      <c r="I15" s="4"/>
      <c r="J15" s="5" t="s">
        <v>13</v>
      </c>
      <c r="K15" s="19">
        <f>+K11/K14</f>
        <v>0.14710825243618766</v>
      </c>
    </row>
    <row r="16" spans="2:13" x14ac:dyDescent="0.3">
      <c r="G16" s="4"/>
      <c r="H16" s="4"/>
      <c r="J16" s="5" t="s">
        <v>14</v>
      </c>
      <c r="K16" s="20">
        <f>+K14-K11</f>
        <v>17294.749325599529</v>
      </c>
    </row>
    <row r="17" spans="2:13" x14ac:dyDescent="0.3">
      <c r="G17" s="4"/>
      <c r="H17" s="4"/>
      <c r="J17" s="5" t="s">
        <v>15</v>
      </c>
      <c r="K17" s="22">
        <f>+K16/K11</f>
        <v>5.7977151753181086</v>
      </c>
    </row>
    <row r="18" spans="2:13" x14ac:dyDescent="0.3">
      <c r="G18" s="4"/>
      <c r="H18" s="4"/>
      <c r="I18" s="23"/>
    </row>
    <row r="19" spans="2:13" x14ac:dyDescent="0.3">
      <c r="G19" s="4"/>
      <c r="H19" s="4"/>
      <c r="I19" s="23"/>
    </row>
    <row r="20" spans="2:13" ht="15" thickBot="1" x14ac:dyDescent="0.35">
      <c r="B20" s="89" t="s">
        <v>581</v>
      </c>
      <c r="C20" s="90"/>
      <c r="D20" s="90"/>
      <c r="E20" s="90"/>
      <c r="F20" s="90"/>
      <c r="G20" s="90"/>
      <c r="H20" s="90"/>
      <c r="I20" s="23"/>
      <c r="J20" s="277" t="s">
        <v>0</v>
      </c>
      <c r="K20" s="277"/>
    </row>
    <row r="21" spans="2:13" ht="26.4" x14ac:dyDescent="0.3">
      <c r="B21" s="91" t="s">
        <v>1</v>
      </c>
      <c r="C21" s="14" t="s">
        <v>2</v>
      </c>
      <c r="D21" s="87" t="s">
        <v>571</v>
      </c>
      <c r="E21" s="87" t="s">
        <v>572</v>
      </c>
      <c r="F21" s="87" t="s">
        <v>573</v>
      </c>
      <c r="G21" s="92" t="s">
        <v>4</v>
      </c>
      <c r="H21" s="92" t="s">
        <v>5</v>
      </c>
      <c r="I21" s="23"/>
      <c r="J21" s="94" t="s">
        <v>6</v>
      </c>
      <c r="K21" s="95">
        <f>+Tabla1103453454455456479108134141177198[[#Totals],[Total costo]]</f>
        <v>7477.2215651000006</v>
      </c>
      <c r="M21" s="265" t="s">
        <v>1290</v>
      </c>
    </row>
    <row r="22" spans="2:13" x14ac:dyDescent="0.3">
      <c r="B22" s="21" t="s">
        <v>530</v>
      </c>
      <c r="C22" s="8" t="s">
        <v>570</v>
      </c>
      <c r="D22" s="9">
        <v>2</v>
      </c>
      <c r="E22" s="9">
        <v>0</v>
      </c>
      <c r="F22" s="9">
        <v>2</v>
      </c>
      <c r="G22" s="10">
        <f>+VLOOKUP(Tabla1103453454455456479108134141177198[[#This Row],[Ingrediente]],Tabla34[#All],3,0)</f>
        <v>2089.24793735</v>
      </c>
      <c r="H22" s="11">
        <f>+Tabla1103453454455456479108134141177198[[#This Row],[Costo]]*Tabla1103453454455456479108134141177198[[#This Row],[Unidades]]</f>
        <v>4178.4958747000001</v>
      </c>
      <c r="I22" s="4"/>
      <c r="J22" s="5" t="s">
        <v>113</v>
      </c>
      <c r="K22" s="12">
        <f>+K21*5%</f>
        <v>373.86107825500005</v>
      </c>
      <c r="M22" t="s">
        <v>1291</v>
      </c>
    </row>
    <row r="23" spans="2:13" x14ac:dyDescent="0.3">
      <c r="B23" s="7" t="s">
        <v>685</v>
      </c>
      <c r="C23" s="8" t="s">
        <v>188</v>
      </c>
      <c r="D23" s="9">
        <v>80</v>
      </c>
      <c r="E23" s="9">
        <v>0</v>
      </c>
      <c r="F23" s="9">
        <v>80</v>
      </c>
      <c r="G23" s="10">
        <f>+VLOOKUP(Tabla1103453454455456479108134141177198[[#This Row],[Ingrediente]],Tabla34[#All],3,0)</f>
        <v>8.2561999999999998</v>
      </c>
      <c r="H23" s="11">
        <f>+Tabla1103453454455456479108134141177198[[#This Row],[Costo]]*Tabla1103453454455456479108134141177198[[#This Row],[Unidades]]</f>
        <v>660.49599999999998</v>
      </c>
      <c r="I23" s="24"/>
      <c r="J23" s="5" t="s">
        <v>9</v>
      </c>
      <c r="K23" s="12">
        <f>+K21+K22</f>
        <v>7851.082643355001</v>
      </c>
    </row>
    <row r="24" spans="2:13" ht="17.399999999999999" x14ac:dyDescent="0.3">
      <c r="B24" s="7" t="s">
        <v>51</v>
      </c>
      <c r="C24" s="8" t="s">
        <v>188</v>
      </c>
      <c r="D24" s="9">
        <v>20</v>
      </c>
      <c r="E24" s="9">
        <v>0</v>
      </c>
      <c r="F24" s="9">
        <v>20</v>
      </c>
      <c r="G24" s="10">
        <f>+VLOOKUP(Tabla1103453454455456479108134141177198[[#This Row],[Ingrediente]],Tabla34[#All],3,0)</f>
        <v>41.515441180000003</v>
      </c>
      <c r="H24" s="11">
        <f>+Tabla1103453454455456479108134141177198[[#This Row],[Costo]]*Tabla1103453454455456479108134141177198[[#This Row],[Unidades]]</f>
        <v>830.3088236000001</v>
      </c>
      <c r="J24" s="17" t="s">
        <v>10</v>
      </c>
      <c r="K24" s="18">
        <v>29000</v>
      </c>
      <c r="M24" s="266" t="s">
        <v>1292</v>
      </c>
    </row>
    <row r="25" spans="2:13" x14ac:dyDescent="0.3">
      <c r="B25" s="7" t="s">
        <v>427</v>
      </c>
      <c r="C25" s="8" t="s">
        <v>188</v>
      </c>
      <c r="D25" s="9">
        <v>20</v>
      </c>
      <c r="E25" s="9">
        <v>5</v>
      </c>
      <c r="F25" s="9">
        <v>21.053000000000001</v>
      </c>
      <c r="G25" s="10">
        <f>+VLOOKUP(Tabla1103453454455456479108134141177198[[#This Row],[Ingrediente]],Tabla34[#All],3,0)</f>
        <v>15.5</v>
      </c>
      <c r="H25" s="11">
        <f>+Tabla1103453454455456479108134141177198[[#This Row],[Costo]]*Tabla1103453454455456479108134141177198[[#This Row],[Unidades]]</f>
        <v>326.32150000000001</v>
      </c>
      <c r="J25" s="5" t="s">
        <v>11</v>
      </c>
      <c r="K25" s="12">
        <f>+K24/1.08*0.08</f>
        <v>2148.1481481481483</v>
      </c>
      <c r="M25" t="s">
        <v>1291</v>
      </c>
    </row>
    <row r="26" spans="2:13" x14ac:dyDescent="0.3">
      <c r="B26" s="7" t="s">
        <v>436</v>
      </c>
      <c r="C26" s="8" t="s">
        <v>188</v>
      </c>
      <c r="D26" s="9">
        <v>1</v>
      </c>
      <c r="E26" s="9">
        <v>0</v>
      </c>
      <c r="F26" s="9">
        <v>1</v>
      </c>
      <c r="G26" s="10">
        <f>+VLOOKUP(Tabla1103453454455456479108134141177198[[#This Row],[Ingrediente]],Tabla34[#All],3,0)</f>
        <v>180</v>
      </c>
      <c r="H26" s="11">
        <f>+Tabla1103453454455456479108134141177198[[#This Row],[Costo]]*Tabla1103453454455456479108134141177198[[#This Row],[Unidades]]</f>
        <v>180</v>
      </c>
      <c r="J26" s="5" t="s">
        <v>12</v>
      </c>
      <c r="K26" s="12">
        <f>+K24-K25</f>
        <v>26851.85185185185</v>
      </c>
    </row>
    <row r="27" spans="2:13" x14ac:dyDescent="0.3">
      <c r="B27" s="7" t="s">
        <v>78</v>
      </c>
      <c r="C27" s="8" t="s">
        <v>188</v>
      </c>
      <c r="D27" s="9">
        <v>10</v>
      </c>
      <c r="E27" s="9">
        <v>0</v>
      </c>
      <c r="F27" s="9">
        <v>10</v>
      </c>
      <c r="G27" s="10">
        <f>+VLOOKUP(Tabla1103453454455456479108134141177198[[#This Row],[Ingrediente]],Tabla34[#All],3,0)</f>
        <v>20.657907720000001</v>
      </c>
      <c r="H27" s="11">
        <f>+Tabla1103453454455456479108134141177198[[#This Row],[Costo]]*Tabla1103453454455456479108134141177198[[#This Row],[Unidades]]</f>
        <v>206.5790772</v>
      </c>
      <c r="J27" s="5" t="s">
        <v>13</v>
      </c>
      <c r="K27" s="19">
        <f>+K23/K26</f>
        <v>0.29238514671804833</v>
      </c>
    </row>
    <row r="28" spans="2:13" x14ac:dyDescent="0.3">
      <c r="B28" s="21" t="s">
        <v>1011</v>
      </c>
      <c r="C28" s="8" t="s">
        <v>188</v>
      </c>
      <c r="D28" s="9">
        <v>15</v>
      </c>
      <c r="E28" s="9">
        <v>0</v>
      </c>
      <c r="F28" s="9">
        <v>15</v>
      </c>
      <c r="G28" s="10">
        <f>+VLOOKUP(Tabla1103453454455456479108134141177198[[#This Row],[Ingrediente]],Tabla34[#All],3,0)</f>
        <v>73.001352639999993</v>
      </c>
      <c r="H28" s="11">
        <f>+Tabla1103453454455456479108134141177198[[#This Row],[Costo]]*Tabla1103453454455456479108134141177198[[#This Row],[Unidades]]</f>
        <v>1095.0202895999998</v>
      </c>
      <c r="J28" s="5" t="s">
        <v>14</v>
      </c>
      <c r="K28" s="20">
        <f>+K26-K23</f>
        <v>19000.769208496851</v>
      </c>
    </row>
    <row r="29" spans="2:13" x14ac:dyDescent="0.3">
      <c r="B29" s="13"/>
      <c r="C29" s="14"/>
      <c r="D29" s="14"/>
      <c r="E29" s="14"/>
      <c r="F29" s="14"/>
      <c r="G29" s="15"/>
      <c r="H29" s="15">
        <f>SUBTOTAL(109,Tabla1103453454455456479108134141177198[Total costo])</f>
        <v>7477.2215651000006</v>
      </c>
      <c r="I29" s="4"/>
      <c r="J29" s="5" t="s">
        <v>15</v>
      </c>
      <c r="K29" s="22">
        <f>+K28/K23</f>
        <v>2.4201463761916608</v>
      </c>
    </row>
    <row r="30" spans="2:13" x14ac:dyDescent="0.3">
      <c r="I30" s="4"/>
    </row>
    <row r="31" spans="2:13" x14ac:dyDescent="0.3">
      <c r="B31" s="89" t="s">
        <v>1012</v>
      </c>
      <c r="C31" s="90"/>
      <c r="D31" s="90"/>
      <c r="E31" s="90"/>
      <c r="F31" s="90"/>
      <c r="G31" s="90"/>
      <c r="H31" s="90"/>
      <c r="J31" s="277" t="s">
        <v>0</v>
      </c>
      <c r="K31" s="277"/>
    </row>
    <row r="32" spans="2:13" ht="26.4" x14ac:dyDescent="0.3">
      <c r="B32" s="91" t="s">
        <v>1</v>
      </c>
      <c r="C32" s="14" t="s">
        <v>2</v>
      </c>
      <c r="D32" s="87" t="s">
        <v>571</v>
      </c>
      <c r="E32" s="87" t="s">
        <v>572</v>
      </c>
      <c r="F32" s="87" t="s">
        <v>573</v>
      </c>
      <c r="G32" s="28" t="s">
        <v>4</v>
      </c>
      <c r="H32" s="28" t="s">
        <v>5</v>
      </c>
      <c r="J32" s="94" t="s">
        <v>6</v>
      </c>
      <c r="K32" s="95">
        <f>+Tabla110345345445545647910813414117715516397[[#Totals],[Total costo]]</f>
        <v>9195.8748930800011</v>
      </c>
    </row>
    <row r="33" spans="2:11" x14ac:dyDescent="0.3">
      <c r="B33" s="7" t="s">
        <v>1008</v>
      </c>
      <c r="C33" s="8" t="s">
        <v>570</v>
      </c>
      <c r="D33" s="9">
        <v>1</v>
      </c>
      <c r="E33" s="9">
        <v>0</v>
      </c>
      <c r="F33" s="9">
        <v>1</v>
      </c>
      <c r="G33" s="10">
        <f>+VLOOKUP(Tabla110345345445545647910813414117715516397[[#This Row],[Ingrediente]],Tabla34[#All],3,0)</f>
        <v>6428.0485758799996</v>
      </c>
      <c r="H33" s="11">
        <f>+Tabla110345345445545647910813414117715516397[[#This Row],[Costo]]*Tabla110345345445545647910813414117715516397[[#This Row],[Unidades]]</f>
        <v>6428.0485758799996</v>
      </c>
      <c r="J33" s="5" t="s">
        <v>113</v>
      </c>
      <c r="K33" s="12">
        <f>+K32*5%</f>
        <v>459.79374465400008</v>
      </c>
    </row>
    <row r="34" spans="2:11" x14ac:dyDescent="0.3">
      <c r="B34" s="21" t="s">
        <v>1009</v>
      </c>
      <c r="C34" s="8" t="s">
        <v>188</v>
      </c>
      <c r="D34" s="9">
        <v>40</v>
      </c>
      <c r="E34" s="9">
        <v>0</v>
      </c>
      <c r="F34" s="9">
        <v>40</v>
      </c>
      <c r="G34" s="10">
        <f>+VLOOKUP(Tabla110345345445545647910813414117715516397[[#This Row],[Ingrediente]],Tabla34[#All],3,0)</f>
        <v>57.986772719999998</v>
      </c>
      <c r="H34" s="11">
        <f>+Tabla110345345445545647910813414117715516397[[#This Row],[Costo]]*Tabla110345345445545647910813414117715516397[[#This Row],[Unidades]]</f>
        <v>2319.4709088</v>
      </c>
      <c r="J34" s="5" t="s">
        <v>9</v>
      </c>
      <c r="K34" s="12">
        <f>+K32+K33</f>
        <v>9655.6686377340011</v>
      </c>
    </row>
    <row r="35" spans="2:11" x14ac:dyDescent="0.3">
      <c r="B35" s="7" t="s">
        <v>1010</v>
      </c>
      <c r="C35" s="8" t="s">
        <v>188</v>
      </c>
      <c r="D35" s="9">
        <v>1</v>
      </c>
      <c r="E35" s="9">
        <v>0</v>
      </c>
      <c r="F35" s="9">
        <v>1</v>
      </c>
      <c r="G35" s="10">
        <f>+VLOOKUP(Tabla110345345445545647910813414117715516397[[#This Row],[Ingrediente]],Tabla34[#All],3,0)</f>
        <v>36</v>
      </c>
      <c r="H35" s="11">
        <f>+Tabla110345345445545647910813414117715516397[[#This Row],[Costo]]*Tabla110345345445545647910813414117715516397[[#This Row],[Unidades]]</f>
        <v>36</v>
      </c>
      <c r="J35" s="17" t="s">
        <v>10</v>
      </c>
      <c r="K35" s="18">
        <v>25000</v>
      </c>
    </row>
    <row r="36" spans="2:11" x14ac:dyDescent="0.3">
      <c r="B36" s="21" t="s">
        <v>943</v>
      </c>
      <c r="C36" s="8" t="s">
        <v>188</v>
      </c>
      <c r="D36" s="9">
        <v>5</v>
      </c>
      <c r="E36" s="9">
        <v>0</v>
      </c>
      <c r="F36" s="9">
        <v>5</v>
      </c>
      <c r="G36" s="10">
        <f>+VLOOKUP(Tabla110345345445545647910813414117715516397[[#This Row],[Ingrediente]],Tabla34[#All],3,0)</f>
        <v>82.471081679999998</v>
      </c>
      <c r="H36" s="11">
        <f>+Tabla110345345445545647910813414117715516397[[#This Row],[Costo]]*Tabla110345345445545647910813414117715516397[[#This Row],[Unidades]]</f>
        <v>412.35540839999999</v>
      </c>
      <c r="I36" s="24"/>
      <c r="J36" s="5" t="s">
        <v>11</v>
      </c>
      <c r="K36" s="12">
        <f>+K35/1.08*0.08</f>
        <v>1851.8518518518517</v>
      </c>
    </row>
    <row r="37" spans="2:11" x14ac:dyDescent="0.3">
      <c r="B37" s="13"/>
      <c r="C37" s="14"/>
      <c r="D37" s="14"/>
      <c r="E37" s="14"/>
      <c r="F37" s="14"/>
      <c r="G37" s="15"/>
      <c r="H37" s="15">
        <f>SUBTOTAL(109,Tabla110345345445545647910813414117715516397[Total costo])</f>
        <v>9195.8748930800011</v>
      </c>
      <c r="J37" s="5" t="s">
        <v>12</v>
      </c>
      <c r="K37" s="12">
        <f>+K35-K36</f>
        <v>23148.14814814815</v>
      </c>
    </row>
    <row r="38" spans="2:11" x14ac:dyDescent="0.3">
      <c r="J38" s="5" t="s">
        <v>13</v>
      </c>
      <c r="K38" s="19">
        <f>+K34/K37</f>
        <v>0.41712488515010882</v>
      </c>
    </row>
    <row r="39" spans="2:11" x14ac:dyDescent="0.3">
      <c r="J39" s="5" t="s">
        <v>14</v>
      </c>
      <c r="K39" s="20">
        <f>+K37-K34</f>
        <v>13492.479510414149</v>
      </c>
    </row>
    <row r="40" spans="2:11" x14ac:dyDescent="0.3">
      <c r="J40" s="5" t="s">
        <v>15</v>
      </c>
      <c r="K40" s="22">
        <f>+K39/K34</f>
        <v>1.397363560891685</v>
      </c>
    </row>
    <row r="42" spans="2:11" x14ac:dyDescent="0.3">
      <c r="I42" s="4"/>
    </row>
  </sheetData>
  <mergeCells count="3">
    <mergeCell ref="J31:K31"/>
    <mergeCell ref="J8:K8"/>
    <mergeCell ref="J20:K20"/>
  </mergeCells>
  <conditionalFormatting sqref="K15">
    <cfRule type="cellIs" dxfId="489" priority="11" operator="lessThan">
      <formula>0.3</formula>
    </cfRule>
    <cfRule type="cellIs" dxfId="488" priority="12" operator="greaterThan">
      <formula>0.3</formula>
    </cfRule>
  </conditionalFormatting>
  <conditionalFormatting sqref="K27">
    <cfRule type="cellIs" dxfId="487" priority="9" operator="lessThan">
      <formula>0.3</formula>
    </cfRule>
    <cfRule type="cellIs" dxfId="486" priority="10" operator="greaterThan">
      <formula>0.3</formula>
    </cfRule>
  </conditionalFormatting>
  <conditionalFormatting sqref="K38">
    <cfRule type="cellIs" dxfId="485" priority="3" operator="lessThan">
      <formula>0.3</formula>
    </cfRule>
    <cfRule type="cellIs" dxfId="484" priority="4" operator="greaterThan">
      <formula>0.3</formula>
    </cfRule>
  </conditionalFormatting>
  <pageMargins left="0.7" right="0.7" top="0.75" bottom="0.75" header="0.3" footer="0.3"/>
  <pageSetup orientation="portrait" horizontalDpi="360" verticalDpi="360" r:id="rId1"/>
  <drawing r:id="rId2"/>
  <tableParts count="7">
    <tablePart r:id="rId3"/>
    <tablePart r:id="rId4"/>
    <tablePart r:id="rId5"/>
    <tablePart r:id="rId6"/>
    <tablePart r:id="rId7"/>
    <tablePart r:id="rId8"/>
    <tablePart r:id="rId9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7626A-2B9B-4724-974B-34A8144A5D85}">
  <dimension ref="B5:K123"/>
  <sheetViews>
    <sheetView showGridLines="0" topLeftCell="A19" workbookViewId="0">
      <selection activeCell="K36" sqref="K36"/>
    </sheetView>
  </sheetViews>
  <sheetFormatPr baseColWidth="10" defaultRowHeight="14.4" x14ac:dyDescent="0.3"/>
  <cols>
    <col min="1" max="1" width="6.33203125" customWidth="1"/>
    <col min="2" max="2" width="40.109375" bestFit="1" customWidth="1"/>
    <col min="7" max="7" width="3.5546875" customWidth="1"/>
    <col min="8" max="8" width="27.33203125" bestFit="1" customWidth="1"/>
    <col min="11" max="11" width="40.77734375" bestFit="1" customWidth="1"/>
  </cols>
  <sheetData>
    <row r="5" spans="2:11" ht="15" thickBot="1" x14ac:dyDescent="0.35"/>
    <row r="6" spans="2:11" ht="17.399999999999999" x14ac:dyDescent="0.3">
      <c r="B6" s="1" t="s">
        <v>232</v>
      </c>
      <c r="C6" s="2"/>
      <c r="D6" s="2"/>
      <c r="E6" s="3"/>
      <c r="F6" s="3"/>
      <c r="G6" s="4"/>
      <c r="H6" s="277" t="s">
        <v>0</v>
      </c>
      <c r="I6" s="277"/>
      <c r="K6" s="265" t="s">
        <v>1290</v>
      </c>
    </row>
    <row r="7" spans="2:11" x14ac:dyDescent="0.3">
      <c r="B7" s="13" t="s">
        <v>1</v>
      </c>
      <c r="C7" s="14" t="s">
        <v>2</v>
      </c>
      <c r="D7" s="14" t="s">
        <v>3</v>
      </c>
      <c r="E7" s="28" t="s">
        <v>4</v>
      </c>
      <c r="F7" s="28" t="s">
        <v>5</v>
      </c>
      <c r="G7" s="4"/>
      <c r="H7" s="5" t="s">
        <v>6</v>
      </c>
      <c r="I7" s="6" t="e">
        <f>SUM(Tabla1103453454455456479108135112172299306316[Total costo])</f>
        <v>#REF!</v>
      </c>
      <c r="K7" t="s">
        <v>1291</v>
      </c>
    </row>
    <row r="8" spans="2:11" x14ac:dyDescent="0.3">
      <c r="B8" s="7" t="s">
        <v>178</v>
      </c>
      <c r="C8" s="8" t="s">
        <v>107</v>
      </c>
      <c r="D8" s="9">
        <v>1.5</v>
      </c>
      <c r="E8" s="10" t="e">
        <f>+VLOOKUP(Tabla1103453454455456479108135112172299306316[[#This Row],[Ingrediente]],#REF!,6,0)</f>
        <v>#REF!</v>
      </c>
      <c r="F8" s="11" t="e">
        <f>+Tabla1103453454455456479108135112172299306316[[#This Row],[Costo]]*Tabla1103453454455456479108135112172299306316[[#This Row],[Cant.]]</f>
        <v>#REF!</v>
      </c>
      <c r="G8" s="4"/>
      <c r="H8" s="5" t="s">
        <v>113</v>
      </c>
      <c r="I8" s="12" t="e">
        <f>+I7*5%</f>
        <v>#REF!</v>
      </c>
    </row>
    <row r="9" spans="2:11" ht="17.399999999999999" x14ac:dyDescent="0.3">
      <c r="B9" s="21" t="s">
        <v>40</v>
      </c>
      <c r="C9" s="8" t="s">
        <v>107</v>
      </c>
      <c r="D9" s="9">
        <v>1</v>
      </c>
      <c r="E9" s="10" t="e">
        <f>+VLOOKUP(Tabla1103453454455456479108135112172299306316[[#This Row],[Ingrediente]],#REF!,6,0)</f>
        <v>#REF!</v>
      </c>
      <c r="F9" s="11" t="e">
        <f>+Tabla1103453454455456479108135112172299306316[[#This Row],[Costo]]*Tabla1103453454455456479108135112172299306316[[#This Row],[Cant.]]</f>
        <v>#REF!</v>
      </c>
      <c r="G9" s="4"/>
      <c r="H9" s="5" t="s">
        <v>9</v>
      </c>
      <c r="I9" s="12" t="e">
        <f>+I7+I8</f>
        <v>#REF!</v>
      </c>
      <c r="K9" s="266" t="s">
        <v>1292</v>
      </c>
    </row>
    <row r="10" spans="2:11" x14ac:dyDescent="0.3">
      <c r="B10" s="7" t="s">
        <v>90</v>
      </c>
      <c r="C10" s="8" t="s">
        <v>68</v>
      </c>
      <c r="D10" s="9">
        <v>22.5</v>
      </c>
      <c r="E10" s="10" t="e">
        <f>+VLOOKUP(Tabla1103453454455456479108135112172299306316[[#This Row],[Ingrediente]],#REF!,6,0)</f>
        <v>#REF!</v>
      </c>
      <c r="F10" s="11" t="e">
        <f>+Tabla1103453454455456479108135112172299306316[[#This Row],[Costo]]*Tabla1103453454455456479108135112172299306316[[#This Row],[Cant.]]</f>
        <v>#REF!</v>
      </c>
      <c r="G10" s="4"/>
      <c r="H10" s="17" t="s">
        <v>10</v>
      </c>
      <c r="I10" s="18"/>
      <c r="K10" t="s">
        <v>1291</v>
      </c>
    </row>
    <row r="11" spans="2:11" x14ac:dyDescent="0.3">
      <c r="B11" s="21" t="s">
        <v>72</v>
      </c>
      <c r="C11" s="8" t="s">
        <v>68</v>
      </c>
      <c r="D11" s="9">
        <v>30</v>
      </c>
      <c r="E11" s="10" t="e">
        <f>+VLOOKUP(Tabla1103453454455456479108135112172299306316[[#This Row],[Ingrediente]],#REF!,6,0)</f>
        <v>#REF!</v>
      </c>
      <c r="F11" s="11" t="e">
        <f>+Tabla1103453454455456479108135112172299306316[[#This Row],[Costo]]*Tabla1103453454455456479108135112172299306316[[#This Row],[Cant.]]</f>
        <v>#REF!</v>
      </c>
      <c r="G11" s="4"/>
      <c r="H11" s="5" t="s">
        <v>11</v>
      </c>
      <c r="I11" s="12">
        <f>+I10/1.08*0.08</f>
        <v>0</v>
      </c>
    </row>
    <row r="12" spans="2:11" x14ac:dyDescent="0.3">
      <c r="B12" s="7" t="s">
        <v>154</v>
      </c>
      <c r="C12" s="8" t="s">
        <v>68</v>
      </c>
      <c r="D12" s="9">
        <v>1</v>
      </c>
      <c r="E12" s="10" t="e">
        <f>+VLOOKUP(Tabla1103453454455456479108135112172299306316[[#This Row],[Ingrediente]],#REF!,6,0)</f>
        <v>#REF!</v>
      </c>
      <c r="F12" s="11" t="e">
        <f>+Tabla1103453454455456479108135112172299306316[[#This Row],[Costo]]*Tabla1103453454455456479108135112172299306316[[#This Row],[Cant.]]</f>
        <v>#REF!</v>
      </c>
      <c r="G12" s="4"/>
      <c r="H12" s="5" t="s">
        <v>12</v>
      </c>
      <c r="I12" s="12">
        <f>+I10-I11</f>
        <v>0</v>
      </c>
    </row>
    <row r="13" spans="2:11" x14ac:dyDescent="0.3">
      <c r="B13" s="21" t="s">
        <v>54</v>
      </c>
      <c r="C13" s="8" t="s">
        <v>61</v>
      </c>
      <c r="D13" s="9">
        <v>1</v>
      </c>
      <c r="E13" s="10" t="e">
        <f>+VLOOKUP(Tabla1103453454455456479108135112172299306316[[#This Row],[Ingrediente]],#REF!,6,0)</f>
        <v>#REF!</v>
      </c>
      <c r="F13" s="11" t="e">
        <f>+Tabla1103453454455456479108135112172299306316[[#This Row],[Costo]]*Tabla1103453454455456479108135112172299306316[[#This Row],[Cant.]]</f>
        <v>#REF!</v>
      </c>
      <c r="G13" s="4"/>
      <c r="H13" s="5" t="s">
        <v>13</v>
      </c>
      <c r="I13" s="19" t="e">
        <f>+I9/I12</f>
        <v>#REF!</v>
      </c>
    </row>
    <row r="14" spans="2:11" x14ac:dyDescent="0.3">
      <c r="B14" s="13"/>
      <c r="C14" s="14"/>
      <c r="D14" s="14"/>
      <c r="E14" s="15"/>
      <c r="F14" s="15" t="e">
        <f>SUBTOTAL(109,Tabla1103453454455456479108135112172299306316[Total costo])</f>
        <v>#REF!</v>
      </c>
      <c r="G14" s="4"/>
      <c r="H14" s="5" t="s">
        <v>14</v>
      </c>
      <c r="I14" s="20" t="e">
        <f>+I12-I9</f>
        <v>#REF!</v>
      </c>
    </row>
    <row r="15" spans="2:11" x14ac:dyDescent="0.3">
      <c r="G15" s="4"/>
      <c r="H15" s="5" t="s">
        <v>15</v>
      </c>
      <c r="I15" s="22" t="e">
        <f>+I14/I9</f>
        <v>#REF!</v>
      </c>
    </row>
    <row r="16" spans="2:11" ht="15" thickBot="1" x14ac:dyDescent="0.35">
      <c r="G16" s="4"/>
      <c r="H16" s="4"/>
      <c r="I16" s="23"/>
    </row>
    <row r="17" spans="2:11" ht="17.399999999999999" x14ac:dyDescent="0.3">
      <c r="B17" s="1" t="s">
        <v>233</v>
      </c>
      <c r="C17" s="2"/>
      <c r="D17" s="2"/>
      <c r="E17" s="3"/>
      <c r="F17" s="3"/>
      <c r="G17" s="4"/>
      <c r="H17" s="277" t="s">
        <v>0</v>
      </c>
      <c r="I17" s="277"/>
      <c r="K17" s="265" t="s">
        <v>1290</v>
      </c>
    </row>
    <row r="18" spans="2:11" x14ac:dyDescent="0.3">
      <c r="B18" s="13" t="s">
        <v>1</v>
      </c>
      <c r="C18" s="14" t="s">
        <v>2</v>
      </c>
      <c r="D18" s="14" t="s">
        <v>3</v>
      </c>
      <c r="E18" s="28" t="s">
        <v>4</v>
      </c>
      <c r="F18" s="28" t="s">
        <v>5</v>
      </c>
      <c r="G18" s="24"/>
      <c r="H18" s="5" t="s">
        <v>6</v>
      </c>
      <c r="I18" s="6" t="e">
        <f>SUM(Tabla1103453454455456479108129136156173300307317[Total costo])</f>
        <v>#REF!</v>
      </c>
      <c r="K18" t="s">
        <v>1291</v>
      </c>
    </row>
    <row r="19" spans="2:11" x14ac:dyDescent="0.3">
      <c r="B19" s="7" t="s">
        <v>90</v>
      </c>
      <c r="C19" s="8" t="s">
        <v>68</v>
      </c>
      <c r="D19" s="9">
        <v>10</v>
      </c>
      <c r="E19" s="10" t="e">
        <f>+VLOOKUP(Tabla1103453454455456479108129136156173300307317[[#This Row],[Ingrediente]],#REF!,6,0)</f>
        <v>#REF!</v>
      </c>
      <c r="F19" s="11" t="e">
        <f>+Tabla1103453454455456479108129136156173300307317[[#This Row],[Costo]]*Tabla1103453454455456479108129136156173300307317[[#This Row],[Cant.]]</f>
        <v>#REF!</v>
      </c>
      <c r="H19" s="5" t="s">
        <v>113</v>
      </c>
      <c r="I19" s="12" t="e">
        <f>+I18*5%</f>
        <v>#REF!</v>
      </c>
    </row>
    <row r="20" spans="2:11" ht="17.399999999999999" x14ac:dyDescent="0.3">
      <c r="B20" s="21" t="s">
        <v>154</v>
      </c>
      <c r="C20" s="8" t="s">
        <v>68</v>
      </c>
      <c r="D20" s="9">
        <v>1</v>
      </c>
      <c r="E20" s="10" t="e">
        <f>+VLOOKUP(Tabla1103453454455456479108129136156173300307317[[#This Row],[Ingrediente]],#REF!,6,0)</f>
        <v>#REF!</v>
      </c>
      <c r="F20" s="11" t="e">
        <f>+Tabla1103453454455456479108129136156173300307317[[#This Row],[Costo]]*Tabla1103453454455456479108129136156173300307317[[#This Row],[Cant.]]</f>
        <v>#REF!</v>
      </c>
      <c r="H20" s="5" t="s">
        <v>9</v>
      </c>
      <c r="I20" s="12" t="e">
        <f>+I18+I19</f>
        <v>#REF!</v>
      </c>
      <c r="K20" s="266" t="s">
        <v>1292</v>
      </c>
    </row>
    <row r="21" spans="2:11" x14ac:dyDescent="0.3">
      <c r="B21" s="7" t="s">
        <v>31</v>
      </c>
      <c r="C21" s="8" t="s">
        <v>68</v>
      </c>
      <c r="D21" s="9">
        <v>1</v>
      </c>
      <c r="E21" s="10" t="e">
        <f>+VLOOKUP(Tabla1103453454455456479108129136156173300307317[[#This Row],[Ingrediente]],#REF!,6,0)</f>
        <v>#REF!</v>
      </c>
      <c r="F21" s="11" t="e">
        <f>+Tabla1103453454455456479108129136156173300307317[[#This Row],[Costo]]*Tabla1103453454455456479108129136156173300307317[[#This Row],[Cant.]]</f>
        <v>#REF!</v>
      </c>
      <c r="H21" s="17" t="s">
        <v>10</v>
      </c>
      <c r="I21" s="18"/>
      <c r="K21" t="s">
        <v>1291</v>
      </c>
    </row>
    <row r="22" spans="2:11" x14ac:dyDescent="0.3">
      <c r="B22" s="21" t="s">
        <v>45</v>
      </c>
      <c r="C22" s="8" t="s">
        <v>107</v>
      </c>
      <c r="D22" s="9">
        <v>0.5</v>
      </c>
      <c r="E22" s="10" t="e">
        <f>+VLOOKUP(Tabla1103453454455456479108129136156173300307317[[#This Row],[Ingrediente]],#REF!,6,0)</f>
        <v>#REF!</v>
      </c>
      <c r="F22" s="11" t="e">
        <f>+Tabla1103453454455456479108129136156173300307317[[#This Row],[Costo]]*Tabla1103453454455456479108129136156173300307317[[#This Row],[Cant.]]</f>
        <v>#REF!</v>
      </c>
      <c r="H22" s="5" t="s">
        <v>11</v>
      </c>
      <c r="I22" s="12">
        <f>+I21/1.08*0.08</f>
        <v>0</v>
      </c>
    </row>
    <row r="23" spans="2:11" x14ac:dyDescent="0.3">
      <c r="B23" s="7" t="s">
        <v>47</v>
      </c>
      <c r="C23" s="8" t="s">
        <v>107</v>
      </c>
      <c r="D23" s="9">
        <v>1.5</v>
      </c>
      <c r="E23" s="10" t="e">
        <f>+VLOOKUP(Tabla1103453454455456479108129136156173300307317[[#This Row],[Ingrediente]],#REF!,6,0)</f>
        <v>#REF!</v>
      </c>
      <c r="F23" s="11" t="e">
        <f>+Tabla1103453454455456479108129136156173300307317[[#This Row],[Costo]]*Tabla1103453454455456479108129136156173300307317[[#This Row],[Cant.]]</f>
        <v>#REF!</v>
      </c>
      <c r="H23" s="5" t="s">
        <v>12</v>
      </c>
      <c r="I23" s="12">
        <f>+I21-I22</f>
        <v>0</v>
      </c>
    </row>
    <row r="24" spans="2:11" x14ac:dyDescent="0.3">
      <c r="B24" s="21" t="s">
        <v>109</v>
      </c>
      <c r="C24" s="8" t="s">
        <v>68</v>
      </c>
      <c r="D24" s="9"/>
      <c r="E24" s="10" t="e">
        <f>+VLOOKUP(Tabla1103453454455456479108129136156173300307317[[#This Row],[Ingrediente]],#REF!,6,0)</f>
        <v>#REF!</v>
      </c>
      <c r="F24" s="11" t="e">
        <f>+Tabla1103453454455456479108129136156173300307317[[#This Row],[Costo]]*Tabla1103453454455456479108129136156173300307317[[#This Row],[Cant.]]</f>
        <v>#REF!</v>
      </c>
      <c r="H24" s="5" t="s">
        <v>13</v>
      </c>
      <c r="I24" s="19" t="e">
        <f>+I20/I23</f>
        <v>#REF!</v>
      </c>
    </row>
    <row r="25" spans="2:11" x14ac:dyDescent="0.3">
      <c r="B25" s="13"/>
      <c r="C25" s="14"/>
      <c r="D25" s="14"/>
      <c r="E25" s="15"/>
      <c r="F25" s="15" t="e">
        <f>SUBTOTAL(109,Tabla1103453454455456479108129136156173300307317[Total costo])</f>
        <v>#REF!</v>
      </c>
      <c r="G25" s="4"/>
      <c r="H25" s="5" t="s">
        <v>14</v>
      </c>
      <c r="I25" s="20" t="e">
        <f>+I23-I20</f>
        <v>#REF!</v>
      </c>
    </row>
    <row r="26" spans="2:11" x14ac:dyDescent="0.3">
      <c r="G26" s="4"/>
      <c r="H26" s="5" t="s">
        <v>15</v>
      </c>
      <c r="I26" s="22" t="e">
        <f>+I25/I20</f>
        <v>#REF!</v>
      </c>
    </row>
    <row r="27" spans="2:11" ht="15" thickBot="1" x14ac:dyDescent="0.35">
      <c r="G27" s="4"/>
      <c r="H27" s="4"/>
      <c r="I27" s="23"/>
    </row>
    <row r="28" spans="2:11" ht="17.399999999999999" x14ac:dyDescent="0.3">
      <c r="B28" s="1" t="s">
        <v>234</v>
      </c>
      <c r="C28" s="2"/>
      <c r="D28" s="2"/>
      <c r="E28" s="3"/>
      <c r="F28" s="3"/>
      <c r="G28" s="4"/>
      <c r="H28" s="277" t="s">
        <v>0</v>
      </c>
      <c r="I28" s="277"/>
      <c r="K28" s="265" t="s">
        <v>1290</v>
      </c>
    </row>
    <row r="29" spans="2:11" x14ac:dyDescent="0.3">
      <c r="B29" s="13" t="s">
        <v>1</v>
      </c>
      <c r="C29" s="14" t="s">
        <v>2</v>
      </c>
      <c r="D29" s="14" t="s">
        <v>3</v>
      </c>
      <c r="E29" s="28" t="s">
        <v>4</v>
      </c>
      <c r="F29" s="28" t="s">
        <v>5</v>
      </c>
      <c r="G29" s="4"/>
      <c r="H29" s="5" t="s">
        <v>6</v>
      </c>
      <c r="I29" s="6" t="e">
        <f>SUM(Tabla1103453454455456479108130137157174301308318[Total costo])</f>
        <v>#REF!</v>
      </c>
      <c r="K29" t="s">
        <v>1291</v>
      </c>
    </row>
    <row r="30" spans="2:11" x14ac:dyDescent="0.3">
      <c r="B30" s="7" t="s">
        <v>47</v>
      </c>
      <c r="C30" s="8" t="s">
        <v>107</v>
      </c>
      <c r="D30" s="9">
        <v>2</v>
      </c>
      <c r="E30" s="10" t="e">
        <f>+VLOOKUP(Tabla1103453454455456479108130137157174301308318[[#This Row],[Ingrediente]],#REF!,6,0)</f>
        <v>#REF!</v>
      </c>
      <c r="F30" s="11" t="e">
        <f>+Tabla1103453454455456479108130137157174301308318[[#This Row],[Costo]]*Tabla1103453454455456479108130137157174301308318[[#This Row],[Cant.]]</f>
        <v>#REF!</v>
      </c>
      <c r="G30" s="4"/>
      <c r="H30" s="5" t="s">
        <v>113</v>
      </c>
      <c r="I30" s="12" t="e">
        <f>+I29*5%</f>
        <v>#REF!</v>
      </c>
    </row>
    <row r="31" spans="2:11" ht="17.399999999999999" x14ac:dyDescent="0.3">
      <c r="B31" s="21" t="s">
        <v>173</v>
      </c>
      <c r="C31" s="8" t="s">
        <v>107</v>
      </c>
      <c r="D31" s="9">
        <v>1</v>
      </c>
      <c r="E31" s="10" t="e">
        <f>+VLOOKUP(Tabla1103453454455456479108130137157174301308318[[#This Row],[Ingrediente]],#REF!,6,0)</f>
        <v>#REF!</v>
      </c>
      <c r="F31" s="11" t="e">
        <f>+Tabla1103453454455456479108130137157174301308318[[#This Row],[Costo]]*Tabla1103453454455456479108130137157174301308318[[#This Row],[Cant.]]</f>
        <v>#REF!</v>
      </c>
      <c r="G31" s="4"/>
      <c r="H31" s="5" t="s">
        <v>9</v>
      </c>
      <c r="I31" s="12" t="e">
        <f>+I29+I30</f>
        <v>#REF!</v>
      </c>
      <c r="K31" s="266" t="s">
        <v>1292</v>
      </c>
    </row>
    <row r="32" spans="2:11" x14ac:dyDescent="0.3">
      <c r="B32" s="7" t="s">
        <v>154</v>
      </c>
      <c r="C32" s="8" t="s">
        <v>68</v>
      </c>
      <c r="D32" s="9">
        <v>1</v>
      </c>
      <c r="E32" s="10" t="e">
        <f>+VLOOKUP(Tabla1103453454455456479108130137157174301308318[[#This Row],[Ingrediente]],#REF!,6,0)</f>
        <v>#REF!</v>
      </c>
      <c r="F32" s="11" t="e">
        <f>+Tabla1103453454455456479108130137157174301308318[[#This Row],[Costo]]*Tabla1103453454455456479108130137157174301308318[[#This Row],[Cant.]]</f>
        <v>#REF!</v>
      </c>
      <c r="G32" s="4"/>
      <c r="H32" s="17" t="s">
        <v>10</v>
      </c>
      <c r="I32" s="18"/>
      <c r="K32" t="s">
        <v>1291</v>
      </c>
    </row>
    <row r="33" spans="2:9" x14ac:dyDescent="0.3">
      <c r="B33" s="21" t="s">
        <v>108</v>
      </c>
      <c r="C33" s="8" t="s">
        <v>61</v>
      </c>
      <c r="D33" s="9">
        <v>0.28499999999999998</v>
      </c>
      <c r="E33" s="10" t="e">
        <f>+VLOOKUP(Tabla1103453454455456479108130137157174301308318[[#This Row],[Ingrediente]],#REF!,6,0)</f>
        <v>#REF!</v>
      </c>
      <c r="F33" s="11" t="e">
        <f>+Tabla1103453454455456479108130137157174301308318[[#This Row],[Costo]]*Tabla1103453454455456479108130137157174301308318[[#This Row],[Cant.]]</f>
        <v>#REF!</v>
      </c>
      <c r="G33" s="4"/>
      <c r="H33" s="5" t="s">
        <v>11</v>
      </c>
      <c r="I33" s="12">
        <f>+I32/1.08*0.08</f>
        <v>0</v>
      </c>
    </row>
    <row r="34" spans="2:9" x14ac:dyDescent="0.3">
      <c r="B34" s="7" t="s">
        <v>37</v>
      </c>
      <c r="C34" s="8" t="s">
        <v>68</v>
      </c>
      <c r="D34" s="9">
        <v>1</v>
      </c>
      <c r="E34" s="10" t="e">
        <f>+VLOOKUP(Tabla1103453454455456479108130137157174301308318[[#This Row],[Ingrediente]],#REF!,6,0)</f>
        <v>#REF!</v>
      </c>
      <c r="F34" s="11" t="e">
        <f>+Tabla1103453454455456479108130137157174301308318[[#This Row],[Costo]]*Tabla1103453454455456479108130137157174301308318[[#This Row],[Cant.]]</f>
        <v>#REF!</v>
      </c>
      <c r="G34" s="4"/>
      <c r="H34" s="5" t="s">
        <v>12</v>
      </c>
      <c r="I34" s="12">
        <f>+I32-I33</f>
        <v>0</v>
      </c>
    </row>
    <row r="35" spans="2:9" x14ac:dyDescent="0.3">
      <c r="B35" s="21" t="s">
        <v>174</v>
      </c>
      <c r="C35" s="8" t="s">
        <v>68</v>
      </c>
      <c r="D35" s="9">
        <v>1</v>
      </c>
      <c r="E35" s="10" t="e">
        <f>+VLOOKUP(Tabla1103453454455456479108130137157174301308318[[#This Row],[Ingrediente]],#REF!,6,0)</f>
        <v>#REF!</v>
      </c>
      <c r="F35" s="11" t="e">
        <f>+Tabla1103453454455456479108130137157174301308318[[#This Row],[Costo]]*Tabla1103453454455456479108130137157174301308318[[#This Row],[Cant.]]</f>
        <v>#REF!</v>
      </c>
      <c r="G35" s="4"/>
      <c r="H35" s="5" t="s">
        <v>13</v>
      </c>
      <c r="I35" s="19" t="e">
        <f>+I31/I34</f>
        <v>#REF!</v>
      </c>
    </row>
    <row r="36" spans="2:9" x14ac:dyDescent="0.3">
      <c r="B36" s="13"/>
      <c r="C36" s="14"/>
      <c r="D36" s="14"/>
      <c r="E36" s="15"/>
      <c r="F36" s="15" t="e">
        <f>SUBTOTAL(109,Tabla1103453454455456479108130137157174301308318[Total costo])</f>
        <v>#REF!</v>
      </c>
      <c r="G36" s="4"/>
      <c r="H36" s="5" t="s">
        <v>14</v>
      </c>
      <c r="I36" s="20" t="e">
        <f>+I34-I31</f>
        <v>#REF!</v>
      </c>
    </row>
    <row r="37" spans="2:9" x14ac:dyDescent="0.3">
      <c r="G37" s="24"/>
      <c r="H37" s="5" t="s">
        <v>15</v>
      </c>
      <c r="I37" s="22" t="e">
        <f>+I36/I31</f>
        <v>#REF!</v>
      </c>
    </row>
    <row r="38" spans="2:9" x14ac:dyDescent="0.3">
      <c r="G38" s="24"/>
      <c r="H38" s="4"/>
      <c r="I38" s="29"/>
    </row>
    <row r="39" spans="2:9" x14ac:dyDescent="0.3">
      <c r="G39" s="24"/>
      <c r="H39" s="4"/>
      <c r="I39" s="29"/>
    </row>
    <row r="40" spans="2:9" x14ac:dyDescent="0.3">
      <c r="B40" s="1" t="s">
        <v>235</v>
      </c>
      <c r="C40" s="2"/>
      <c r="D40" s="2"/>
      <c r="E40" s="3"/>
      <c r="F40" s="3"/>
      <c r="H40" s="277" t="s">
        <v>0</v>
      </c>
      <c r="I40" s="277"/>
    </row>
    <row r="41" spans="2:9" x14ac:dyDescent="0.3">
      <c r="B41" s="13" t="s">
        <v>1</v>
      </c>
      <c r="C41" s="14" t="s">
        <v>2</v>
      </c>
      <c r="D41" s="14" t="s">
        <v>3</v>
      </c>
      <c r="E41" s="28" t="s">
        <v>4</v>
      </c>
      <c r="F41" s="28" t="s">
        <v>5</v>
      </c>
      <c r="H41" s="5" t="s">
        <v>6</v>
      </c>
      <c r="I41" s="6" t="e">
        <f>SUM(Tabla1103453454455456479108131138166175302309319[Total costo])</f>
        <v>#REF!</v>
      </c>
    </row>
    <row r="42" spans="2:9" x14ac:dyDescent="0.3">
      <c r="B42" s="7" t="s">
        <v>157</v>
      </c>
      <c r="C42" s="8" t="s">
        <v>107</v>
      </c>
      <c r="D42" s="9">
        <v>1</v>
      </c>
      <c r="E42" s="10" t="e">
        <f>+VLOOKUP(Tabla1103453454455456479108131138166175302309319[[#This Row],[Ingrediente]],#REF!,6,0)</f>
        <v>#REF!</v>
      </c>
      <c r="F42" s="11" t="e">
        <f>+Tabla1103453454455456479108131138166175302309319[[#This Row],[Costo]]*Tabla1103453454455456479108131138166175302309319[[#This Row],[Cant.]]</f>
        <v>#REF!</v>
      </c>
      <c r="H42" s="5" t="s">
        <v>113</v>
      </c>
      <c r="I42" s="12" t="e">
        <f>+I41*5%</f>
        <v>#REF!</v>
      </c>
    </row>
    <row r="43" spans="2:9" x14ac:dyDescent="0.3">
      <c r="B43" s="21" t="s">
        <v>72</v>
      </c>
      <c r="C43" s="8" t="s">
        <v>68</v>
      </c>
      <c r="D43" s="9">
        <v>20</v>
      </c>
      <c r="E43" s="10" t="e">
        <f>+VLOOKUP(Tabla1103453454455456479108131138166175302309319[[#This Row],[Ingrediente]],#REF!,6,0)</f>
        <v>#REF!</v>
      </c>
      <c r="F43" s="11" t="e">
        <f>+Tabla1103453454455456479108131138166175302309319[[#This Row],[Costo]]*Tabla1103453454455456479108131138166175302309319[[#This Row],[Cant.]]</f>
        <v>#REF!</v>
      </c>
      <c r="H43" s="5" t="s">
        <v>9</v>
      </c>
      <c r="I43" s="12" t="e">
        <f>+I41+I42</f>
        <v>#REF!</v>
      </c>
    </row>
    <row r="44" spans="2:9" x14ac:dyDescent="0.3">
      <c r="B44" s="7" t="s">
        <v>179</v>
      </c>
      <c r="C44" s="8" t="s">
        <v>107</v>
      </c>
      <c r="D44" s="9">
        <v>0.66</v>
      </c>
      <c r="E44" s="10" t="e">
        <f>+VLOOKUP(Tabla1103453454455456479108131138166175302309319[[#This Row],[Ingrediente]],#REF!,6,0)</f>
        <v>#REF!</v>
      </c>
      <c r="F44" s="11" t="e">
        <f>+Tabla1103453454455456479108131138166175302309319[[#This Row],[Costo]]*Tabla1103453454455456479108131138166175302309319[[#This Row],[Cant.]]</f>
        <v>#REF!</v>
      </c>
      <c r="H44" s="17" t="s">
        <v>10</v>
      </c>
      <c r="I44" s="18"/>
    </row>
    <row r="45" spans="2:9" x14ac:dyDescent="0.3">
      <c r="B45" s="21" t="s">
        <v>57</v>
      </c>
      <c r="C45" s="8" t="s">
        <v>61</v>
      </c>
      <c r="D45" s="9">
        <v>0.28899999999999998</v>
      </c>
      <c r="E45" s="10" t="e">
        <f>+VLOOKUP(Tabla1103453454455456479108131138166175302309319[[#This Row],[Ingrediente]],#REF!,6,0)</f>
        <v>#REF!</v>
      </c>
      <c r="F45" s="11" t="e">
        <f>+Tabla1103453454455456479108131138166175302309319[[#This Row],[Costo]]*Tabla1103453454455456479108131138166175302309319[[#This Row],[Cant.]]</f>
        <v>#REF!</v>
      </c>
      <c r="H45" s="5" t="s">
        <v>11</v>
      </c>
      <c r="I45" s="12">
        <f>+I44/1.08*0.08</f>
        <v>0</v>
      </c>
    </row>
    <row r="46" spans="2:9" x14ac:dyDescent="0.3">
      <c r="B46" s="7" t="s">
        <v>109</v>
      </c>
      <c r="C46" s="8" t="s">
        <v>68</v>
      </c>
      <c r="D46" s="9">
        <v>5</v>
      </c>
      <c r="E46" s="10" t="e">
        <f>+VLOOKUP(Tabla1103453454455456479108131138166175302309319[[#This Row],[Ingrediente]],#REF!,6,0)</f>
        <v>#REF!</v>
      </c>
      <c r="F46" s="11" t="e">
        <f>+Tabla1103453454455456479108131138166175302309319[[#This Row],[Costo]]*Tabla1103453454455456479108131138166175302309319[[#This Row],[Cant.]]</f>
        <v>#REF!</v>
      </c>
      <c r="G46" s="4"/>
      <c r="H46" s="5" t="s">
        <v>12</v>
      </c>
      <c r="I46" s="12">
        <f>+I44-I45</f>
        <v>0</v>
      </c>
    </row>
    <row r="47" spans="2:9" x14ac:dyDescent="0.3">
      <c r="B47" s="21" t="s">
        <v>166</v>
      </c>
      <c r="C47" s="8" t="s">
        <v>68</v>
      </c>
      <c r="D47" s="9">
        <v>1</v>
      </c>
      <c r="E47" s="10" t="e">
        <f>+VLOOKUP(Tabla1103453454455456479108131138166175302309319[[#This Row],[Ingrediente]],#REF!,6,0)</f>
        <v>#REF!</v>
      </c>
      <c r="F47" s="11" t="e">
        <f>+Tabla1103453454455456479108131138166175302309319[[#This Row],[Costo]]*Tabla1103453454455456479108131138166175302309319[[#This Row],[Cant.]]</f>
        <v>#REF!</v>
      </c>
      <c r="G47" s="4"/>
      <c r="H47" s="5" t="s">
        <v>13</v>
      </c>
      <c r="I47" s="19" t="e">
        <f>+I43/I46</f>
        <v>#REF!</v>
      </c>
    </row>
    <row r="48" spans="2:9" x14ac:dyDescent="0.3">
      <c r="B48" s="7" t="s">
        <v>167</v>
      </c>
      <c r="C48" s="8"/>
      <c r="D48" s="9">
        <v>1</v>
      </c>
      <c r="E48" s="10"/>
      <c r="F48" s="11">
        <f>+Tabla1103453454455456479108131138166175302309319[[#This Row],[Costo]]*Tabla1103453454455456479108131138166175302309319[[#This Row],[Cant.]]</f>
        <v>0</v>
      </c>
      <c r="G48" s="4"/>
      <c r="H48" s="5" t="s">
        <v>14</v>
      </c>
      <c r="I48" s="20" t="e">
        <f>+I46-I43</f>
        <v>#REF!</v>
      </c>
    </row>
    <row r="49" spans="2:9" x14ac:dyDescent="0.3">
      <c r="B49" s="13"/>
      <c r="C49" s="14"/>
      <c r="D49" s="14"/>
      <c r="E49" s="15"/>
      <c r="F49" s="15" t="e">
        <f>SUBTOTAL(109,Tabla1103453454455456479108131138166175302309319[Total costo])</f>
        <v>#REF!</v>
      </c>
      <c r="G49" s="4"/>
      <c r="H49" s="5" t="s">
        <v>15</v>
      </c>
      <c r="I49" s="22" t="e">
        <f>+I48/I43</f>
        <v>#REF!</v>
      </c>
    </row>
    <row r="50" spans="2:9" x14ac:dyDescent="0.3">
      <c r="G50" s="4"/>
      <c r="H50" s="4"/>
      <c r="I50" s="23"/>
    </row>
    <row r="51" spans="2:9" x14ac:dyDescent="0.3">
      <c r="B51" s="1" t="s">
        <v>236</v>
      </c>
      <c r="C51" s="2"/>
      <c r="D51" s="2"/>
      <c r="E51" s="3"/>
      <c r="F51" s="3"/>
      <c r="G51" s="4"/>
      <c r="H51" s="277" t="s">
        <v>0</v>
      </c>
      <c r="I51" s="277"/>
    </row>
    <row r="52" spans="2:9" x14ac:dyDescent="0.3">
      <c r="B52" s="13" t="s">
        <v>1</v>
      </c>
      <c r="C52" s="14" t="s">
        <v>2</v>
      </c>
      <c r="D52" s="14" t="s">
        <v>3</v>
      </c>
      <c r="E52" s="28" t="s">
        <v>4</v>
      </c>
      <c r="F52" s="28" t="s">
        <v>5</v>
      </c>
      <c r="G52" s="4"/>
      <c r="H52" s="5" t="s">
        <v>6</v>
      </c>
      <c r="I52" s="6" t="e">
        <f>SUM(Tabla1103453454455456479108132139167187303310320[Total costo])</f>
        <v>#REF!</v>
      </c>
    </row>
    <row r="53" spans="2:9" x14ac:dyDescent="0.3">
      <c r="B53" s="7" t="s">
        <v>178</v>
      </c>
      <c r="C53" s="8" t="s">
        <v>107</v>
      </c>
      <c r="D53" s="9">
        <v>1.5</v>
      </c>
      <c r="E53" s="10" t="e">
        <f>+VLOOKUP(Tabla1103453454455456479108132139167187303310320[[#This Row],[Ingrediente]],#REF!,6,0)</f>
        <v>#REF!</v>
      </c>
      <c r="F53" s="11" t="e">
        <f>+Tabla1103453454455456479108132139167187303310320[[#This Row],[Costo]]*Tabla1103453454455456479108132139167187303310320[[#This Row],[Cant.]]</f>
        <v>#REF!</v>
      </c>
      <c r="G53" s="4"/>
      <c r="H53" s="5" t="s">
        <v>113</v>
      </c>
      <c r="I53" s="12" t="e">
        <f>+I52*5%</f>
        <v>#REF!</v>
      </c>
    </row>
    <row r="54" spans="2:9" x14ac:dyDescent="0.3">
      <c r="B54" s="21" t="s">
        <v>59</v>
      </c>
      <c r="C54" s="8" t="s">
        <v>107</v>
      </c>
      <c r="D54" s="9">
        <v>0.5</v>
      </c>
      <c r="E54" s="10" t="e">
        <f>+VLOOKUP(Tabla1103453454455456479108132139167187303310320[[#This Row],[Ingrediente]],#REF!,6,0)</f>
        <v>#REF!</v>
      </c>
      <c r="F54" s="11" t="e">
        <f>+Tabla1103453454455456479108132139167187303310320[[#This Row],[Costo]]*Tabla1103453454455456479108132139167187303310320[[#This Row],[Cant.]]</f>
        <v>#REF!</v>
      </c>
      <c r="G54" s="4"/>
      <c r="H54" s="5" t="s">
        <v>9</v>
      </c>
      <c r="I54" s="12" t="e">
        <f>+I52+I53</f>
        <v>#REF!</v>
      </c>
    </row>
    <row r="55" spans="2:9" x14ac:dyDescent="0.3">
      <c r="B55" s="7" t="s">
        <v>72</v>
      </c>
      <c r="C55" s="8" t="s">
        <v>68</v>
      </c>
      <c r="D55" s="9">
        <v>30</v>
      </c>
      <c r="E55" s="10" t="e">
        <f>+VLOOKUP(Tabla1103453454455456479108132139167187303310320[[#This Row],[Ingrediente]],#REF!,6,0)</f>
        <v>#REF!</v>
      </c>
      <c r="F55" s="11" t="e">
        <f>+Tabla1103453454455456479108132139167187303310320[[#This Row],[Costo]]*Tabla1103453454455456479108132139167187303310320[[#This Row],[Cant.]]</f>
        <v>#REF!</v>
      </c>
      <c r="G55" s="4"/>
      <c r="H55" s="17" t="s">
        <v>10</v>
      </c>
      <c r="I55" s="18"/>
    </row>
    <row r="56" spans="2:9" x14ac:dyDescent="0.3">
      <c r="B56" s="21" t="s">
        <v>90</v>
      </c>
      <c r="C56" s="8" t="s">
        <v>68</v>
      </c>
      <c r="D56" s="9">
        <v>15</v>
      </c>
      <c r="E56" s="10" t="e">
        <f>+VLOOKUP(Tabla1103453454455456479108132139167187303310320[[#This Row],[Ingrediente]],#REF!,6,0)</f>
        <v>#REF!</v>
      </c>
      <c r="F56" s="11" t="e">
        <f>+Tabla1103453454455456479108132139167187303310320[[#This Row],[Costo]]*Tabla1103453454455456479108132139167187303310320[[#This Row],[Cant.]]</f>
        <v>#REF!</v>
      </c>
      <c r="G56" s="4"/>
      <c r="H56" s="5" t="s">
        <v>11</v>
      </c>
      <c r="I56" s="12">
        <f>+I55/1.08*0.08</f>
        <v>0</v>
      </c>
    </row>
    <row r="57" spans="2:9" x14ac:dyDescent="0.3">
      <c r="B57" s="7" t="s">
        <v>57</v>
      </c>
      <c r="C57" s="8" t="s">
        <v>61</v>
      </c>
      <c r="D57" s="9">
        <v>0.28899999999999998</v>
      </c>
      <c r="E57" s="10" t="e">
        <f>+VLOOKUP(Tabla1103453454455456479108132139167187303310320[[#This Row],[Ingrediente]],#REF!,6,0)</f>
        <v>#REF!</v>
      </c>
      <c r="F57" s="11" t="e">
        <f>+Tabla1103453454455456479108132139167187303310320[[#This Row],[Costo]]*Tabla1103453454455456479108132139167187303310320[[#This Row],[Cant.]]</f>
        <v>#REF!</v>
      </c>
      <c r="G57" s="4"/>
      <c r="H57" s="5" t="s">
        <v>12</v>
      </c>
      <c r="I57" s="12">
        <f>+I55-I56</f>
        <v>0</v>
      </c>
    </row>
    <row r="58" spans="2:9" x14ac:dyDescent="0.3">
      <c r="B58" s="21" t="s">
        <v>174</v>
      </c>
      <c r="C58" s="8" t="s">
        <v>68</v>
      </c>
      <c r="D58" s="9">
        <v>1</v>
      </c>
      <c r="E58" s="10" t="e">
        <f>+VLOOKUP(Tabla1103453454455456479108132139167187303310320[[#This Row],[Ingrediente]],#REF!,6,0)</f>
        <v>#REF!</v>
      </c>
      <c r="F58" s="11" t="e">
        <f>+Tabla1103453454455456479108132139167187303310320[[#This Row],[Costo]]*Tabla1103453454455456479108132139167187303310320[[#This Row],[Cant.]]</f>
        <v>#REF!</v>
      </c>
      <c r="G58" s="24"/>
      <c r="H58" s="5" t="s">
        <v>13</v>
      </c>
      <c r="I58" s="19" t="e">
        <f>+I54/I57</f>
        <v>#REF!</v>
      </c>
    </row>
    <row r="59" spans="2:9" x14ac:dyDescent="0.3">
      <c r="B59" s="13"/>
      <c r="C59" s="14"/>
      <c r="D59" s="14"/>
      <c r="E59" s="15"/>
      <c r="F59" s="15" t="e">
        <f>SUBTOTAL(109,Tabla1103453454455456479108132139167187303310320[Total costo])</f>
        <v>#REF!</v>
      </c>
      <c r="H59" s="5" t="s">
        <v>14</v>
      </c>
      <c r="I59" s="20" t="e">
        <f>+I57-I54</f>
        <v>#REF!</v>
      </c>
    </row>
    <row r="60" spans="2:9" x14ac:dyDescent="0.3">
      <c r="H60" s="5" t="s">
        <v>15</v>
      </c>
      <c r="I60" s="22" t="e">
        <f>+I59/I54</f>
        <v>#REF!</v>
      </c>
    </row>
    <row r="61" spans="2:9" x14ac:dyDescent="0.3">
      <c r="H61" s="4"/>
      <c r="I61" s="23"/>
    </row>
    <row r="62" spans="2:9" x14ac:dyDescent="0.3">
      <c r="B62" s="1" t="s">
        <v>237</v>
      </c>
      <c r="C62" s="2"/>
      <c r="D62" s="2"/>
      <c r="E62" s="3"/>
      <c r="F62" s="3"/>
      <c r="G62" s="4"/>
      <c r="H62" s="277" t="s">
        <v>0</v>
      </c>
      <c r="I62" s="277"/>
    </row>
    <row r="63" spans="2:9" x14ac:dyDescent="0.3">
      <c r="B63" s="13" t="s">
        <v>1</v>
      </c>
      <c r="C63" s="14" t="s">
        <v>2</v>
      </c>
      <c r="D63" s="14" t="s">
        <v>3</v>
      </c>
      <c r="E63" s="28" t="s">
        <v>4</v>
      </c>
      <c r="F63" s="28" t="s">
        <v>5</v>
      </c>
      <c r="G63" s="4"/>
      <c r="H63" s="5" t="s">
        <v>6</v>
      </c>
      <c r="I63" s="6" t="e">
        <f>SUM(Tabla1103453454455456479108133140168188304311321[Total costo])</f>
        <v>#REF!</v>
      </c>
    </row>
    <row r="64" spans="2:9" x14ac:dyDescent="0.3">
      <c r="B64" s="7" t="s">
        <v>178</v>
      </c>
      <c r="C64" s="8" t="s">
        <v>107</v>
      </c>
      <c r="D64" s="9">
        <v>2</v>
      </c>
      <c r="E64" s="10" t="e">
        <f>+VLOOKUP(Tabla1103453454455456479108133140168188304311321[[#This Row],[Ingrediente]],#REF!,6,0)</f>
        <v>#REF!</v>
      </c>
      <c r="F64" s="11" t="e">
        <f>+Tabla1103453454455456479108133140168188304311321[[#This Row],[Costo]]*Tabla1103453454455456479108133140168188304311321[[#This Row],[Cant.]]</f>
        <v>#REF!</v>
      </c>
      <c r="G64" s="4"/>
      <c r="H64" s="5" t="s">
        <v>113</v>
      </c>
      <c r="I64" s="12" t="e">
        <f>+I63*5%</f>
        <v>#REF!</v>
      </c>
    </row>
    <row r="65" spans="2:9" x14ac:dyDescent="0.3">
      <c r="B65" s="21" t="s">
        <v>154</v>
      </c>
      <c r="C65" s="8" t="s">
        <v>68</v>
      </c>
      <c r="D65" s="9">
        <v>1</v>
      </c>
      <c r="E65" s="10" t="e">
        <f>+VLOOKUP(Tabla1103453454455456479108133140168188304311321[[#This Row],[Ingrediente]],#REF!,6,0)</f>
        <v>#REF!</v>
      </c>
      <c r="F65" s="11" t="e">
        <f>+Tabla1103453454455456479108133140168188304311321[[#This Row],[Costo]]*Tabla1103453454455456479108133140168188304311321[[#This Row],[Cant.]]</f>
        <v>#REF!</v>
      </c>
      <c r="G65" s="4"/>
      <c r="H65" s="5" t="s">
        <v>9</v>
      </c>
      <c r="I65" s="12" t="e">
        <f>+I63+I64</f>
        <v>#REF!</v>
      </c>
    </row>
    <row r="66" spans="2:9" x14ac:dyDescent="0.3">
      <c r="B66" s="7" t="s">
        <v>82</v>
      </c>
      <c r="C66" s="8" t="s">
        <v>68</v>
      </c>
      <c r="D66" s="9">
        <v>30</v>
      </c>
      <c r="E66" s="10" t="e">
        <f>+VLOOKUP(Tabla1103453454455456479108133140168188304311321[[#This Row],[Ingrediente]],#REF!,6,0)</f>
        <v>#REF!</v>
      </c>
      <c r="F66" s="11" t="e">
        <f>+Tabla1103453454455456479108133140168188304311321[[#This Row],[Costo]]*Tabla1103453454455456479108133140168188304311321[[#This Row],[Cant.]]</f>
        <v>#REF!</v>
      </c>
      <c r="G66" s="4"/>
      <c r="H66" s="17" t="s">
        <v>10</v>
      </c>
      <c r="I66" s="18"/>
    </row>
    <row r="67" spans="2:9" x14ac:dyDescent="0.3">
      <c r="B67" s="13"/>
      <c r="C67" s="14"/>
      <c r="D67" s="14"/>
      <c r="E67" s="15"/>
      <c r="F67" s="15" t="e">
        <f>SUBTOTAL(109,Tabla1103453454455456479108133140168188304311321[Total costo])</f>
        <v>#REF!</v>
      </c>
      <c r="G67" s="4"/>
      <c r="H67" s="5" t="s">
        <v>11</v>
      </c>
      <c r="I67" s="12">
        <f>+I66/1.08*0.08</f>
        <v>0</v>
      </c>
    </row>
    <row r="68" spans="2:9" x14ac:dyDescent="0.3">
      <c r="G68" s="4"/>
      <c r="H68" s="5" t="s">
        <v>12</v>
      </c>
      <c r="I68" s="12">
        <f>+I66-I67</f>
        <v>0</v>
      </c>
    </row>
    <row r="69" spans="2:9" x14ac:dyDescent="0.3">
      <c r="G69" s="24"/>
      <c r="H69" s="5" t="s">
        <v>13</v>
      </c>
      <c r="I69" s="19" t="e">
        <f>+I65/I68</f>
        <v>#REF!</v>
      </c>
    </row>
    <row r="70" spans="2:9" x14ac:dyDescent="0.3">
      <c r="H70" s="5" t="s">
        <v>14</v>
      </c>
      <c r="I70" s="20" t="e">
        <f>+I68-I65</f>
        <v>#REF!</v>
      </c>
    </row>
    <row r="71" spans="2:9" x14ac:dyDescent="0.3">
      <c r="H71" s="5" t="s">
        <v>15</v>
      </c>
      <c r="I71" s="22" t="e">
        <f>+I70/I65</f>
        <v>#REF!</v>
      </c>
    </row>
    <row r="72" spans="2:9" x14ac:dyDescent="0.3">
      <c r="H72" s="4"/>
      <c r="I72" s="23"/>
    </row>
    <row r="73" spans="2:9" x14ac:dyDescent="0.3">
      <c r="H73" s="4"/>
      <c r="I73" s="23"/>
    </row>
    <row r="74" spans="2:9" x14ac:dyDescent="0.3">
      <c r="H74" s="24"/>
      <c r="I74" s="24"/>
    </row>
    <row r="75" spans="2:9" x14ac:dyDescent="0.3">
      <c r="G75" s="4"/>
    </row>
    <row r="76" spans="2:9" x14ac:dyDescent="0.3">
      <c r="G76" s="4"/>
    </row>
    <row r="77" spans="2:9" x14ac:dyDescent="0.3">
      <c r="G77" s="4"/>
    </row>
    <row r="78" spans="2:9" x14ac:dyDescent="0.3">
      <c r="G78" s="4"/>
    </row>
    <row r="79" spans="2:9" x14ac:dyDescent="0.3">
      <c r="G79" s="4"/>
    </row>
    <row r="80" spans="2:9" x14ac:dyDescent="0.3">
      <c r="G80" s="4"/>
      <c r="H80" s="277" t="s">
        <v>0</v>
      </c>
      <c r="I80" s="277"/>
    </row>
    <row r="81" spans="2:9" x14ac:dyDescent="0.3">
      <c r="B81" s="1"/>
      <c r="C81" s="2"/>
      <c r="D81" s="2"/>
      <c r="E81" s="3"/>
      <c r="F81" s="3"/>
      <c r="G81" s="4"/>
      <c r="H81" s="5" t="s">
        <v>6</v>
      </c>
      <c r="I81" s="6" t="e">
        <f>SUM(Tabla1103453454455456479108134141171189305312322[Total costo])</f>
        <v>#REF!</v>
      </c>
    </row>
    <row r="82" spans="2:9" x14ac:dyDescent="0.3">
      <c r="B82" s="13" t="s">
        <v>1</v>
      </c>
      <c r="C82" s="14" t="s">
        <v>2</v>
      </c>
      <c r="D82" s="14" t="s">
        <v>3</v>
      </c>
      <c r="E82" s="28" t="s">
        <v>4</v>
      </c>
      <c r="F82" s="28" t="s">
        <v>5</v>
      </c>
      <c r="G82" s="4"/>
      <c r="H82" s="5" t="s">
        <v>113</v>
      </c>
      <c r="I82" s="12" t="e">
        <f>+I81*5%</f>
        <v>#REF!</v>
      </c>
    </row>
    <row r="83" spans="2:9" x14ac:dyDescent="0.3">
      <c r="B83" s="7"/>
      <c r="C83" s="8"/>
      <c r="D83" s="9"/>
      <c r="E83" s="10" t="e">
        <f>+VLOOKUP(Tabla1103453454455456479108134141171189305312322[[#This Row],[Ingrediente]],#REF!,6,0)</f>
        <v>#REF!</v>
      </c>
      <c r="F83" s="11" t="e">
        <f>+Tabla1103453454455456479108134141171189305312322[[#This Row],[Costo]]*Tabla1103453454455456479108134141171189305312322[[#This Row],[Cant.]]</f>
        <v>#REF!</v>
      </c>
      <c r="G83" s="4"/>
      <c r="H83" s="5" t="s">
        <v>9</v>
      </c>
      <c r="I83" s="12" t="e">
        <f>+I81+I82</f>
        <v>#REF!</v>
      </c>
    </row>
    <row r="84" spans="2:9" x14ac:dyDescent="0.3">
      <c r="B84" s="21"/>
      <c r="C84" s="8"/>
      <c r="D84" s="9"/>
      <c r="E84" s="10" t="e">
        <f>+VLOOKUP(Tabla1103453454455456479108134141171189305312322[[#This Row],[Ingrediente]],#REF!,6,0)</f>
        <v>#REF!</v>
      </c>
      <c r="F84" s="11" t="e">
        <f>+Tabla1103453454455456479108134141171189305312322[[#This Row],[Costo]]*Tabla1103453454455456479108134141171189305312322[[#This Row],[Cant.]]</f>
        <v>#REF!</v>
      </c>
      <c r="G84" s="4"/>
      <c r="H84" s="17" t="s">
        <v>10</v>
      </c>
      <c r="I84" s="18"/>
    </row>
    <row r="85" spans="2:9" x14ac:dyDescent="0.3">
      <c r="B85" s="7"/>
      <c r="C85" s="8"/>
      <c r="D85" s="9"/>
      <c r="E85" s="10" t="e">
        <f>+VLOOKUP(Tabla1103453454455456479108134141171189305312322[[#This Row],[Ingrediente]],#REF!,6,0)</f>
        <v>#REF!</v>
      </c>
      <c r="F85" s="11" t="e">
        <f>+Tabla1103453454455456479108134141171189305312322[[#This Row],[Costo]]*Tabla1103453454455456479108134141171189305312322[[#This Row],[Cant.]]</f>
        <v>#REF!</v>
      </c>
      <c r="G85" s="4"/>
      <c r="H85" s="5" t="s">
        <v>11</v>
      </c>
      <c r="I85" s="12">
        <f>+I84/1.08*0.08</f>
        <v>0</v>
      </c>
    </row>
    <row r="86" spans="2:9" x14ac:dyDescent="0.3">
      <c r="B86" s="21"/>
      <c r="C86" s="8"/>
      <c r="D86" s="9"/>
      <c r="E86" s="10" t="e">
        <f>+VLOOKUP(Tabla1103453454455456479108134141171189305312322[[#This Row],[Ingrediente]],#REF!,6,0)</f>
        <v>#REF!</v>
      </c>
      <c r="F86" s="11" t="e">
        <f>+Tabla1103453454455456479108134141171189305312322[[#This Row],[Costo]]*Tabla1103453454455456479108134141171189305312322[[#This Row],[Cant.]]</f>
        <v>#REF!</v>
      </c>
      <c r="G86" s="4"/>
      <c r="H86" s="5" t="s">
        <v>12</v>
      </c>
      <c r="I86" s="12">
        <f>+I84-I85</f>
        <v>0</v>
      </c>
    </row>
    <row r="87" spans="2:9" x14ac:dyDescent="0.3">
      <c r="B87" s="7"/>
      <c r="C87" s="8"/>
      <c r="D87" s="9"/>
      <c r="E87" s="10" t="e">
        <f>+VLOOKUP(Tabla1103453454455456479108134141171189305312322[[#This Row],[Ingrediente]],#REF!,6,0)</f>
        <v>#REF!</v>
      </c>
      <c r="F87" s="11" t="e">
        <f>+Tabla1103453454455456479108134141171189305312322[[#This Row],[Costo]]*Tabla1103453454455456479108134141171189305312322[[#This Row],[Cant.]]</f>
        <v>#REF!</v>
      </c>
      <c r="G87" s="24"/>
      <c r="H87" s="5" t="s">
        <v>13</v>
      </c>
      <c r="I87" s="19" t="e">
        <f>+I83/I86</f>
        <v>#REF!</v>
      </c>
    </row>
    <row r="88" spans="2:9" x14ac:dyDescent="0.3">
      <c r="B88" s="21"/>
      <c r="C88" s="8"/>
      <c r="D88" s="9"/>
      <c r="E88" s="10" t="e">
        <f>+VLOOKUP(Tabla1103453454455456479108134141171189305312322[[#This Row],[Ingrediente]],#REF!,6,0)</f>
        <v>#REF!</v>
      </c>
      <c r="F88" s="11" t="e">
        <f>+Tabla1103453454455456479108134141171189305312322[[#This Row],[Costo]]*Tabla1103453454455456479108134141171189305312322[[#This Row],[Cant.]]</f>
        <v>#REF!</v>
      </c>
      <c r="H88" s="5" t="s">
        <v>14</v>
      </c>
      <c r="I88" s="20" t="e">
        <f>+I86-I83</f>
        <v>#REF!</v>
      </c>
    </row>
    <row r="89" spans="2:9" x14ac:dyDescent="0.3">
      <c r="B89" s="7"/>
      <c r="C89" s="8"/>
      <c r="D89" s="9"/>
      <c r="E89" s="10" t="e">
        <f>+VLOOKUP(Tabla1103453454455456479108134141171189305312322[[#This Row],[Ingrediente]],#REF!,6,0)</f>
        <v>#REF!</v>
      </c>
      <c r="F89" s="11" t="e">
        <f>+Tabla1103453454455456479108134141171189305312322[[#This Row],[Costo]]*Tabla1103453454455456479108134141171189305312322[[#This Row],[Cant.]]</f>
        <v>#REF!</v>
      </c>
      <c r="H89" s="5" t="s">
        <v>15</v>
      </c>
      <c r="I89" s="22" t="e">
        <f>+I88/I83</f>
        <v>#REF!</v>
      </c>
    </row>
    <row r="90" spans="2:9" x14ac:dyDescent="0.3">
      <c r="B90" s="21"/>
      <c r="C90" s="8"/>
      <c r="D90" s="9"/>
      <c r="E90" s="10" t="e">
        <f>+VLOOKUP(Tabla1103453454455456479108134141171189305312322[[#This Row],[Ingrediente]],#REF!,6,0)</f>
        <v>#REF!</v>
      </c>
      <c r="F90" s="11" t="e">
        <f>+Tabla1103453454455456479108134141171189305312322[[#This Row],[Costo]]*Tabla1103453454455456479108134141171189305312322[[#This Row],[Cant.]]</f>
        <v>#REF!</v>
      </c>
      <c r="H90" s="4"/>
      <c r="I90" s="23"/>
    </row>
    <row r="91" spans="2:9" x14ac:dyDescent="0.3">
      <c r="B91" s="7"/>
      <c r="C91" s="8"/>
      <c r="D91" s="9"/>
      <c r="E91" s="10" t="e">
        <f>+VLOOKUP(Tabla1103453454455456479108134141171189305312322[[#This Row],[Ingrediente]],#REF!,6,0)</f>
        <v>#REF!</v>
      </c>
      <c r="F91" s="11" t="e">
        <f>+Tabla1103453454455456479108134141171189305312322[[#This Row],[Costo]]*Tabla1103453454455456479108134141171189305312322[[#This Row],[Cant.]]</f>
        <v>#REF!</v>
      </c>
      <c r="H91" s="4"/>
      <c r="I91" s="23"/>
    </row>
    <row r="92" spans="2:9" x14ac:dyDescent="0.3">
      <c r="B92" s="7"/>
      <c r="C92" s="8"/>
      <c r="D92" s="9"/>
      <c r="E92" s="10" t="e">
        <f>+VLOOKUP(Tabla1103453454455456479108134141171189305312322[[#This Row],[Ingrediente]],#REF!,6,0)</f>
        <v>#REF!</v>
      </c>
      <c r="F92" s="11" t="e">
        <f>+Tabla1103453454455456479108134141171189305312322[[#This Row],[Costo]]*Tabla1103453454455456479108134141171189305312322[[#This Row],[Cant.]]</f>
        <v>#REF!</v>
      </c>
      <c r="H92" s="24"/>
      <c r="I92" s="24"/>
    </row>
    <row r="93" spans="2:9" x14ac:dyDescent="0.3">
      <c r="B93" s="7"/>
      <c r="C93" s="8"/>
      <c r="D93" s="9"/>
      <c r="E93" s="10" t="e">
        <f>+VLOOKUP(Tabla1103453454455456479108134141171189305312322[[#This Row],[Ingrediente]],#REF!,6,0)</f>
        <v>#REF!</v>
      </c>
      <c r="F93" s="11" t="e">
        <f>+Tabla1103453454455456479108134141171189305312322[[#This Row],[Costo]]*Tabla1103453454455456479108134141171189305312322[[#This Row],[Cant.]]</f>
        <v>#REF!</v>
      </c>
      <c r="G93" s="4"/>
    </row>
    <row r="94" spans="2:9" x14ac:dyDescent="0.3">
      <c r="B94" s="7"/>
      <c r="C94" s="8"/>
      <c r="D94" s="9"/>
      <c r="E94" s="10" t="e">
        <f>+VLOOKUP(Tabla1103453454455456479108134141171189305312322[[#This Row],[Ingrediente]],#REF!,6,0)</f>
        <v>#REF!</v>
      </c>
      <c r="F94" s="11" t="e">
        <f>+Tabla1103453454455456479108134141171189305312322[[#This Row],[Costo]]*Tabla1103453454455456479108134141171189305312322[[#This Row],[Cant.]]</f>
        <v>#REF!</v>
      </c>
      <c r="G94" s="4"/>
    </row>
    <row r="95" spans="2:9" x14ac:dyDescent="0.3">
      <c r="B95" s="21"/>
      <c r="C95" s="8"/>
      <c r="D95" s="9"/>
      <c r="E95" s="10" t="e">
        <f>+VLOOKUP(Tabla1103453454455456479108134141171189305312322[[#This Row],[Ingrediente]],#REF!,6,0)</f>
        <v>#REF!</v>
      </c>
      <c r="F95" s="11" t="e">
        <f>+Tabla1103453454455456479108134141171189305312322[[#This Row],[Costo]]*Tabla1103453454455456479108134141171189305312322[[#This Row],[Cant.]]</f>
        <v>#REF!</v>
      </c>
      <c r="G95" s="4"/>
    </row>
    <row r="96" spans="2:9" x14ac:dyDescent="0.3">
      <c r="B96" s="7"/>
      <c r="C96" s="8"/>
      <c r="D96" s="9"/>
      <c r="E96" s="10" t="e">
        <f>+VLOOKUP(Tabla1103453454455456479108134141171189305312322[[#This Row],[Ingrediente]],#REF!,6,0)</f>
        <v>#REF!</v>
      </c>
      <c r="F96" s="11" t="e">
        <f>+Tabla1103453454455456479108134141171189305312322[[#This Row],[Costo]]*Tabla1103453454455456479108134141171189305312322[[#This Row],[Cant.]]</f>
        <v>#REF!</v>
      </c>
      <c r="G96" s="4"/>
    </row>
    <row r="97" spans="2:7" x14ac:dyDescent="0.3">
      <c r="B97" s="13"/>
      <c r="C97" s="14"/>
      <c r="D97" s="14"/>
      <c r="E97" s="15"/>
      <c r="F97" s="15" t="e">
        <f>SUBTOTAL(109,Tabla1103453454455456479108134141171189305312322[Total costo])</f>
        <v>#REF!</v>
      </c>
      <c r="G97" s="4"/>
    </row>
    <row r="98" spans="2:7" x14ac:dyDescent="0.3">
      <c r="G98" s="4"/>
    </row>
    <row r="99" spans="2:7" x14ac:dyDescent="0.3">
      <c r="G99" s="4"/>
    </row>
    <row r="100" spans="2:7" x14ac:dyDescent="0.3">
      <c r="G100" s="4"/>
    </row>
    <row r="101" spans="2:7" x14ac:dyDescent="0.3">
      <c r="G101" s="4"/>
    </row>
    <row r="102" spans="2:7" x14ac:dyDescent="0.3">
      <c r="G102" s="4"/>
    </row>
    <row r="103" spans="2:7" x14ac:dyDescent="0.3">
      <c r="G103" s="4"/>
    </row>
    <row r="104" spans="2:7" x14ac:dyDescent="0.3">
      <c r="G104" s="4"/>
    </row>
    <row r="105" spans="2:7" x14ac:dyDescent="0.3">
      <c r="G105" s="24"/>
    </row>
    <row r="111" spans="2:7" x14ac:dyDescent="0.3">
      <c r="G111" s="4"/>
    </row>
    <row r="112" spans="2:7" x14ac:dyDescent="0.3">
      <c r="G112" s="4"/>
    </row>
    <row r="113" spans="7:7" x14ac:dyDescent="0.3">
      <c r="G113" s="4"/>
    </row>
    <row r="114" spans="7:7" x14ac:dyDescent="0.3">
      <c r="G114" s="4"/>
    </row>
    <row r="115" spans="7:7" x14ac:dyDescent="0.3">
      <c r="G115" s="4"/>
    </row>
    <row r="116" spans="7:7" x14ac:dyDescent="0.3">
      <c r="G116" s="4"/>
    </row>
    <row r="117" spans="7:7" x14ac:dyDescent="0.3">
      <c r="G117" s="4"/>
    </row>
    <row r="118" spans="7:7" x14ac:dyDescent="0.3">
      <c r="G118" s="4"/>
    </row>
    <row r="119" spans="7:7" x14ac:dyDescent="0.3">
      <c r="G119" s="4"/>
    </row>
    <row r="120" spans="7:7" x14ac:dyDescent="0.3">
      <c r="G120" s="4"/>
    </row>
    <row r="121" spans="7:7" x14ac:dyDescent="0.3">
      <c r="G121" s="4"/>
    </row>
    <row r="122" spans="7:7" x14ac:dyDescent="0.3">
      <c r="G122" s="4"/>
    </row>
    <row r="123" spans="7:7" x14ac:dyDescent="0.3">
      <c r="G123" s="24"/>
    </row>
  </sheetData>
  <mergeCells count="7">
    <mergeCell ref="H80:I80"/>
    <mergeCell ref="H6:I6"/>
    <mergeCell ref="H17:I17"/>
    <mergeCell ref="H28:I28"/>
    <mergeCell ref="H40:I40"/>
    <mergeCell ref="H51:I51"/>
    <mergeCell ref="H62:I62"/>
  </mergeCells>
  <conditionalFormatting sqref="I13">
    <cfRule type="cellIs" dxfId="483" priority="13" operator="lessThan">
      <formula>0.3</formula>
    </cfRule>
    <cfRule type="cellIs" dxfId="482" priority="14" operator="greaterThan">
      <formula>0.3</formula>
    </cfRule>
  </conditionalFormatting>
  <conditionalFormatting sqref="I24">
    <cfRule type="cellIs" dxfId="481" priority="11" operator="lessThan">
      <formula>0.3</formula>
    </cfRule>
    <cfRule type="cellIs" dxfId="480" priority="12" operator="greaterThan">
      <formula>0.3</formula>
    </cfRule>
  </conditionalFormatting>
  <conditionalFormatting sqref="I35">
    <cfRule type="cellIs" dxfId="479" priority="9" operator="lessThan">
      <formula>0.3</formula>
    </cfRule>
    <cfRule type="cellIs" dxfId="478" priority="10" operator="greaterThan">
      <formula>0.3</formula>
    </cfRule>
  </conditionalFormatting>
  <conditionalFormatting sqref="I47">
    <cfRule type="cellIs" dxfId="477" priority="7" operator="lessThan">
      <formula>0.3</formula>
    </cfRule>
    <cfRule type="cellIs" dxfId="476" priority="8" operator="greaterThan">
      <formula>0.3</formula>
    </cfRule>
  </conditionalFormatting>
  <conditionalFormatting sqref="I58">
    <cfRule type="cellIs" dxfId="475" priority="5" operator="lessThan">
      <formula>0.3</formula>
    </cfRule>
    <cfRule type="cellIs" dxfId="474" priority="6" operator="greaterThan">
      <formula>0.3</formula>
    </cfRule>
  </conditionalFormatting>
  <conditionalFormatting sqref="I69">
    <cfRule type="cellIs" dxfId="473" priority="3" operator="lessThan">
      <formula>0.3</formula>
    </cfRule>
    <cfRule type="cellIs" dxfId="472" priority="4" operator="greaterThan">
      <formula>0.3</formula>
    </cfRule>
  </conditionalFormatting>
  <conditionalFormatting sqref="I87">
    <cfRule type="cellIs" dxfId="471" priority="1" operator="lessThan">
      <formula>0.3</formula>
    </cfRule>
    <cfRule type="cellIs" dxfId="470" priority="2" operator="greaterThan">
      <formula>0.3</formula>
    </cfRule>
  </conditionalFormatting>
  <pageMargins left="0.7" right="0.7" top="0.75" bottom="0.75" header="0.3" footer="0.3"/>
  <drawing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88C88-C35C-495C-B89D-3A7A30D3584D}">
  <dimension ref="B6:K141"/>
  <sheetViews>
    <sheetView showGridLines="0" topLeftCell="A100" zoomScaleNormal="100" workbookViewId="0">
      <selection activeCell="B106" sqref="B106:H106"/>
    </sheetView>
  </sheetViews>
  <sheetFormatPr baseColWidth="10" defaultRowHeight="14.4" x14ac:dyDescent="0.3"/>
  <cols>
    <col min="1" max="1" width="6.33203125" customWidth="1"/>
    <col min="2" max="2" width="40.109375" bestFit="1" customWidth="1"/>
    <col min="3" max="6" width="7.77734375" customWidth="1"/>
    <col min="7" max="8" width="10.77734375" customWidth="1"/>
    <col min="9" max="9" width="3.77734375" customWidth="1"/>
    <col min="10" max="10" width="26.5546875" bestFit="1" customWidth="1"/>
  </cols>
  <sheetData>
    <row r="6" spans="2:11" x14ac:dyDescent="0.3">
      <c r="H6" s="4"/>
      <c r="I6" s="23"/>
    </row>
    <row r="7" spans="2:11" x14ac:dyDescent="0.3">
      <c r="B7" s="1" t="s">
        <v>704</v>
      </c>
      <c r="C7" s="2"/>
      <c r="D7" s="2"/>
      <c r="E7" s="3"/>
      <c r="F7" s="3"/>
      <c r="G7" s="3"/>
      <c r="H7" s="3"/>
      <c r="J7" s="277" t="s">
        <v>0</v>
      </c>
      <c r="K7" s="277"/>
    </row>
    <row r="8" spans="2:11" x14ac:dyDescent="0.3">
      <c r="B8" s="13" t="s">
        <v>1</v>
      </c>
      <c r="C8" s="14" t="s">
        <v>2</v>
      </c>
      <c r="D8" s="14" t="s">
        <v>3</v>
      </c>
      <c r="E8" s="14" t="s">
        <v>343</v>
      </c>
      <c r="F8" s="14" t="s">
        <v>585</v>
      </c>
      <c r="G8" s="28" t="s">
        <v>4</v>
      </c>
      <c r="H8" s="28" t="s">
        <v>5</v>
      </c>
      <c r="J8" s="5" t="s">
        <v>6</v>
      </c>
      <c r="K8" s="6">
        <f>SUM(Tabla1103453454455456479108132139[Total costo])</f>
        <v>11913.505003099999</v>
      </c>
    </row>
    <row r="9" spans="2:11" x14ac:dyDescent="0.3">
      <c r="B9" s="7" t="s">
        <v>403</v>
      </c>
      <c r="C9" s="8" t="s">
        <v>188</v>
      </c>
      <c r="D9" s="9">
        <v>1</v>
      </c>
      <c r="E9" s="9">
        <v>0</v>
      </c>
      <c r="F9" s="9">
        <v>1</v>
      </c>
      <c r="G9" s="10">
        <f>+VLOOKUP(Tabla1103453454455456479108132139[[#This Row],[Ingrediente]],Tabla34[#All],3,0)</f>
        <v>482.66183940000002</v>
      </c>
      <c r="H9" s="11">
        <f>+Tabla1103453454455456479108132139[[#This Row],[Costo]]*Tabla1103453454455456479108132139[[#This Row],[Columna2]]</f>
        <v>482.66183940000002</v>
      </c>
      <c r="J9" s="5" t="s">
        <v>113</v>
      </c>
      <c r="K9" s="12">
        <f>+K8*5%</f>
        <v>595.67525015499996</v>
      </c>
    </row>
    <row r="10" spans="2:11" x14ac:dyDescent="0.3">
      <c r="B10" s="21" t="s">
        <v>156</v>
      </c>
      <c r="C10" s="8" t="s">
        <v>188</v>
      </c>
      <c r="D10" s="9">
        <v>30</v>
      </c>
      <c r="E10" s="9">
        <v>0</v>
      </c>
      <c r="F10" s="9">
        <v>30</v>
      </c>
      <c r="G10" s="10">
        <f>+VLOOKUP(Tabla1103453454455456479108132139[[#This Row],[Ingrediente]],Tabla34[#All],3,0)</f>
        <v>15.86411244</v>
      </c>
      <c r="H10" s="11">
        <f>+Tabla1103453454455456479108132139[[#This Row],[Costo]]*Tabla1103453454455456479108132139[[#This Row],[Columna2]]</f>
        <v>475.92337320000001</v>
      </c>
      <c r="I10" s="4"/>
      <c r="J10" s="5" t="s">
        <v>9</v>
      </c>
      <c r="K10" s="12">
        <f>+K8+K9</f>
        <v>12509.180253254999</v>
      </c>
    </row>
    <row r="11" spans="2:11" x14ac:dyDescent="0.3">
      <c r="B11" s="7" t="s">
        <v>534</v>
      </c>
      <c r="C11" s="8" t="s">
        <v>188</v>
      </c>
      <c r="D11" s="9">
        <v>140</v>
      </c>
      <c r="E11" s="9">
        <v>0</v>
      </c>
      <c r="F11" s="9">
        <v>140</v>
      </c>
      <c r="G11" s="10">
        <f>+VLOOKUP(Tabla1103453454455456479108132139[[#This Row],[Ingrediente]],Tabla34[#All],3,0)</f>
        <v>1</v>
      </c>
      <c r="H11" s="11">
        <f>+Tabla1103453454455456479108132139[[#This Row],[Costo]]*Tabla1103453454455456479108132139[[#This Row],[Columna2]]</f>
        <v>140</v>
      </c>
      <c r="I11" s="4"/>
      <c r="J11" s="17" t="s">
        <v>10</v>
      </c>
      <c r="K11" s="18">
        <v>39900</v>
      </c>
    </row>
    <row r="12" spans="2:11" x14ac:dyDescent="0.3">
      <c r="B12" s="7" t="s">
        <v>90</v>
      </c>
      <c r="C12" s="8" t="s">
        <v>188</v>
      </c>
      <c r="D12" s="9">
        <v>20</v>
      </c>
      <c r="E12" s="9">
        <v>0</v>
      </c>
      <c r="F12" s="9">
        <v>20</v>
      </c>
      <c r="G12" s="10">
        <f>+VLOOKUP(Tabla1103453454455456479108132139[[#This Row],[Ingrediente]],Tabla34[#All],3,0)</f>
        <v>1.8699025499999999</v>
      </c>
      <c r="H12" s="11">
        <f>+Tabla1103453454455456479108132139[[#This Row],[Costo]]*Tabla1103453454455456479108132139[[#This Row],[Columna2]]</f>
        <v>37.398050999999995</v>
      </c>
      <c r="I12" s="4"/>
      <c r="J12" s="5" t="s">
        <v>11</v>
      </c>
      <c r="K12" s="12">
        <f>+K11/1.08*0.08</f>
        <v>2955.5555555555557</v>
      </c>
    </row>
    <row r="13" spans="2:11" x14ac:dyDescent="0.3">
      <c r="B13" s="21" t="s">
        <v>193</v>
      </c>
      <c r="C13" s="8" t="s">
        <v>188</v>
      </c>
      <c r="D13" s="9">
        <v>10</v>
      </c>
      <c r="E13" s="9">
        <v>0</v>
      </c>
      <c r="F13" s="9">
        <v>10</v>
      </c>
      <c r="G13" s="10">
        <f>+VLOOKUP(Tabla1103453454455456479108132139[[#This Row],[Ingrediente]],Tabla34[#All],3,0)</f>
        <v>65.25217395</v>
      </c>
      <c r="H13" s="11">
        <f>+Tabla1103453454455456479108132139[[#This Row],[Costo]]*Tabla1103453454455456479108132139[[#This Row],[Columna2]]</f>
        <v>652.52173949999997</v>
      </c>
      <c r="I13" s="4"/>
      <c r="J13" s="5" t="s">
        <v>12</v>
      </c>
      <c r="K13" s="12">
        <f>+K11-K12</f>
        <v>36944.444444444445</v>
      </c>
    </row>
    <row r="14" spans="2:11" x14ac:dyDescent="0.3">
      <c r="B14" s="21" t="s">
        <v>55</v>
      </c>
      <c r="C14" s="8" t="s">
        <v>570</v>
      </c>
      <c r="D14" s="9">
        <v>0.5</v>
      </c>
      <c r="E14" s="9">
        <v>0</v>
      </c>
      <c r="F14" s="9">
        <v>0.5</v>
      </c>
      <c r="G14" s="10">
        <f>+VLOOKUP(Tabla1103453454455456479108132139[[#This Row],[Ingrediente]],Tabla34[#All],3,0)</f>
        <v>3300</v>
      </c>
      <c r="H14" s="11">
        <f>+Tabla1103453454455456479108132139[[#This Row],[Costo]]*Tabla1103453454455456479108132139[[#This Row],[Columna2]]</f>
        <v>1650</v>
      </c>
      <c r="I14" s="4"/>
      <c r="J14" s="5" t="s">
        <v>13</v>
      </c>
      <c r="K14" s="19">
        <f>+K10/K13</f>
        <v>0.33859435271968419</v>
      </c>
    </row>
    <row r="15" spans="2:11" x14ac:dyDescent="0.3">
      <c r="B15" s="21" t="s">
        <v>364</v>
      </c>
      <c r="C15" s="8" t="s">
        <v>349</v>
      </c>
      <c r="D15" s="9">
        <v>2.5</v>
      </c>
      <c r="E15" s="9">
        <v>0</v>
      </c>
      <c r="F15" s="9">
        <v>2.5</v>
      </c>
      <c r="G15" s="10">
        <f>+VLOOKUP(Tabla1103453454455456479108132139[[#This Row],[Ingrediente]],Tabla34[#All],3,0)</f>
        <v>3390</v>
      </c>
      <c r="H15" s="11">
        <f>+Tabla1103453454455456479108132139[[#This Row],[Costo]]*Tabla1103453454455456479108132139[[#This Row],[Columna2]]</f>
        <v>8475</v>
      </c>
      <c r="I15" s="4"/>
      <c r="J15" s="5" t="s">
        <v>14</v>
      </c>
      <c r="K15" s="20">
        <f>+K13-K10</f>
        <v>24435.264191189446</v>
      </c>
    </row>
    <row r="16" spans="2:11" x14ac:dyDescent="0.3">
      <c r="B16" s="13"/>
      <c r="C16" s="14"/>
      <c r="D16" s="14"/>
      <c r="E16" s="14"/>
      <c r="F16" s="14"/>
      <c r="G16" s="15"/>
      <c r="H16" s="15">
        <f>SUBTOTAL(109,Tabla1103453454455456479108132139[Total costo])</f>
        <v>11913.505003099999</v>
      </c>
      <c r="I16" s="4"/>
      <c r="J16" s="5" t="s">
        <v>15</v>
      </c>
      <c r="K16" s="22">
        <f>+K15/K10</f>
        <v>1.9533865286521213</v>
      </c>
    </row>
    <row r="17" spans="2:11" x14ac:dyDescent="0.3">
      <c r="G17" s="4"/>
      <c r="H17" s="4"/>
      <c r="I17" s="23"/>
    </row>
    <row r="18" spans="2:11" x14ac:dyDescent="0.3">
      <c r="G18" s="4"/>
    </row>
    <row r="19" spans="2:11" x14ac:dyDescent="0.3">
      <c r="G19" s="4"/>
      <c r="H19" s="4"/>
      <c r="I19" s="23"/>
    </row>
    <row r="20" spans="2:11" x14ac:dyDescent="0.3">
      <c r="G20" s="4"/>
      <c r="H20" s="4"/>
      <c r="I20" s="23"/>
    </row>
    <row r="21" spans="2:11" x14ac:dyDescent="0.3">
      <c r="B21" s="1" t="s">
        <v>256</v>
      </c>
      <c r="C21" s="2"/>
      <c r="D21" s="2"/>
      <c r="E21" s="3"/>
      <c r="F21" s="3"/>
      <c r="G21" s="3"/>
      <c r="H21" s="3"/>
      <c r="I21" s="4"/>
      <c r="J21" s="277" t="s">
        <v>0</v>
      </c>
      <c r="K21" s="277"/>
    </row>
    <row r="22" spans="2:11" x14ac:dyDescent="0.3">
      <c r="B22" s="13" t="s">
        <v>1</v>
      </c>
      <c r="C22" s="14" t="s">
        <v>2</v>
      </c>
      <c r="D22" s="14" t="s">
        <v>3</v>
      </c>
      <c r="E22" s="14" t="s">
        <v>343</v>
      </c>
      <c r="F22" s="14" t="s">
        <v>585</v>
      </c>
      <c r="G22" s="28" t="s">
        <v>4</v>
      </c>
      <c r="H22" s="28" t="s">
        <v>5</v>
      </c>
      <c r="I22" s="4"/>
      <c r="J22" s="5" t="s">
        <v>6</v>
      </c>
      <c r="K22" s="6">
        <f>SUM(Tabla1103453454455456479108130137157194[Total costo])</f>
        <v>9616.8058416799995</v>
      </c>
    </row>
    <row r="23" spans="2:11" x14ac:dyDescent="0.3">
      <c r="B23" s="7" t="s">
        <v>403</v>
      </c>
      <c r="C23" s="8" t="s">
        <v>188</v>
      </c>
      <c r="D23" s="9">
        <v>1</v>
      </c>
      <c r="E23" s="9">
        <v>0</v>
      </c>
      <c r="F23" s="9">
        <v>1</v>
      </c>
      <c r="G23" s="10">
        <f>+VLOOKUP(Tabla1103453454455456479108130137157194[[#This Row],[Ingrediente]],Tabla34[#All],3,0)</f>
        <v>482.66183940000002</v>
      </c>
      <c r="H23" s="11">
        <f>+Tabla1103453454455456479108130137157194[[#This Row],[Costo]]*Tabla1103453454455456479108130137157194[[#This Row],[Columna2]]</f>
        <v>482.66183940000002</v>
      </c>
      <c r="I23" s="4"/>
      <c r="J23" s="5" t="s">
        <v>113</v>
      </c>
      <c r="K23" s="12">
        <f>+K22*5%</f>
        <v>480.840292084</v>
      </c>
    </row>
    <row r="24" spans="2:11" x14ac:dyDescent="0.3">
      <c r="B24" s="21" t="s">
        <v>156</v>
      </c>
      <c r="C24" s="8" t="s">
        <v>188</v>
      </c>
      <c r="D24" s="9">
        <v>30</v>
      </c>
      <c r="E24" s="9">
        <v>0</v>
      </c>
      <c r="F24" s="9">
        <v>30</v>
      </c>
      <c r="G24" s="10">
        <f>+VLOOKUP(Tabla1103453454455456479108130137157194[[#This Row],[Ingrediente]],Tabla34[#All],3,0)</f>
        <v>15.86411244</v>
      </c>
      <c r="H24" s="11">
        <f>+Tabla1103453454455456479108130137157194[[#This Row],[Costo]]*Tabla1103453454455456479108130137157194[[#This Row],[Columna2]]</f>
        <v>475.92337320000001</v>
      </c>
      <c r="I24" s="4"/>
      <c r="J24" s="5" t="s">
        <v>9</v>
      </c>
      <c r="K24" s="12">
        <f>+K22+K23</f>
        <v>10097.646133763999</v>
      </c>
    </row>
    <row r="25" spans="2:11" x14ac:dyDescent="0.3">
      <c r="B25" s="7" t="s">
        <v>534</v>
      </c>
      <c r="C25" s="8" t="s">
        <v>188</v>
      </c>
      <c r="D25" s="9">
        <v>100</v>
      </c>
      <c r="E25" s="9">
        <v>0</v>
      </c>
      <c r="F25" s="9">
        <v>100</v>
      </c>
      <c r="G25" s="10">
        <f>+VLOOKUP(Tabla1103453454455456479108130137157194[[#This Row],[Ingrediente]],Tabla34[#All],3,0)</f>
        <v>1</v>
      </c>
      <c r="H25" s="11">
        <f>+Tabla1103453454455456479108130137157194[[#This Row],[Costo]]*Tabla1103453454455456479108130137157194[[#This Row],[Columna2]]</f>
        <v>100</v>
      </c>
      <c r="I25" s="4"/>
      <c r="J25" s="17" t="s">
        <v>10</v>
      </c>
      <c r="K25" s="18">
        <v>35500</v>
      </c>
    </row>
    <row r="26" spans="2:11" x14ac:dyDescent="0.3">
      <c r="B26" s="21" t="s">
        <v>90</v>
      </c>
      <c r="C26" s="8" t="s">
        <v>188</v>
      </c>
      <c r="D26" s="9">
        <v>38</v>
      </c>
      <c r="E26" s="9">
        <v>0</v>
      </c>
      <c r="F26" s="9">
        <v>38</v>
      </c>
      <c r="G26" s="10">
        <f>+VLOOKUP(Tabla1103453454455456479108130137157194[[#This Row],[Ingrediente]],Tabla34[#All],3,0)</f>
        <v>1.8699025499999999</v>
      </c>
      <c r="H26" s="11">
        <f>+Tabla1103453454455456479108130137157194[[#This Row],[Costo]]*Tabla1103453454455456479108130137157194[[#This Row],[Columna2]]</f>
        <v>71.056296899999992</v>
      </c>
      <c r="I26" s="4"/>
      <c r="J26" s="5" t="s">
        <v>11</v>
      </c>
      <c r="K26" s="12">
        <f>+K25/1.08*0.08</f>
        <v>2629.6296296296291</v>
      </c>
    </row>
    <row r="27" spans="2:11" x14ac:dyDescent="0.3">
      <c r="B27" s="7" t="s">
        <v>1177</v>
      </c>
      <c r="C27" s="8" t="s">
        <v>570</v>
      </c>
      <c r="D27" s="9">
        <v>1</v>
      </c>
      <c r="E27" s="9">
        <v>0</v>
      </c>
      <c r="F27" s="9">
        <v>1</v>
      </c>
      <c r="G27" s="10">
        <f>+VLOOKUP(Tabla1103453454455456479108130137157194[[#This Row],[Ingrediente]],Tabla34[#All],3,0)</f>
        <v>12.164332180000001</v>
      </c>
      <c r="H27" s="11">
        <f>+Tabla1103453454455456479108130137157194[[#This Row],[Costo]]*Tabla1103453454455456479108130137157194[[#This Row],[Columna2]]</f>
        <v>12.164332180000001</v>
      </c>
      <c r="I27" s="4"/>
      <c r="J27" s="5" t="s">
        <v>12</v>
      </c>
      <c r="K27" s="12">
        <f>+K25-K26</f>
        <v>32870.370370370372</v>
      </c>
    </row>
    <row r="28" spans="2:11" x14ac:dyDescent="0.3">
      <c r="B28" s="21" t="s">
        <v>364</v>
      </c>
      <c r="C28" s="8" t="s">
        <v>349</v>
      </c>
      <c r="D28" s="9">
        <v>2.5</v>
      </c>
      <c r="E28" s="9">
        <v>0</v>
      </c>
      <c r="F28" s="9">
        <v>2.5</v>
      </c>
      <c r="G28" s="10">
        <f>+VLOOKUP(Tabla1103453454455456479108130137157194[[#This Row],[Ingrediente]],Tabla34[#All],3,0)</f>
        <v>3390</v>
      </c>
      <c r="H28" s="11">
        <f>+Tabla1103453454455456479108130137157194[[#This Row],[Costo]]*Tabla1103453454455456479108130137157194[[#This Row],[Columna2]]</f>
        <v>8475</v>
      </c>
      <c r="I28" s="4"/>
      <c r="J28" s="5" t="s">
        <v>13</v>
      </c>
      <c r="K28" s="19">
        <f>+K24/K27</f>
        <v>0.30719599505535544</v>
      </c>
    </row>
    <row r="29" spans="2:11" x14ac:dyDescent="0.3">
      <c r="B29" s="13"/>
      <c r="C29" s="14"/>
      <c r="D29" s="14"/>
      <c r="E29" s="14"/>
      <c r="F29" s="14"/>
      <c r="G29" s="15"/>
      <c r="H29" s="15">
        <f>SUBTOTAL(109,Tabla1103453454455456479108130137157194[Total costo])</f>
        <v>9616.8058416799995</v>
      </c>
      <c r="I29" s="4"/>
      <c r="J29" s="5" t="s">
        <v>14</v>
      </c>
      <c r="K29" s="20">
        <f>+K27-K24</f>
        <v>22772.724236606373</v>
      </c>
    </row>
    <row r="30" spans="2:11" x14ac:dyDescent="0.3">
      <c r="I30" s="4"/>
      <c r="J30" s="5" t="s">
        <v>15</v>
      </c>
      <c r="K30" s="22">
        <f>+K29/K24</f>
        <v>2.2552507718071131</v>
      </c>
    </row>
    <row r="31" spans="2:11" x14ac:dyDescent="0.3">
      <c r="G31" s="4"/>
    </row>
    <row r="32" spans="2:11" x14ac:dyDescent="0.3">
      <c r="B32" s="1" t="s">
        <v>218</v>
      </c>
      <c r="C32" s="2"/>
      <c r="D32" s="2"/>
      <c r="E32" s="3"/>
      <c r="F32" s="3"/>
      <c r="G32" s="3"/>
      <c r="H32" s="3"/>
      <c r="I32" s="4"/>
      <c r="J32" s="277" t="s">
        <v>0</v>
      </c>
      <c r="K32" s="277"/>
    </row>
    <row r="33" spans="2:11" x14ac:dyDescent="0.3">
      <c r="B33" s="13" t="s">
        <v>1</v>
      </c>
      <c r="C33" s="14" t="s">
        <v>2</v>
      </c>
      <c r="D33" s="14" t="s">
        <v>3</v>
      </c>
      <c r="E33" s="14" t="s">
        <v>343</v>
      </c>
      <c r="F33" s="14" t="s">
        <v>585</v>
      </c>
      <c r="G33" s="28" t="s">
        <v>4</v>
      </c>
      <c r="H33" s="28" t="s">
        <v>5</v>
      </c>
      <c r="I33" s="4"/>
      <c r="J33" s="5" t="s">
        <v>6</v>
      </c>
      <c r="K33" s="6">
        <f>SUM(Tabla1103453454455456479108130137157194203212[Total costo])</f>
        <v>37649.193600230006</v>
      </c>
    </row>
    <row r="34" spans="2:11" x14ac:dyDescent="0.3">
      <c r="B34" s="7" t="s">
        <v>403</v>
      </c>
      <c r="C34" s="8" t="s">
        <v>188</v>
      </c>
      <c r="D34" s="9">
        <v>1</v>
      </c>
      <c r="E34" s="9">
        <v>0</v>
      </c>
      <c r="F34" s="9">
        <v>1</v>
      </c>
      <c r="G34" s="10">
        <f>+VLOOKUP(Tabla1103453454455456479108130137157194203212[[#This Row],[Ingrediente]],Tabla34[#All],3,0)</f>
        <v>482.66183940000002</v>
      </c>
      <c r="H34" s="11">
        <f>+Tabla1103453454455456479108130137157194203212[[#This Row],[Costo]]*Tabla1103453454455456479108130137157194203212[[#This Row],[Columna2]]</f>
        <v>482.66183940000002</v>
      </c>
      <c r="I34" s="4"/>
      <c r="J34" s="5" t="s">
        <v>113</v>
      </c>
      <c r="K34" s="12">
        <f>+K33*5%</f>
        <v>1882.4596800115005</v>
      </c>
    </row>
    <row r="35" spans="2:11" x14ac:dyDescent="0.3">
      <c r="B35" s="21" t="s">
        <v>157</v>
      </c>
      <c r="C35" s="8" t="s">
        <v>349</v>
      </c>
      <c r="D35" s="9">
        <v>2.5</v>
      </c>
      <c r="E35" s="9">
        <v>0</v>
      </c>
      <c r="F35" s="9">
        <v>2.5</v>
      </c>
      <c r="G35" s="10">
        <f>+VLOOKUP(Tabla1103453454455456479108130137157194203212[[#This Row],[Ingrediente]],Tabla34[#All],3,0)</f>
        <v>14491.8699187</v>
      </c>
      <c r="H35" s="11">
        <f>+Tabla1103453454455456479108130137157194203212[[#This Row],[Costo]]*Tabla1103453454455456479108130137157194203212[[#This Row],[Columna2]]</f>
        <v>36229.674796749998</v>
      </c>
      <c r="I35" s="4"/>
      <c r="J35" s="5" t="s">
        <v>9</v>
      </c>
      <c r="K35" s="12">
        <f>+K33+K34</f>
        <v>39531.653280241509</v>
      </c>
    </row>
    <row r="36" spans="2:11" x14ac:dyDescent="0.3">
      <c r="B36" s="7" t="s">
        <v>534</v>
      </c>
      <c r="C36" s="8" t="s">
        <v>188</v>
      </c>
      <c r="D36" s="9">
        <v>240</v>
      </c>
      <c r="E36" s="9">
        <v>0</v>
      </c>
      <c r="F36" s="9">
        <v>240</v>
      </c>
      <c r="G36" s="10">
        <f>+VLOOKUP(Tabla1103453454455456479108130137157194203212[[#This Row],[Ingrediente]],Tabla34[#All],3,0)</f>
        <v>1</v>
      </c>
      <c r="H36" s="11">
        <f>+Tabla1103453454455456479108130137157194203212[[#This Row],[Costo]]*Tabla1103453454455456479108130137157194203212[[#This Row],[Columna2]]</f>
        <v>240</v>
      </c>
      <c r="J36" s="17" t="s">
        <v>10</v>
      </c>
      <c r="K36" s="18">
        <v>39900</v>
      </c>
    </row>
    <row r="37" spans="2:11" x14ac:dyDescent="0.3">
      <c r="B37" s="21" t="s">
        <v>90</v>
      </c>
      <c r="C37" s="8" t="s">
        <v>188</v>
      </c>
      <c r="D37" s="9">
        <v>38</v>
      </c>
      <c r="E37" s="9">
        <v>0</v>
      </c>
      <c r="F37" s="9">
        <v>38</v>
      </c>
      <c r="G37" s="10">
        <f>+VLOOKUP(Tabla1103453454455456479108130137157194203212[[#This Row],[Ingrediente]],Tabla34[#All],3,0)</f>
        <v>1.8699025499999999</v>
      </c>
      <c r="H37" s="11">
        <f>+Tabla1103453454455456479108130137157194203212[[#This Row],[Costo]]*Tabla1103453454455456479108130137157194203212[[#This Row],[Columna2]]</f>
        <v>71.056296899999992</v>
      </c>
      <c r="J37" s="5" t="s">
        <v>11</v>
      </c>
      <c r="K37" s="12">
        <f>+K36/1.08*0.08</f>
        <v>2955.5555555555557</v>
      </c>
    </row>
    <row r="38" spans="2:11" x14ac:dyDescent="0.3">
      <c r="B38" s="7" t="s">
        <v>536</v>
      </c>
      <c r="C38" s="8" t="s">
        <v>188</v>
      </c>
      <c r="D38" s="9">
        <v>29.999998600000001</v>
      </c>
      <c r="E38" s="9">
        <v>78</v>
      </c>
      <c r="F38" s="9">
        <v>136.36363</v>
      </c>
      <c r="G38" s="10">
        <f>+VLOOKUP(Tabla1103453454455456479108130137157194203212[[#This Row],[Ingrediente]],Tabla34[#All],3,0)</f>
        <v>4.5</v>
      </c>
      <c r="H38" s="11">
        <f>+Tabla1103453454455456479108130137157194203212[[#This Row],[Costo]]*Tabla1103453454455456479108130137157194203212[[#This Row],[Columna2]]</f>
        <v>613.63633500000003</v>
      </c>
      <c r="J38" s="5" t="s">
        <v>12</v>
      </c>
      <c r="K38" s="12">
        <f>+K36-K37</f>
        <v>36944.444444444445</v>
      </c>
    </row>
    <row r="39" spans="2:11" x14ac:dyDescent="0.3">
      <c r="B39" s="21" t="s">
        <v>1177</v>
      </c>
      <c r="C39" s="8" t="s">
        <v>570</v>
      </c>
      <c r="D39" s="9">
        <v>1</v>
      </c>
      <c r="E39" s="9">
        <v>0</v>
      </c>
      <c r="F39" s="9">
        <v>1</v>
      </c>
      <c r="G39" s="10">
        <f>+VLOOKUP(Tabla1103453454455456479108130137157194203212[[#This Row],[Ingrediente]],Tabla34[#All],3,0)</f>
        <v>12.164332180000001</v>
      </c>
      <c r="H39" s="11">
        <f>+Tabla1103453454455456479108130137157194203212[[#This Row],[Costo]]*Tabla1103453454455456479108130137157194203212[[#This Row],[Columna2]]</f>
        <v>12.164332180000001</v>
      </c>
      <c r="I39" s="4"/>
      <c r="J39" s="5" t="s">
        <v>13</v>
      </c>
      <c r="K39" s="19">
        <f>+K35/K38</f>
        <v>1.0700297128486422</v>
      </c>
    </row>
    <row r="40" spans="2:11" x14ac:dyDescent="0.3">
      <c r="B40" s="13"/>
      <c r="C40" s="14"/>
      <c r="D40" s="14"/>
      <c r="E40" s="14"/>
      <c r="F40" s="14"/>
      <c r="G40" s="15"/>
      <c r="H40" s="15">
        <f>SUBTOTAL(109,Tabla1103453454455456479108130137157194203212[Total costo])</f>
        <v>37649.193600230006</v>
      </c>
      <c r="I40" s="4"/>
      <c r="J40" s="5" t="s">
        <v>14</v>
      </c>
      <c r="K40" s="20">
        <f>+K38-K35</f>
        <v>-2587.2088357970642</v>
      </c>
    </row>
    <row r="41" spans="2:11" x14ac:dyDescent="0.3">
      <c r="I41" s="4"/>
      <c r="J41" s="5" t="s">
        <v>15</v>
      </c>
      <c r="K41" s="22">
        <f>+K40/K35</f>
        <v>-6.5446512379743763E-2</v>
      </c>
    </row>
    <row r="42" spans="2:11" x14ac:dyDescent="0.3">
      <c r="G42" s="4"/>
    </row>
    <row r="43" spans="2:11" x14ac:dyDescent="0.3">
      <c r="B43" s="1" t="s">
        <v>150</v>
      </c>
      <c r="C43" s="2"/>
      <c r="D43" s="2"/>
      <c r="E43" s="3"/>
      <c r="F43" s="3"/>
      <c r="G43" s="3"/>
      <c r="H43" s="3"/>
      <c r="I43" s="24"/>
      <c r="J43" s="277" t="s">
        <v>0</v>
      </c>
      <c r="K43" s="277"/>
    </row>
    <row r="44" spans="2:11" x14ac:dyDescent="0.3">
      <c r="B44" s="13" t="s">
        <v>1</v>
      </c>
      <c r="C44" s="14" t="s">
        <v>2</v>
      </c>
      <c r="D44" s="14" t="s">
        <v>3</v>
      </c>
      <c r="E44" s="14" t="s">
        <v>343</v>
      </c>
      <c r="F44" s="14" t="s">
        <v>585</v>
      </c>
      <c r="G44" s="28" t="s">
        <v>4</v>
      </c>
      <c r="H44" s="28" t="s">
        <v>5</v>
      </c>
      <c r="J44" s="5" t="s">
        <v>6</v>
      </c>
      <c r="K44" s="6">
        <f>SUM(Tabla1103453454455456479108129136245286[Total costo])</f>
        <v>9808.2011447799996</v>
      </c>
    </row>
    <row r="45" spans="2:11" x14ac:dyDescent="0.3">
      <c r="B45" s="7" t="s">
        <v>403</v>
      </c>
      <c r="C45" s="8" t="s">
        <v>188</v>
      </c>
      <c r="D45" s="9">
        <v>1</v>
      </c>
      <c r="E45" s="9">
        <v>0</v>
      </c>
      <c r="F45" s="9">
        <v>1</v>
      </c>
      <c r="G45" s="10">
        <f>+VLOOKUP(Tabla1103453454455456479108129136245286[[#This Row],[Ingrediente]],Tabla34[#All],3,0)</f>
        <v>482.66183940000002</v>
      </c>
      <c r="H45" s="11">
        <f>+Tabla1103453454455456479108129136245286[[#This Row],[Costo]]*Tabla1103453454455456479108129136245286[[#This Row],[Columna2]]</f>
        <v>482.66183940000002</v>
      </c>
      <c r="J45" s="5" t="s">
        <v>113</v>
      </c>
      <c r="K45" s="12">
        <f>+K44*5%</f>
        <v>490.41005723900003</v>
      </c>
    </row>
    <row r="46" spans="2:11" x14ac:dyDescent="0.3">
      <c r="B46" s="7" t="s">
        <v>156</v>
      </c>
      <c r="C46" s="8" t="s">
        <v>188</v>
      </c>
      <c r="D46" s="9">
        <v>30</v>
      </c>
      <c r="E46" s="9">
        <v>0</v>
      </c>
      <c r="F46" s="9">
        <v>30</v>
      </c>
      <c r="G46" s="10">
        <f>+VLOOKUP(Tabla1103453454455456479108129136245286[[#This Row],[Ingrediente]],Tabla34[#All],3,0)</f>
        <v>15.86411244</v>
      </c>
      <c r="H46" s="11">
        <f>+Tabla1103453454455456479108129136245286[[#This Row],[Costo]]*Tabla1103453454455456479108129136245286[[#This Row],[Columna2]]</f>
        <v>475.92337320000001</v>
      </c>
      <c r="J46" s="5" t="s">
        <v>9</v>
      </c>
      <c r="K46" s="12">
        <f>+K44+K45</f>
        <v>10298.611202018999</v>
      </c>
    </row>
    <row r="47" spans="2:11" x14ac:dyDescent="0.3">
      <c r="B47" s="21" t="s">
        <v>155</v>
      </c>
      <c r="C47" s="8" t="s">
        <v>188</v>
      </c>
      <c r="D47" s="9">
        <v>30</v>
      </c>
      <c r="E47" s="9">
        <v>0</v>
      </c>
      <c r="F47" s="9">
        <v>30</v>
      </c>
      <c r="G47" s="10">
        <f>+VLOOKUP(Tabla1103453454455456479108129136245286[[#This Row],[Ingrediente]],Tabla34[#All],3,0)</f>
        <v>12.081719999999999</v>
      </c>
      <c r="H47" s="11">
        <f>+Tabla1103453454455456479108129136245286[[#This Row],[Costo]]*Tabla1103453454455456479108129136245286[[#This Row],[Columna2]]</f>
        <v>362.45159999999998</v>
      </c>
      <c r="J47" s="17" t="s">
        <v>10</v>
      </c>
      <c r="K47" s="18">
        <v>35500</v>
      </c>
    </row>
    <row r="48" spans="2:11" x14ac:dyDescent="0.3">
      <c r="B48" s="21" t="s">
        <v>1177</v>
      </c>
      <c r="C48" s="8" t="s">
        <v>570</v>
      </c>
      <c r="D48" s="9">
        <v>1</v>
      </c>
      <c r="E48" s="9">
        <v>0</v>
      </c>
      <c r="F48" s="9">
        <v>1</v>
      </c>
      <c r="G48" s="10">
        <f>+VLOOKUP(Tabla1103453454455456479108129136245286[[#This Row],[Ingrediente]],Tabla34[#All],3,0)</f>
        <v>12.164332180000001</v>
      </c>
      <c r="H48" s="11">
        <f>+Tabla1103453454455456479108129136245286[[#This Row],[Costo]]*Tabla1103453454455456479108129136245286[[#This Row],[Columna2]]</f>
        <v>12.164332180000001</v>
      </c>
      <c r="J48" s="5" t="s">
        <v>11</v>
      </c>
      <c r="K48" s="12">
        <f>+K47/1.08*0.08</f>
        <v>2629.6296296296291</v>
      </c>
    </row>
    <row r="49" spans="2:11" x14ac:dyDescent="0.3">
      <c r="B49" s="7" t="s">
        <v>364</v>
      </c>
      <c r="C49" s="8" t="s">
        <v>349</v>
      </c>
      <c r="D49" s="9">
        <v>2.5</v>
      </c>
      <c r="E49" s="9">
        <v>0</v>
      </c>
      <c r="F49" s="9">
        <v>2.5</v>
      </c>
      <c r="G49" s="10">
        <f>+VLOOKUP(Tabla1103453454455456479108129136245286[[#This Row],[Ingrediente]],Tabla34[#All],3,0)</f>
        <v>3390</v>
      </c>
      <c r="H49" s="11">
        <f>+Tabla1103453454455456479108129136245286[[#This Row],[Costo]]*Tabla1103453454455456479108129136245286[[#This Row],[Columna2]]</f>
        <v>8475</v>
      </c>
      <c r="J49" s="5" t="s">
        <v>12</v>
      </c>
      <c r="K49" s="12">
        <f>+K47-K48</f>
        <v>32870.370370370372</v>
      </c>
    </row>
    <row r="50" spans="2:11" x14ac:dyDescent="0.3">
      <c r="B50" s="13"/>
      <c r="C50" s="14"/>
      <c r="D50" s="14"/>
      <c r="E50" s="14"/>
      <c r="F50" s="14"/>
      <c r="G50" s="15"/>
      <c r="H50" s="15">
        <f>SUBTOTAL(109,Tabla1103453454455456479108129136245286[Total costo])</f>
        <v>9808.2011447799996</v>
      </c>
      <c r="I50" s="4"/>
      <c r="J50" s="5" t="s">
        <v>13</v>
      </c>
      <c r="K50" s="19">
        <f>+K46/K49</f>
        <v>0.31330986192057797</v>
      </c>
    </row>
    <row r="51" spans="2:11" x14ac:dyDescent="0.3">
      <c r="I51" s="4"/>
      <c r="J51" s="5" t="s">
        <v>14</v>
      </c>
      <c r="K51" s="20">
        <f>+K49-K46</f>
        <v>22571.759168351375</v>
      </c>
    </row>
    <row r="52" spans="2:11" x14ac:dyDescent="0.3">
      <c r="I52" s="4"/>
      <c r="J52" s="5" t="s">
        <v>15</v>
      </c>
      <c r="K52" s="22">
        <f>+K51/K46</f>
        <v>2.1917284501357113</v>
      </c>
    </row>
    <row r="55" spans="2:11" x14ac:dyDescent="0.3">
      <c r="B55" s="1" t="s">
        <v>255</v>
      </c>
      <c r="C55" s="2"/>
      <c r="D55" s="2"/>
      <c r="E55" s="3"/>
      <c r="F55" s="3"/>
      <c r="G55" s="3"/>
      <c r="H55" s="3"/>
      <c r="I55" s="4"/>
      <c r="J55" s="277" t="s">
        <v>0</v>
      </c>
      <c r="K55" s="277"/>
    </row>
    <row r="56" spans="2:11" x14ac:dyDescent="0.3">
      <c r="B56" s="13" t="s">
        <v>1</v>
      </c>
      <c r="C56" s="14" t="s">
        <v>2</v>
      </c>
      <c r="D56" s="14" t="s">
        <v>3</v>
      </c>
      <c r="E56" s="14" t="s">
        <v>343</v>
      </c>
      <c r="F56" s="14" t="s">
        <v>585</v>
      </c>
      <c r="G56" s="28" t="s">
        <v>4</v>
      </c>
      <c r="H56" s="28" t="s">
        <v>5</v>
      </c>
      <c r="I56" s="4"/>
      <c r="J56" s="5" t="s">
        <v>6</v>
      </c>
      <c r="K56" s="6">
        <f>SUM(Tabla1103453454455456479108133140249150[Total costo])</f>
        <v>7680.2884983277982</v>
      </c>
    </row>
    <row r="57" spans="2:11" x14ac:dyDescent="0.3">
      <c r="B57" s="7" t="s">
        <v>49</v>
      </c>
      <c r="C57" s="8" t="s">
        <v>349</v>
      </c>
      <c r="D57" s="9">
        <v>1.66</v>
      </c>
      <c r="E57" s="9">
        <v>0</v>
      </c>
      <c r="F57" s="9">
        <v>1.66</v>
      </c>
      <c r="G57" s="10">
        <f>+VLOOKUP(Tabla1103453454455456479108133140249150[[#This Row],[Ingrediente]],Tabla34[#All],3,0)</f>
        <v>4333.3333333299997</v>
      </c>
      <c r="H57" s="11">
        <f>+Tabla1103453454455456479108133140249150[[#This Row],[Costo]]*Tabla1103453454455456479108133140249150[[#This Row],[Columna2]]</f>
        <v>7193.3333333277988</v>
      </c>
      <c r="I57" s="4"/>
      <c r="J57" s="5" t="s">
        <v>113</v>
      </c>
      <c r="K57" s="12">
        <f>+K56*5%</f>
        <v>384.01442491638994</v>
      </c>
    </row>
    <row r="58" spans="2:11" x14ac:dyDescent="0.3">
      <c r="B58" s="21" t="s">
        <v>505</v>
      </c>
      <c r="C58" s="8" t="s">
        <v>188</v>
      </c>
      <c r="D58" s="9">
        <v>10.000000200000001</v>
      </c>
      <c r="E58" s="9">
        <v>5</v>
      </c>
      <c r="F58" s="9">
        <v>10.526316</v>
      </c>
      <c r="G58" s="10">
        <f>+VLOOKUP(Tabla1103453454455456479108133140249150[[#This Row],[Ingrediente]],Tabla34[#All],3,0)</f>
        <v>9.5</v>
      </c>
      <c r="H58" s="11">
        <f>+Tabla1103453454455456479108133140249150[[#This Row],[Costo]]*Tabla1103453454455456479108133140249150[[#This Row],[Columna2]]</f>
        <v>100.00000199999999</v>
      </c>
      <c r="I58" s="24"/>
      <c r="J58" s="5" t="s">
        <v>9</v>
      </c>
      <c r="K58" s="12">
        <f>+K56+K57</f>
        <v>8064.3029232441877</v>
      </c>
    </row>
    <row r="59" spans="2:11" x14ac:dyDescent="0.3">
      <c r="B59" s="7" t="s">
        <v>164</v>
      </c>
      <c r="C59" s="8" t="s">
        <v>188</v>
      </c>
      <c r="D59" s="9">
        <v>9.9999996000000007</v>
      </c>
      <c r="E59" s="9">
        <v>40</v>
      </c>
      <c r="F59" s="9">
        <v>16.666665999999999</v>
      </c>
      <c r="G59" s="10">
        <f>+VLOOKUP(Tabla1103453454455456479108133140249150[[#This Row],[Ingrediente]],Tabla34[#All],3,0)</f>
        <v>5.5</v>
      </c>
      <c r="H59" s="11">
        <f>+Tabla1103453454455456479108133140249150[[#This Row],[Costo]]*Tabla1103453454455456479108133140249150[[#This Row],[Columna2]]</f>
        <v>91.666663</v>
      </c>
      <c r="J59" s="17" t="s">
        <v>10</v>
      </c>
      <c r="K59" s="18">
        <v>39900</v>
      </c>
    </row>
    <row r="60" spans="2:11" x14ac:dyDescent="0.3">
      <c r="B60" s="21" t="s">
        <v>523</v>
      </c>
      <c r="C60" s="8" t="s">
        <v>188</v>
      </c>
      <c r="D60" s="9">
        <v>3</v>
      </c>
      <c r="E60" s="9">
        <v>0</v>
      </c>
      <c r="F60" s="9">
        <v>3</v>
      </c>
      <c r="G60" s="10">
        <f>+VLOOKUP(Tabla1103453454455456479108133140249150[[#This Row],[Ingrediente]],Tabla34[#All],3,0)</f>
        <v>98.429500000000004</v>
      </c>
      <c r="H60" s="11">
        <f>+Tabla1103453454455456479108133140249150[[#This Row],[Costo]]*Tabla1103453454455456479108133140249150[[#This Row],[Columna2]]</f>
        <v>295.2885</v>
      </c>
      <c r="J60" s="5" t="s">
        <v>11</v>
      </c>
      <c r="K60" s="12">
        <f>+K59/1.08*0.08</f>
        <v>2955.5555555555557</v>
      </c>
    </row>
    <row r="61" spans="2:11" x14ac:dyDescent="0.3">
      <c r="B61" s="13"/>
      <c r="C61" s="14"/>
      <c r="D61" s="14"/>
      <c r="E61" s="14"/>
      <c r="F61" s="14"/>
      <c r="G61" s="15"/>
      <c r="H61" s="15">
        <f>SUBTOTAL(109,Tabla1103453454455456479108133140249150[Total costo])</f>
        <v>7680.2884983277982</v>
      </c>
      <c r="J61" s="5" t="s">
        <v>12</v>
      </c>
      <c r="K61" s="12">
        <f>+K59-K60</f>
        <v>36944.444444444445</v>
      </c>
    </row>
    <row r="62" spans="2:11" x14ac:dyDescent="0.3">
      <c r="J62" s="5" t="s">
        <v>13</v>
      </c>
      <c r="K62" s="19">
        <f>+K58/K61</f>
        <v>0.21828188363668477</v>
      </c>
    </row>
    <row r="63" spans="2:11" x14ac:dyDescent="0.3">
      <c r="J63" s="5" t="s">
        <v>14</v>
      </c>
      <c r="K63" s="20">
        <f>+K61-K58</f>
        <v>28880.141521200258</v>
      </c>
    </row>
    <row r="64" spans="2:11" x14ac:dyDescent="0.3">
      <c r="G64" s="4"/>
      <c r="H64" s="4"/>
      <c r="I64" s="4"/>
      <c r="J64" s="5" t="s">
        <v>15</v>
      </c>
      <c r="K64" s="22">
        <f>+K63/K58</f>
        <v>3.5812322275193091</v>
      </c>
    </row>
    <row r="65" spans="2:11" x14ac:dyDescent="0.3">
      <c r="G65" s="4"/>
      <c r="H65" s="4"/>
      <c r="I65" s="23"/>
    </row>
    <row r="66" spans="2:11" x14ac:dyDescent="0.3">
      <c r="B66" s="1" t="s">
        <v>163</v>
      </c>
      <c r="C66" s="2"/>
      <c r="D66" s="2"/>
      <c r="E66" s="3"/>
      <c r="F66" s="3"/>
      <c r="G66" s="3"/>
      <c r="H66" s="3"/>
      <c r="I66" s="4"/>
      <c r="J66" s="102" t="s">
        <v>0</v>
      </c>
      <c r="K66" s="102"/>
    </row>
    <row r="67" spans="2:11" x14ac:dyDescent="0.3">
      <c r="B67" s="13" t="s">
        <v>1</v>
      </c>
      <c r="C67" s="14" t="s">
        <v>2</v>
      </c>
      <c r="D67" s="14" t="s">
        <v>3</v>
      </c>
      <c r="E67" s="14" t="s">
        <v>343</v>
      </c>
      <c r="F67" s="14" t="s">
        <v>585</v>
      </c>
      <c r="G67" s="28" t="s">
        <v>4</v>
      </c>
      <c r="H67" s="28" t="s">
        <v>5</v>
      </c>
      <c r="I67" s="4"/>
      <c r="J67" s="5" t="s">
        <v>6</v>
      </c>
      <c r="K67" s="6">
        <f>SUM(Tabla1103453454455456479108134141272164[Total costo])</f>
        <v>15835.531127239999</v>
      </c>
    </row>
    <row r="68" spans="2:11" x14ac:dyDescent="0.3">
      <c r="B68" s="7" t="s">
        <v>41</v>
      </c>
      <c r="C68" s="8" t="s">
        <v>349</v>
      </c>
      <c r="D68" s="9">
        <v>2.5</v>
      </c>
      <c r="E68" s="9">
        <v>0</v>
      </c>
      <c r="F68" s="9">
        <v>2.5</v>
      </c>
      <c r="G68" s="10">
        <f>+VLOOKUP(Tabla1103453454455456479108134141272164[[#This Row],[Ingrediente]],Tabla34[#All],3,0)</f>
        <v>6303</v>
      </c>
      <c r="H68" s="11">
        <f>+Tabla1103453454455456479108134141272164[[#This Row],[Costo]]*Tabla1103453454455456479108134141272164[[#This Row],[Columna2]]</f>
        <v>15757.5</v>
      </c>
      <c r="I68" s="4"/>
      <c r="J68" s="5" t="s">
        <v>113</v>
      </c>
      <c r="K68" s="12">
        <f>+K67*5%</f>
        <v>791.77655636200006</v>
      </c>
    </row>
    <row r="69" spans="2:11" x14ac:dyDescent="0.3">
      <c r="B69" s="21" t="s">
        <v>564</v>
      </c>
      <c r="C69" s="8" t="s">
        <v>188</v>
      </c>
      <c r="D69" s="9">
        <v>45</v>
      </c>
      <c r="E69" s="9">
        <v>0</v>
      </c>
      <c r="F69" s="9">
        <v>20</v>
      </c>
      <c r="G69" s="10">
        <f>+VLOOKUP(Tabla1103453454455456479108134141272164[[#This Row],[Ingrediente]],Tabla34[#All],3,0)</f>
        <v>3.1083507400000001</v>
      </c>
      <c r="H69" s="11">
        <f>+Tabla1103453454455456479108134141272164[[#This Row],[Costo]]*Tabla1103453454455456479108134141272164[[#This Row],[Columna2]]</f>
        <v>62.167014800000004</v>
      </c>
      <c r="I69" s="24"/>
      <c r="J69" s="5" t="s">
        <v>9</v>
      </c>
      <c r="K69" s="12">
        <f>+K67+K68</f>
        <v>16627.307683602001</v>
      </c>
    </row>
    <row r="70" spans="2:11" x14ac:dyDescent="0.3">
      <c r="B70" s="21" t="s">
        <v>156</v>
      </c>
      <c r="C70" s="8" t="s">
        <v>188</v>
      </c>
      <c r="D70" s="9">
        <v>30</v>
      </c>
      <c r="E70" s="9">
        <v>0</v>
      </c>
      <c r="F70" s="9">
        <v>1</v>
      </c>
      <c r="G70" s="10">
        <f>+VLOOKUP(Tabla1103453454455456479108134141272164[[#This Row],[Ingrediente]],Tabla34[#All],3,0)</f>
        <v>15.86411244</v>
      </c>
      <c r="H70" s="11">
        <f>+Tabla1103453454455456479108134141272164[[#This Row],[Costo]]*Tabla1103453454455456479108134141272164[[#This Row],[Columna2]]</f>
        <v>15.86411244</v>
      </c>
      <c r="J70" s="17" t="s">
        <v>10</v>
      </c>
      <c r="K70" s="18">
        <v>49000</v>
      </c>
    </row>
    <row r="71" spans="2:11" x14ac:dyDescent="0.3">
      <c r="B71" s="13"/>
      <c r="C71" s="14"/>
      <c r="D71" s="14"/>
      <c r="E71" s="14"/>
      <c r="F71" s="14"/>
      <c r="G71" s="15"/>
      <c r="H71" s="15">
        <f>SUBTOTAL(109,Tabla1103453454455456479108134141272164[Total costo])</f>
        <v>15835.531127239999</v>
      </c>
      <c r="J71" s="5" t="s">
        <v>11</v>
      </c>
      <c r="K71" s="12">
        <f>+K70/1.08*0.08</f>
        <v>3629.6296296296291</v>
      </c>
    </row>
    <row r="72" spans="2:11" x14ac:dyDescent="0.3">
      <c r="J72" s="5" t="s">
        <v>12</v>
      </c>
      <c r="K72" s="12">
        <f>+K70-K71</f>
        <v>45370.370370370372</v>
      </c>
    </row>
    <row r="73" spans="2:11" x14ac:dyDescent="0.3">
      <c r="G73" s="4"/>
      <c r="J73" s="5" t="s">
        <v>13</v>
      </c>
      <c r="K73" s="19">
        <f>+K69/K72</f>
        <v>0.36647943465898286</v>
      </c>
    </row>
    <row r="74" spans="2:11" x14ac:dyDescent="0.3">
      <c r="G74" s="4"/>
      <c r="J74" s="5" t="s">
        <v>14</v>
      </c>
      <c r="K74" s="20">
        <f>+K72-K69</f>
        <v>28743.062686768371</v>
      </c>
    </row>
    <row r="75" spans="2:11" x14ac:dyDescent="0.3">
      <c r="G75" s="4"/>
      <c r="I75" s="4"/>
      <c r="J75" s="5" t="s">
        <v>15</v>
      </c>
      <c r="K75" s="22">
        <f>+K74/K69</f>
        <v>1.7286660735288513</v>
      </c>
    </row>
    <row r="76" spans="2:11" x14ac:dyDescent="0.3">
      <c r="G76" s="4"/>
      <c r="I76" s="4"/>
    </row>
    <row r="77" spans="2:11" x14ac:dyDescent="0.3">
      <c r="B77" s="1" t="s">
        <v>165</v>
      </c>
      <c r="C77" s="2"/>
      <c r="D77" s="2"/>
      <c r="E77" s="3"/>
      <c r="F77" s="3"/>
      <c r="G77" s="3"/>
      <c r="H77" s="3"/>
      <c r="I77" s="4"/>
      <c r="J77" s="102" t="s">
        <v>0</v>
      </c>
      <c r="K77" s="102"/>
    </row>
    <row r="78" spans="2:11" x14ac:dyDescent="0.3">
      <c r="B78" s="13" t="s">
        <v>1</v>
      </c>
      <c r="C78" s="14" t="s">
        <v>2</v>
      </c>
      <c r="D78" s="14" t="s">
        <v>3</v>
      </c>
      <c r="E78" s="14" t="s">
        <v>343</v>
      </c>
      <c r="F78" s="14" t="s">
        <v>585</v>
      </c>
      <c r="G78" s="28" t="s">
        <v>4</v>
      </c>
      <c r="H78" s="28" t="s">
        <v>5</v>
      </c>
      <c r="I78" s="4"/>
      <c r="J78" s="5" t="s">
        <v>6</v>
      </c>
      <c r="K78" s="6">
        <f>SUM(Tabla1103453454455456479108135112190275165[Total costo])</f>
        <v>9887.8541162589972</v>
      </c>
    </row>
    <row r="79" spans="2:11" x14ac:dyDescent="0.3">
      <c r="B79" s="7" t="s">
        <v>49</v>
      </c>
      <c r="C79" s="8" t="s">
        <v>349</v>
      </c>
      <c r="D79" s="9">
        <v>2</v>
      </c>
      <c r="E79" s="9">
        <v>0</v>
      </c>
      <c r="F79" s="9">
        <v>2</v>
      </c>
      <c r="G79" s="10">
        <f>+VLOOKUP(Tabla1103453454455456479108135112190275165[[#This Row],[Ingrediente]],Tabla34[#All],3,0)</f>
        <v>4333.3333333299997</v>
      </c>
      <c r="H79" s="11">
        <f>+Tabla1103453454455456479108135112190275165[[#This Row],[Costo]]*Tabla1103453454455456479108135112190275165[[#This Row],[Columna2]]</f>
        <v>8666.6666666599995</v>
      </c>
      <c r="I79" s="4"/>
      <c r="J79" s="5" t="s">
        <v>113</v>
      </c>
      <c r="K79" s="12">
        <f>+K78*5%</f>
        <v>494.39270581294988</v>
      </c>
    </row>
    <row r="80" spans="2:11" x14ac:dyDescent="0.3">
      <c r="B80" s="21" t="s">
        <v>403</v>
      </c>
      <c r="C80" s="8" t="s">
        <v>188</v>
      </c>
      <c r="D80" s="9">
        <v>1</v>
      </c>
      <c r="E80" s="9">
        <v>0</v>
      </c>
      <c r="F80" s="9">
        <v>1</v>
      </c>
      <c r="G80" s="10">
        <f>+VLOOKUP(Tabla1103453454455456479108135112190275165[[#This Row],[Ingrediente]],Tabla34[#All],3,0)</f>
        <v>482.66183940000002</v>
      </c>
      <c r="H80" s="11">
        <f>+Tabla1103453454455456479108135112190275165[[#This Row],[Costo]]*Tabla1103453454455456479108135112190275165[[#This Row],[Columna2]]</f>
        <v>482.66183940000002</v>
      </c>
      <c r="I80" s="4"/>
      <c r="J80" s="5" t="s">
        <v>9</v>
      </c>
      <c r="K80" s="12">
        <f>+K78+K79</f>
        <v>10382.246822071947</v>
      </c>
    </row>
    <row r="81" spans="2:11" x14ac:dyDescent="0.3">
      <c r="B81" s="21" t="s">
        <v>156</v>
      </c>
      <c r="C81" s="8" t="s">
        <v>188</v>
      </c>
      <c r="D81" s="9">
        <v>10</v>
      </c>
      <c r="E81" s="9">
        <v>0</v>
      </c>
      <c r="F81" s="9">
        <v>10</v>
      </c>
      <c r="G81" s="10">
        <f>+VLOOKUP(Tabla1103453454455456479108135112190275165[[#This Row],[Ingrediente]],Tabla34[#All],3,0)</f>
        <v>15.86411244</v>
      </c>
      <c r="H81" s="11">
        <f>+Tabla1103453454455456479108135112190275165[[#This Row],[Costo]]*Tabla1103453454455456479108135112190275165[[#This Row],[Columna2]]</f>
        <v>158.6411244</v>
      </c>
      <c r="I81" s="4"/>
      <c r="J81" s="17" t="s">
        <v>10</v>
      </c>
      <c r="K81" s="18">
        <v>39900</v>
      </c>
    </row>
    <row r="82" spans="2:11" x14ac:dyDescent="0.3">
      <c r="B82" s="21" t="s">
        <v>553</v>
      </c>
      <c r="C82" s="8" t="s">
        <v>188</v>
      </c>
      <c r="D82" s="9">
        <v>1.30000005</v>
      </c>
      <c r="E82" s="9">
        <v>5</v>
      </c>
      <c r="F82" s="9">
        <v>1.3684210999999999</v>
      </c>
      <c r="G82" s="10">
        <f>+VLOOKUP(Tabla1103453454455456479108135112190275165[[#This Row],[Ingrediente]],Tabla34[#All],3,0)</f>
        <v>16</v>
      </c>
      <c r="H82" s="11">
        <f>+Tabla1103453454455456479108135112190275165[[#This Row],[Costo]]*Tabla1103453454455456479108135112190275165[[#This Row],[Columna2]]</f>
        <v>21.894737599999999</v>
      </c>
      <c r="I82" s="4"/>
      <c r="J82" s="5" t="s">
        <v>11</v>
      </c>
      <c r="K82" s="12">
        <f>+K81/1.08*0.08</f>
        <v>2955.5555555555557</v>
      </c>
    </row>
    <row r="83" spans="2:11" x14ac:dyDescent="0.3">
      <c r="B83" s="7" t="s">
        <v>167</v>
      </c>
      <c r="C83" s="8" t="s">
        <v>188</v>
      </c>
      <c r="D83" s="9">
        <v>10</v>
      </c>
      <c r="E83" s="9">
        <v>0</v>
      </c>
      <c r="F83" s="9">
        <v>10</v>
      </c>
      <c r="G83" s="10">
        <f>+VLOOKUP(Tabla1103453454455456479108135112190275165[[#This Row],[Ingrediente]],Tabla34[#All],3,0)</f>
        <v>4.5</v>
      </c>
      <c r="H83" s="11">
        <f>+Tabla1103453454455456479108135112190275165[[#This Row],[Costo]]*Tabla1103453454455456479108135112190275165[[#This Row],[Columna2]]</f>
        <v>45</v>
      </c>
      <c r="I83" s="4"/>
      <c r="J83" s="5" t="s">
        <v>12</v>
      </c>
      <c r="K83" s="12">
        <f>+K81-K82</f>
        <v>36944.444444444445</v>
      </c>
    </row>
    <row r="84" spans="2:11" x14ac:dyDescent="0.3">
      <c r="B84" s="21" t="s">
        <v>254</v>
      </c>
      <c r="C84" s="8" t="s">
        <v>570</v>
      </c>
      <c r="D84" s="9">
        <v>0.3</v>
      </c>
      <c r="E84" s="9">
        <v>0</v>
      </c>
      <c r="F84" s="9">
        <v>0.3</v>
      </c>
      <c r="G84" s="10">
        <f>+VLOOKUP(Tabla1103453454455456479108135112190275165[[#This Row],[Ingrediente]],Tabla34[#All],3,0)</f>
        <v>1709.9658273299999</v>
      </c>
      <c r="H84" s="11">
        <f>+Tabla1103453454455456479108135112190275165[[#This Row],[Costo]]*Tabla1103453454455456479108135112190275165[[#This Row],[Columna2]]</f>
        <v>512.98974819899991</v>
      </c>
      <c r="I84" s="4"/>
      <c r="J84" s="5" t="s">
        <v>13</v>
      </c>
      <c r="K84" s="19">
        <f>+K80/K83</f>
        <v>0.2810232222515715</v>
      </c>
    </row>
    <row r="85" spans="2:11" x14ac:dyDescent="0.3">
      <c r="B85" s="13"/>
      <c r="C85" s="14"/>
      <c r="D85" s="14"/>
      <c r="E85" s="14"/>
      <c r="F85" s="14"/>
      <c r="G85" s="15"/>
      <c r="H85" s="15">
        <f>SUBTOTAL(109,Tabla1103453454455456479108135112190275165[Total costo])</f>
        <v>9887.8541162589972</v>
      </c>
      <c r="I85" s="4"/>
      <c r="J85" s="5" t="s">
        <v>14</v>
      </c>
      <c r="K85" s="20">
        <f>+K83-K80</f>
        <v>26562.1976223725</v>
      </c>
    </row>
    <row r="86" spans="2:11" x14ac:dyDescent="0.3">
      <c r="I86" s="4"/>
      <c r="J86" s="5" t="s">
        <v>15</v>
      </c>
      <c r="K86" s="22">
        <f>+K85/K80</f>
        <v>2.5584247877735948</v>
      </c>
    </row>
    <row r="87" spans="2:11" x14ac:dyDescent="0.3">
      <c r="G87" s="4"/>
    </row>
    <row r="88" spans="2:11" x14ac:dyDescent="0.3">
      <c r="G88" s="4"/>
    </row>
    <row r="89" spans="2:11" x14ac:dyDescent="0.3">
      <c r="B89" s="97" t="s">
        <v>1288</v>
      </c>
      <c r="C89" s="88"/>
      <c r="D89" s="88"/>
      <c r="E89" s="88"/>
      <c r="F89" s="88"/>
      <c r="G89" s="88"/>
      <c r="H89" s="88"/>
      <c r="J89" s="102" t="s">
        <v>0</v>
      </c>
      <c r="K89" s="102"/>
    </row>
    <row r="90" spans="2:11" x14ac:dyDescent="0.3">
      <c r="B90" s="13" t="s">
        <v>1</v>
      </c>
      <c r="C90" s="14" t="s">
        <v>2</v>
      </c>
      <c r="D90" s="14" t="s">
        <v>3</v>
      </c>
      <c r="E90" s="14" t="s">
        <v>343</v>
      </c>
      <c r="F90" s="14" t="s">
        <v>585</v>
      </c>
      <c r="G90" s="28" t="s">
        <v>4</v>
      </c>
      <c r="H90" s="28" t="s">
        <v>5</v>
      </c>
      <c r="J90" s="5" t="s">
        <v>6</v>
      </c>
      <c r="K90" s="6">
        <f>SUM(Tabla1103453454455456479108129136156191276169[Total costo])</f>
        <v>7051.9794521989006</v>
      </c>
    </row>
    <row r="91" spans="2:11" x14ac:dyDescent="0.3">
      <c r="B91" s="7" t="s">
        <v>254</v>
      </c>
      <c r="C91" s="8" t="s">
        <v>570</v>
      </c>
      <c r="D91" s="9">
        <v>0.33</v>
      </c>
      <c r="E91" s="9">
        <v>0</v>
      </c>
      <c r="F91" s="9">
        <v>0.33</v>
      </c>
      <c r="G91" s="10">
        <f>+VLOOKUP(Tabla1103453454455456479108129136156191276169[[#This Row],[Ingrediente]],Tabla34[#All],3,0)</f>
        <v>1709.9658273299999</v>
      </c>
      <c r="H91" s="11">
        <f>+Tabla1103453454455456479108129136156191276169[[#This Row],[Costo]]*Tabla1103453454455456479108129136156191276169[[#This Row],[Columna2]]</f>
        <v>564.28872301889999</v>
      </c>
      <c r="I91" s="4"/>
      <c r="J91" s="5" t="s">
        <v>113</v>
      </c>
      <c r="K91" s="12">
        <f>+K90*5%</f>
        <v>352.59897260994506</v>
      </c>
    </row>
    <row r="92" spans="2:11" x14ac:dyDescent="0.3">
      <c r="B92" s="21" t="s">
        <v>534</v>
      </c>
      <c r="C92" s="8" t="s">
        <v>188</v>
      </c>
      <c r="D92" s="9">
        <v>50</v>
      </c>
      <c r="E92" s="9">
        <v>0</v>
      </c>
      <c r="F92" s="9">
        <v>50</v>
      </c>
      <c r="G92" s="10">
        <f>+VLOOKUP(Tabla1103453454455456479108129136156191276169[[#This Row],[Ingrediente]],Tabla34[#All],3,0)</f>
        <v>1</v>
      </c>
      <c r="H92" s="11">
        <f>+Tabla1103453454455456479108129136156191276169[[#This Row],[Costo]]*Tabla1103453454455456479108129136156191276169[[#This Row],[Columna2]]</f>
        <v>50</v>
      </c>
      <c r="I92" s="4"/>
      <c r="J92" s="5" t="s">
        <v>9</v>
      </c>
      <c r="K92" s="12">
        <f>+K90+K91</f>
        <v>7404.5784248088457</v>
      </c>
    </row>
    <row r="93" spans="2:11" x14ac:dyDescent="0.3">
      <c r="B93" s="21" t="s">
        <v>777</v>
      </c>
      <c r="C93" s="8" t="s">
        <v>349</v>
      </c>
      <c r="D93" s="9">
        <v>2</v>
      </c>
      <c r="E93" s="9">
        <v>0</v>
      </c>
      <c r="F93" s="9">
        <v>2</v>
      </c>
      <c r="G93" s="10">
        <f>+VLOOKUP(Tabla1103453454455456479108129136156191276169[[#This Row],[Ingrediente]],Tabla34[#All],3,0)</f>
        <v>2809.5238077400004</v>
      </c>
      <c r="H93" s="11">
        <f>+Tabla1103453454455456479108129136156191276169[[#This Row],[Costo]]*Tabla1103453454455456479108129136156191276169[[#This Row],[Columna2]]</f>
        <v>5619.0476154800008</v>
      </c>
      <c r="I93" s="4"/>
      <c r="J93" s="17" t="s">
        <v>10</v>
      </c>
      <c r="K93" s="18">
        <v>44000</v>
      </c>
    </row>
    <row r="94" spans="2:11" x14ac:dyDescent="0.3">
      <c r="B94" s="7" t="s">
        <v>156</v>
      </c>
      <c r="C94" s="8" t="s">
        <v>188</v>
      </c>
      <c r="D94" s="9">
        <v>20</v>
      </c>
      <c r="E94" s="9">
        <v>0</v>
      </c>
      <c r="F94" s="9">
        <v>20</v>
      </c>
      <c r="G94" s="10">
        <f>+VLOOKUP(Tabla1103453454455456479108129136156191276169[[#This Row],[Ingrediente]],Tabla34[#All],3,0)</f>
        <v>15.86411244</v>
      </c>
      <c r="H94" s="11">
        <f>+Tabla1103453454455456479108129136156191276169[[#This Row],[Costo]]*Tabla1103453454455456479108129136156191276169[[#This Row],[Columna2]]</f>
        <v>317.28224879999999</v>
      </c>
      <c r="I94" s="4"/>
      <c r="J94" s="5" t="s">
        <v>11</v>
      </c>
      <c r="K94" s="12">
        <f>+K93/1.08*0.08</f>
        <v>3259.2592592592591</v>
      </c>
    </row>
    <row r="95" spans="2:11" x14ac:dyDescent="0.3">
      <c r="B95" s="21" t="s">
        <v>90</v>
      </c>
      <c r="C95" s="8" t="s">
        <v>188</v>
      </c>
      <c r="D95" s="9">
        <v>10</v>
      </c>
      <c r="E95" s="9">
        <v>0</v>
      </c>
      <c r="F95" s="9">
        <v>10</v>
      </c>
      <c r="G95" s="10">
        <f>+VLOOKUP(Tabla1103453454455456479108129136156191276169[[#This Row],[Ingrediente]],Tabla34[#All],3,0)</f>
        <v>1.8699025499999999</v>
      </c>
      <c r="H95" s="11">
        <f>+Tabla1103453454455456479108129136156191276169[[#This Row],[Costo]]*Tabla1103453454455456479108129136156191276169[[#This Row],[Columna2]]</f>
        <v>18.699025499999998</v>
      </c>
      <c r="I95" s="4"/>
      <c r="J95" s="5" t="s">
        <v>12</v>
      </c>
      <c r="K95" s="12">
        <f>+K93-K94</f>
        <v>40740.740740740745</v>
      </c>
    </row>
    <row r="96" spans="2:11" x14ac:dyDescent="0.3">
      <c r="B96" s="21" t="s">
        <v>403</v>
      </c>
      <c r="C96" s="8" t="s">
        <v>188</v>
      </c>
      <c r="D96" s="9">
        <v>1</v>
      </c>
      <c r="E96" s="9">
        <v>0</v>
      </c>
      <c r="F96" s="9">
        <v>1</v>
      </c>
      <c r="G96" s="10">
        <f>+VLOOKUP(Tabla1103453454455456479108129136156191276169[[#This Row],[Ingrediente]],Tabla34[#All],3,0)</f>
        <v>482.66183940000002</v>
      </c>
      <c r="H96" s="11">
        <f>+Tabla1103453454455456479108129136156191276169[[#This Row],[Costo]]*Tabla1103453454455456479108129136156191276169[[#This Row],[Columna2]]</f>
        <v>482.66183940000002</v>
      </c>
      <c r="I96" s="4"/>
      <c r="J96" s="5" t="s">
        <v>13</v>
      </c>
      <c r="K96" s="19">
        <f>+K92/K95</f>
        <v>0.18174874315439893</v>
      </c>
    </row>
    <row r="97" spans="2:11" x14ac:dyDescent="0.3">
      <c r="B97" s="13"/>
      <c r="C97" s="14"/>
      <c r="D97" s="14"/>
      <c r="E97" s="14"/>
      <c r="F97" s="14"/>
      <c r="G97" s="15"/>
      <c r="H97" s="15">
        <f>SUBTOTAL(109,Tabla1103453454455456479108129136156191276169[Total costo])</f>
        <v>7051.9794521989006</v>
      </c>
      <c r="I97" s="4"/>
      <c r="J97" s="5" t="s">
        <v>14</v>
      </c>
      <c r="K97" s="20">
        <f>+K95-K92</f>
        <v>33336.162315931899</v>
      </c>
    </row>
    <row r="98" spans="2:11" x14ac:dyDescent="0.3">
      <c r="J98" s="5" t="s">
        <v>15</v>
      </c>
      <c r="K98" s="22">
        <f>+K97/K92</f>
        <v>4.5021013221009261</v>
      </c>
    </row>
    <row r="103" spans="2:11" x14ac:dyDescent="0.3">
      <c r="I103" s="4"/>
      <c r="J103" s="102" t="s">
        <v>0</v>
      </c>
      <c r="K103" s="102"/>
    </row>
    <row r="104" spans="2:11" x14ac:dyDescent="0.3">
      <c r="B104" s="97" t="s">
        <v>1298</v>
      </c>
      <c r="C104" s="88"/>
      <c r="D104" s="88"/>
      <c r="E104" s="88"/>
      <c r="F104" s="88"/>
      <c r="G104" s="88"/>
      <c r="H104" s="88"/>
      <c r="I104" s="4"/>
      <c r="J104" s="5" t="s">
        <v>6</v>
      </c>
      <c r="K104" s="6">
        <f>SUM(Tabla1103453454455456479108130137157192277170[Total costo])</f>
        <v>11528.750345192799</v>
      </c>
    </row>
    <row r="105" spans="2:11" x14ac:dyDescent="0.3">
      <c r="B105" s="13" t="s">
        <v>1</v>
      </c>
      <c r="C105" s="14" t="s">
        <v>2</v>
      </c>
      <c r="D105" s="14" t="s">
        <v>3</v>
      </c>
      <c r="E105" s="14" t="s">
        <v>343</v>
      </c>
      <c r="F105" s="14" t="s">
        <v>585</v>
      </c>
      <c r="G105" s="28" t="s">
        <v>4</v>
      </c>
      <c r="H105" s="28" t="s">
        <v>5</v>
      </c>
      <c r="I105" s="4"/>
      <c r="J105" s="5" t="s">
        <v>113</v>
      </c>
      <c r="K105" s="12">
        <f>+K104*5%</f>
        <v>576.43751725964</v>
      </c>
    </row>
    <row r="106" spans="2:11" x14ac:dyDescent="0.3">
      <c r="B106" s="21" t="s">
        <v>185</v>
      </c>
      <c r="C106" s="8" t="s">
        <v>188</v>
      </c>
      <c r="D106" s="9">
        <v>4</v>
      </c>
      <c r="E106" s="9">
        <v>0</v>
      </c>
      <c r="F106" s="9">
        <v>4</v>
      </c>
      <c r="G106" s="10">
        <f>+VLOOKUP(Tabla1103453454455456479108130137157192277170[[#This Row],[Ingrediente]],Tabla34[#All],3,0)</f>
        <v>75.580544020000005</v>
      </c>
      <c r="H106" s="11">
        <f>+Tabla1103453454455456479108130137157192277170[[#This Row],[Costo]]*Tabla1103453454455456479108130137157192277170[[#This Row],[Cant.]]</f>
        <v>302.32217608000002</v>
      </c>
      <c r="I106" s="4"/>
      <c r="J106" s="5" t="s">
        <v>9</v>
      </c>
      <c r="K106" s="12">
        <f>+K104+K105</f>
        <v>12105.187862452438</v>
      </c>
    </row>
    <row r="107" spans="2:11" x14ac:dyDescent="0.3">
      <c r="B107" s="7" t="s">
        <v>49</v>
      </c>
      <c r="C107" s="8" t="s">
        <v>349</v>
      </c>
      <c r="D107" s="9">
        <v>1.66</v>
      </c>
      <c r="E107" s="9">
        <v>0</v>
      </c>
      <c r="F107" s="9">
        <v>1.66</v>
      </c>
      <c r="G107" s="10">
        <f>+VLOOKUP(Tabla1103453454455456479108130137157192277170[[#This Row],[Ingrediente]],Tabla34[#All],3,0)</f>
        <v>4333.3333333299997</v>
      </c>
      <c r="H107" s="11">
        <f>+Tabla1103453454455456479108130137157192277170[[#This Row],[Costo]]*Tabla1103453454455456479108130137157192277170[[#This Row],[Cant.]]</f>
        <v>7193.3333333277988</v>
      </c>
      <c r="I107" s="4"/>
      <c r="J107" s="17" t="s">
        <v>10</v>
      </c>
      <c r="K107" s="18">
        <v>39900</v>
      </c>
    </row>
    <row r="108" spans="2:11" x14ac:dyDescent="0.3">
      <c r="B108" s="21" t="s">
        <v>156</v>
      </c>
      <c r="C108" s="8" t="s">
        <v>188</v>
      </c>
      <c r="D108" s="9">
        <v>30</v>
      </c>
      <c r="E108" s="9">
        <v>0</v>
      </c>
      <c r="F108" s="9">
        <v>30</v>
      </c>
      <c r="G108" s="10">
        <f>+VLOOKUP(Tabla1103453454455456479108130137157192277170[[#This Row],[Ingrediente]],Tabla34[#All],3,0)</f>
        <v>15.86411244</v>
      </c>
      <c r="H108" s="11">
        <f>+Tabla1103453454455456479108130137157192277170[[#This Row],[Costo]]*Tabla1103453454455456479108130137157192277170[[#This Row],[Cant.]]</f>
        <v>475.92337320000001</v>
      </c>
      <c r="I108" s="4"/>
      <c r="J108" s="5" t="s">
        <v>11</v>
      </c>
      <c r="K108" s="12">
        <f>+K107/1.08*0.08</f>
        <v>2955.5555555555557</v>
      </c>
    </row>
    <row r="109" spans="2:11" x14ac:dyDescent="0.3">
      <c r="B109" s="7" t="s">
        <v>189</v>
      </c>
      <c r="C109" s="8" t="s">
        <v>188</v>
      </c>
      <c r="D109" s="9">
        <v>5</v>
      </c>
      <c r="E109" s="9">
        <v>0</v>
      </c>
      <c r="F109" s="9">
        <v>5</v>
      </c>
      <c r="G109" s="10">
        <f>+VLOOKUP(Tabla1103453454455456479108130137157192277170[[#This Row],[Ingrediente]],Tabla34[#All],3,0)</f>
        <v>50.08461531999999</v>
      </c>
      <c r="H109" s="11">
        <f>+Tabla1103453454455456479108130137157192277170[[#This Row],[Costo]]*Tabla1103453454455456479108130137157192277170[[#This Row],[Cant.]]</f>
        <v>250.42307659999994</v>
      </c>
      <c r="I109" s="4"/>
      <c r="J109" s="5" t="s">
        <v>12</v>
      </c>
      <c r="K109" s="12">
        <f>+K107-K108</f>
        <v>36944.444444444445</v>
      </c>
    </row>
    <row r="110" spans="2:11" x14ac:dyDescent="0.3">
      <c r="B110" s="7" t="s">
        <v>90</v>
      </c>
      <c r="C110" s="8" t="s">
        <v>188</v>
      </c>
      <c r="D110" s="9">
        <v>10</v>
      </c>
      <c r="E110" s="9">
        <v>0</v>
      </c>
      <c r="F110" s="9">
        <v>10</v>
      </c>
      <c r="G110" s="10">
        <f>+VLOOKUP(Tabla1103453454455456479108130137157192277170[[#This Row],[Ingrediente]],Tabla34[#All],3,0)</f>
        <v>1.8699025499999999</v>
      </c>
      <c r="H110" s="11">
        <f>+Tabla1103453454455456479108130137157192277170[[#This Row],[Costo]]*Tabla1103453454455456479108130137157192277170[[#This Row],[Cant.]]</f>
        <v>18.699025499999998</v>
      </c>
      <c r="I110" s="4"/>
      <c r="J110" s="5" t="s">
        <v>13</v>
      </c>
      <c r="K110" s="19">
        <f>+K106/K109</f>
        <v>0.32765922033705847</v>
      </c>
    </row>
    <row r="111" spans="2:11" x14ac:dyDescent="0.3">
      <c r="B111" s="7" t="s">
        <v>592</v>
      </c>
      <c r="C111" s="8" t="s">
        <v>188</v>
      </c>
      <c r="D111" s="9">
        <v>3</v>
      </c>
      <c r="E111" s="9">
        <v>0</v>
      </c>
      <c r="F111" s="9">
        <v>3</v>
      </c>
      <c r="G111" s="10">
        <f>+VLOOKUP(Tabla1103453454455456479108130137157192277170[[#This Row],[Ingrediente]],Tabla34[#All],3,0)</f>
        <v>240.62114536999999</v>
      </c>
      <c r="H111" s="11">
        <f>+Tabla1103453454455456479108130137157192277170[[#This Row],[Costo]]*Tabla1103453454455456479108130137157192277170[[#This Row],[Cant.]]</f>
        <v>721.86343610999995</v>
      </c>
      <c r="I111" s="4"/>
      <c r="J111" s="5" t="s">
        <v>14</v>
      </c>
      <c r="K111" s="20">
        <f>+K109-K106</f>
        <v>24839.256581992006</v>
      </c>
    </row>
    <row r="112" spans="2:11" x14ac:dyDescent="0.3">
      <c r="B112" s="21" t="s">
        <v>240</v>
      </c>
      <c r="C112" s="8" t="s">
        <v>570</v>
      </c>
      <c r="D112" s="9">
        <v>0.5</v>
      </c>
      <c r="E112" s="9">
        <v>0</v>
      </c>
      <c r="F112" s="9">
        <v>0.5</v>
      </c>
      <c r="G112" s="10">
        <f>+VLOOKUP(Tabla1103453454455456479108130137157192277170[[#This Row],[Ingrediente]],Tabla34[#All],3,0)</f>
        <v>5132.37184875</v>
      </c>
      <c r="H112" s="11">
        <f>+Tabla1103453454455456479108130137157192277170[[#This Row],[Costo]]*Tabla1103453454455456479108130137157192277170[[#This Row],[Cant.]]</f>
        <v>2566.185924375</v>
      </c>
      <c r="I112" s="4"/>
      <c r="J112" s="5" t="s">
        <v>15</v>
      </c>
      <c r="K112" s="22">
        <f>+K111/K106</f>
        <v>2.0519513504650164</v>
      </c>
    </row>
    <row r="113" spans="2:11" x14ac:dyDescent="0.3">
      <c r="B113" s="13"/>
      <c r="C113" s="14"/>
      <c r="D113" s="14"/>
      <c r="E113" s="14"/>
      <c r="F113" s="14"/>
      <c r="G113" s="15"/>
      <c r="H113" s="15">
        <f>SUBTOTAL(109,Tabla1103453454455456479108130137157192277170[Total costo])</f>
        <v>11528.750345192799</v>
      </c>
      <c r="I113" s="23"/>
    </row>
    <row r="114" spans="2:11" x14ac:dyDescent="0.3">
      <c r="G114" s="4"/>
      <c r="H114" s="4"/>
      <c r="I114" s="23"/>
    </row>
    <row r="115" spans="2:11" x14ac:dyDescent="0.3">
      <c r="G115" s="4"/>
      <c r="H115" s="4"/>
      <c r="I115" s="23"/>
    </row>
    <row r="116" spans="2:11" x14ac:dyDescent="0.3">
      <c r="B116" s="280" t="s">
        <v>152</v>
      </c>
      <c r="C116" s="281"/>
      <c r="D116" s="281"/>
      <c r="E116" s="281"/>
      <c r="F116" s="281"/>
      <c r="G116" s="281"/>
      <c r="H116" s="281"/>
      <c r="J116" s="102" t="s">
        <v>0</v>
      </c>
      <c r="K116" s="102"/>
    </row>
    <row r="117" spans="2:11" x14ac:dyDescent="0.3">
      <c r="B117" s="13" t="s">
        <v>1</v>
      </c>
      <c r="C117" s="14" t="s">
        <v>2</v>
      </c>
      <c r="D117" s="14" t="s">
        <v>3</v>
      </c>
      <c r="E117" s="14" t="s">
        <v>343</v>
      </c>
      <c r="F117" s="14" t="s">
        <v>585</v>
      </c>
      <c r="G117" s="28" t="s">
        <v>4</v>
      </c>
      <c r="H117" s="28" t="s">
        <v>5</v>
      </c>
      <c r="J117" s="5" t="s">
        <v>6</v>
      </c>
      <c r="K117" s="6">
        <f>SUM(Tabla1103453454455456479108130137157193278186[Total costo])</f>
        <v>14994.280402410001</v>
      </c>
    </row>
    <row r="118" spans="2:11" x14ac:dyDescent="0.3">
      <c r="B118" s="7" t="s">
        <v>41</v>
      </c>
      <c r="C118" s="8" t="s">
        <v>349</v>
      </c>
      <c r="D118" s="9">
        <v>1</v>
      </c>
      <c r="E118" s="9">
        <v>0</v>
      </c>
      <c r="F118" s="9">
        <v>1</v>
      </c>
      <c r="G118" s="10">
        <f>+VLOOKUP(Tabla1103453454455456479108130137157193278186[[#This Row],[Ingrediente]],Tabla34[#All],3,0)</f>
        <v>6303</v>
      </c>
      <c r="H118" s="11">
        <f>+Tabla1103453454455456479108130137157193278186[[#This Row],[Costo]]*Tabla1103453454455456479108130137157193278186[[#This Row],[Columna2]]</f>
        <v>6303</v>
      </c>
      <c r="J118" s="5" t="s">
        <v>113</v>
      </c>
      <c r="K118" s="12">
        <f>+K117*5%</f>
        <v>749.71402012050009</v>
      </c>
    </row>
    <row r="119" spans="2:11" x14ac:dyDescent="0.3">
      <c r="B119" s="21" t="s">
        <v>49</v>
      </c>
      <c r="C119" s="8" t="s">
        <v>349</v>
      </c>
      <c r="D119" s="9">
        <v>1</v>
      </c>
      <c r="E119" s="9">
        <v>0</v>
      </c>
      <c r="F119" s="9">
        <v>1</v>
      </c>
      <c r="G119" s="10">
        <f>+VLOOKUP(Tabla1103453454455456479108130137157193278186[[#This Row],[Ingrediente]],Tabla34[#All],3,0)</f>
        <v>4333.3333333299997</v>
      </c>
      <c r="H119" s="11">
        <f>+Tabla1103453454455456479108130137157193278186[[#This Row],[Costo]]*Tabla1103453454455456479108130137157193278186[[#This Row],[Columna2]]</f>
        <v>4333.3333333299997</v>
      </c>
      <c r="J119" s="5" t="s">
        <v>9</v>
      </c>
      <c r="K119" s="12">
        <f>+K117+K118</f>
        <v>15743.994422530501</v>
      </c>
    </row>
    <row r="120" spans="2:11" x14ac:dyDescent="0.3">
      <c r="B120" s="7" t="s">
        <v>400</v>
      </c>
      <c r="C120" s="8" t="s">
        <v>188</v>
      </c>
      <c r="D120" s="9">
        <v>20</v>
      </c>
      <c r="E120" s="9">
        <v>0</v>
      </c>
      <c r="F120" s="9">
        <v>20</v>
      </c>
      <c r="G120" s="10">
        <f>+VLOOKUP(Tabla1103453454455456479108130137157193278186[[#This Row],[Ingrediente]],Tabla34[#All],3,0)</f>
        <v>4.8815999999999997</v>
      </c>
      <c r="H120" s="11">
        <f>+Tabla1103453454455456479108130137157193278186[[#This Row],[Costo]]*Tabla1103453454455456479108130137157193278186[[#This Row],[Columna2]]</f>
        <v>97.631999999999991</v>
      </c>
      <c r="J120" s="17" t="s">
        <v>10</v>
      </c>
      <c r="K120" s="18">
        <v>49900</v>
      </c>
    </row>
    <row r="121" spans="2:11" x14ac:dyDescent="0.3">
      <c r="B121" s="21" t="s">
        <v>51</v>
      </c>
      <c r="C121" s="8" t="s">
        <v>188</v>
      </c>
      <c r="D121" s="9">
        <v>6</v>
      </c>
      <c r="E121" s="9">
        <v>0</v>
      </c>
      <c r="F121" s="9">
        <v>6</v>
      </c>
      <c r="G121" s="10">
        <f>+VLOOKUP(Tabla1103453454455456479108130137157193278186[[#This Row],[Ingrediente]],Tabla34[#All],3,0)</f>
        <v>41.515441180000003</v>
      </c>
      <c r="H121" s="11">
        <f>+Tabla1103453454455456479108130137157193278186[[#This Row],[Costo]]*Tabla1103453454455456479108130137157193278186[[#This Row],[Columna2]]</f>
        <v>249.09264708000001</v>
      </c>
      <c r="I121" s="4"/>
      <c r="J121" s="5" t="s">
        <v>11</v>
      </c>
      <c r="K121" s="12">
        <f>+K120/1.08*0.08</f>
        <v>3696.2962962962961</v>
      </c>
    </row>
    <row r="122" spans="2:11" x14ac:dyDescent="0.3">
      <c r="B122" s="7" t="s">
        <v>489</v>
      </c>
      <c r="C122" s="8" t="s">
        <v>188</v>
      </c>
      <c r="D122" s="9">
        <v>15.0000003</v>
      </c>
      <c r="E122" s="9">
        <v>5</v>
      </c>
      <c r="F122" s="9">
        <v>15.789474</v>
      </c>
      <c r="G122" s="10">
        <f>+VLOOKUP(Tabla1103453454455456479108130137157193278186[[#This Row],[Ingrediente]],Tabla34[#All],3,0)</f>
        <v>10.800000000000002</v>
      </c>
      <c r="H122" s="11">
        <f>+Tabla1103453454455456479108130137157193278186[[#This Row],[Costo]]*Tabla1103453454455456479108130137157193278186[[#This Row],[Columna2]]</f>
        <v>170.52631920000005</v>
      </c>
      <c r="I122" s="4"/>
      <c r="J122" s="5" t="s">
        <v>12</v>
      </c>
      <c r="K122" s="12">
        <f>+K120-K121</f>
        <v>46203.703703703701</v>
      </c>
    </row>
    <row r="123" spans="2:11" x14ac:dyDescent="0.3">
      <c r="B123" s="21" t="s">
        <v>493</v>
      </c>
      <c r="C123" s="8" t="s">
        <v>188</v>
      </c>
      <c r="D123" s="9">
        <v>15.0000003</v>
      </c>
      <c r="E123" s="9">
        <v>5</v>
      </c>
      <c r="F123" s="9">
        <v>15.789474</v>
      </c>
      <c r="G123" s="10">
        <f>+VLOOKUP(Tabla1103453454455456479108130137157193278186[[#This Row],[Ingrediente]],Tabla34[#All],3,0)</f>
        <v>12.199999999999998</v>
      </c>
      <c r="H123" s="11">
        <f>+Tabla1103453454455456479108130137157193278186[[#This Row],[Costo]]*Tabla1103453454455456479108130137157193278186[[#This Row],[Columna2]]</f>
        <v>192.63158279999996</v>
      </c>
      <c r="I123" s="4"/>
      <c r="J123" s="5" t="s">
        <v>13</v>
      </c>
      <c r="K123" s="19">
        <f>+K119/K122</f>
        <v>0.34075178309284454</v>
      </c>
    </row>
    <row r="124" spans="2:11" x14ac:dyDescent="0.3">
      <c r="B124" s="21" t="s">
        <v>485</v>
      </c>
      <c r="C124" s="8" t="s">
        <v>188</v>
      </c>
      <c r="D124" s="9">
        <v>40.0000006</v>
      </c>
      <c r="E124" s="9">
        <v>38</v>
      </c>
      <c r="F124" s="9">
        <v>64.516130000000004</v>
      </c>
      <c r="G124" s="10">
        <f>+VLOOKUP(Tabla1103453454455456479108130137157193278186[[#This Row],[Ingrediente]],Tabla34[#All],3,0)</f>
        <v>4</v>
      </c>
      <c r="H124" s="11">
        <f>+Tabla1103453454455456479108130137157193278186[[#This Row],[Costo]]*Tabla1103453454455456479108130137157193278186[[#This Row],[Columna2]]</f>
        <v>258.06452000000002</v>
      </c>
      <c r="I124" s="4"/>
      <c r="J124" s="5" t="s">
        <v>14</v>
      </c>
      <c r="K124" s="20">
        <f>+K122-K119</f>
        <v>30459.7092811732</v>
      </c>
    </row>
    <row r="125" spans="2:11" x14ac:dyDescent="0.3">
      <c r="B125" s="21" t="s">
        <v>364</v>
      </c>
      <c r="C125" s="8" t="s">
        <v>349</v>
      </c>
      <c r="D125" s="9">
        <v>1</v>
      </c>
      <c r="E125" s="9">
        <v>0</v>
      </c>
      <c r="F125" s="9">
        <v>1</v>
      </c>
      <c r="G125" s="10">
        <f>+VLOOKUP(Tabla1103453454455456479108130137157193278186[[#This Row],[Ingrediente]],Tabla34[#All],3,0)</f>
        <v>3390</v>
      </c>
      <c r="H125" s="11">
        <f>+Tabla1103453454455456479108130137157193278186[[#This Row],[Costo]]*Tabla1103453454455456479108130137157193278186[[#This Row],[Columna2]]</f>
        <v>3390</v>
      </c>
      <c r="I125" s="4"/>
      <c r="J125" s="5" t="s">
        <v>15</v>
      </c>
      <c r="K125" s="22">
        <f>+K124/K119</f>
        <v>1.9346875045626111</v>
      </c>
    </row>
    <row r="126" spans="2:11" x14ac:dyDescent="0.3">
      <c r="B126" s="13"/>
      <c r="C126" s="14"/>
      <c r="D126" s="14"/>
      <c r="E126" s="14"/>
      <c r="F126" s="14"/>
      <c r="G126" s="15"/>
      <c r="H126" s="15">
        <f>SUBTOTAL(109,Tabla1103453454455456479108130137157193278186[Total costo])</f>
        <v>14994.280402410001</v>
      </c>
      <c r="I126" s="23"/>
    </row>
    <row r="127" spans="2:11" x14ac:dyDescent="0.3">
      <c r="H127" s="4"/>
    </row>
    <row r="130" spans="2:11" x14ac:dyDescent="0.3">
      <c r="B130" s="280" t="s">
        <v>348</v>
      </c>
      <c r="C130" s="281"/>
      <c r="D130" s="281"/>
      <c r="E130" s="281"/>
      <c r="F130" s="281"/>
      <c r="G130" s="281"/>
      <c r="H130" s="281"/>
      <c r="J130" s="102" t="s">
        <v>0</v>
      </c>
      <c r="K130" s="102"/>
    </row>
    <row r="131" spans="2:11" x14ac:dyDescent="0.3">
      <c r="B131" s="13" t="s">
        <v>1</v>
      </c>
      <c r="C131" s="14" t="s">
        <v>2</v>
      </c>
      <c r="D131" s="14" t="s">
        <v>3</v>
      </c>
      <c r="E131" s="14" t="s">
        <v>343</v>
      </c>
      <c r="F131" s="14" t="s">
        <v>585</v>
      </c>
      <c r="G131" s="28" t="s">
        <v>4</v>
      </c>
      <c r="H131" s="28" t="s">
        <v>5</v>
      </c>
      <c r="J131" s="5" t="s">
        <v>6</v>
      </c>
      <c r="K131" s="6">
        <f>SUM(Tabla1103453454455456479108130137157193278186272[Total costo])</f>
        <v>9874.8359440000004</v>
      </c>
    </row>
    <row r="132" spans="2:11" x14ac:dyDescent="0.3">
      <c r="B132" s="7" t="s">
        <v>77</v>
      </c>
      <c r="C132" s="8" t="s">
        <v>188</v>
      </c>
      <c r="D132" s="9">
        <v>40</v>
      </c>
      <c r="E132" s="9">
        <v>0</v>
      </c>
      <c r="F132" s="9">
        <v>40</v>
      </c>
      <c r="G132" s="10">
        <f>+VLOOKUP(Tabla1103453454455456479108130137157193278186272[[#This Row],[Ingrediente]],Tabla34[#All],3,0)</f>
        <v>18.622814269999999</v>
      </c>
      <c r="H132" s="11">
        <f>+Tabla1103453454455456479108130137157193278186272[[#This Row],[Costo]]*Tabla1103453454455456479108130137157193278186272[[#This Row],[Columna2]]</f>
        <v>744.91257079999991</v>
      </c>
      <c r="J132" s="5" t="s">
        <v>113</v>
      </c>
      <c r="K132" s="12">
        <f>+K131*5%</f>
        <v>493.74179720000006</v>
      </c>
    </row>
    <row r="133" spans="2:11" x14ac:dyDescent="0.3">
      <c r="B133" s="21" t="s">
        <v>156</v>
      </c>
      <c r="C133" s="8" t="s">
        <v>188</v>
      </c>
      <c r="D133" s="9">
        <v>30</v>
      </c>
      <c r="E133" s="9">
        <v>0</v>
      </c>
      <c r="F133" s="9">
        <v>30</v>
      </c>
      <c r="G133" s="10">
        <f>+VLOOKUP(Tabla1103453454455456479108130137157193278186272[[#This Row],[Ingrediente]],Tabla34[#All],3,0)</f>
        <v>15.86411244</v>
      </c>
      <c r="H133" s="11">
        <f>+Tabla1103453454455456479108130137157193278186272[[#This Row],[Costo]]*Tabla1103453454455456479108130137157193278186272[[#This Row],[Columna2]]</f>
        <v>475.92337320000001</v>
      </c>
      <c r="J133" s="5" t="s">
        <v>9</v>
      </c>
      <c r="K133" s="12">
        <f>+K131+K132</f>
        <v>10368.577741200001</v>
      </c>
    </row>
    <row r="134" spans="2:11" x14ac:dyDescent="0.3">
      <c r="B134" s="7" t="s">
        <v>501</v>
      </c>
      <c r="C134" s="8" t="s">
        <v>188</v>
      </c>
      <c r="D134" s="9">
        <v>15</v>
      </c>
      <c r="E134" s="9">
        <v>0</v>
      </c>
      <c r="F134" s="9">
        <v>15</v>
      </c>
      <c r="G134" s="10">
        <f>+VLOOKUP(Tabla1103453454455456479108130137157193278186272[[#This Row],[Ingrediente]],Tabla34[#All],3,0)</f>
        <v>2.6</v>
      </c>
      <c r="H134" s="11">
        <f>+Tabla1103453454455456479108130137157193278186272[[#This Row],[Costo]]*Tabla1103453454455456479108130137157193278186272[[#This Row],[Columna2]]</f>
        <v>39</v>
      </c>
      <c r="J134" s="17" t="s">
        <v>10</v>
      </c>
      <c r="K134" s="18">
        <v>39900</v>
      </c>
    </row>
    <row r="135" spans="2:11" x14ac:dyDescent="0.3">
      <c r="B135" s="21" t="s">
        <v>534</v>
      </c>
      <c r="C135" s="8" t="s">
        <v>188</v>
      </c>
      <c r="D135" s="9">
        <v>140</v>
      </c>
      <c r="E135" s="9">
        <v>0</v>
      </c>
      <c r="F135" s="9">
        <v>140</v>
      </c>
      <c r="G135" s="10">
        <f>+VLOOKUP(Tabla1103453454455456479108130137157193278186272[[#This Row],[Ingrediente]],Tabla34[#All],3,0)</f>
        <v>1</v>
      </c>
      <c r="H135" s="11">
        <f>+Tabla1103453454455456479108130137157193278186272[[#This Row],[Costo]]*Tabla1103453454455456479108130137157193278186272[[#This Row],[Columna2]]</f>
        <v>140</v>
      </c>
      <c r="I135" s="4"/>
      <c r="J135" s="5" t="s">
        <v>11</v>
      </c>
      <c r="K135" s="12">
        <f>+K134/1.08*0.08</f>
        <v>2955.5555555555557</v>
      </c>
    </row>
    <row r="136" spans="2:11" x14ac:dyDescent="0.3">
      <c r="B136" s="7" t="s">
        <v>364</v>
      </c>
      <c r="C136" s="8" t="s">
        <v>349</v>
      </c>
      <c r="D136" s="9">
        <v>2.5</v>
      </c>
      <c r="E136" s="9">
        <v>0</v>
      </c>
      <c r="F136" s="9">
        <v>2.5</v>
      </c>
      <c r="G136" s="10">
        <f>+VLOOKUP(Tabla1103453454455456479108130137157193278186272[[#This Row],[Ingrediente]],Tabla34[#All],3,0)</f>
        <v>3390</v>
      </c>
      <c r="H136" s="11">
        <f>+Tabla1103453454455456479108130137157193278186272[[#This Row],[Costo]]*Tabla1103453454455456479108130137157193278186272[[#This Row],[Columna2]]</f>
        <v>8475</v>
      </c>
      <c r="I136" s="4"/>
      <c r="J136" s="5" t="s">
        <v>12</v>
      </c>
      <c r="K136" s="12">
        <f>+K134-K135</f>
        <v>36944.444444444445</v>
      </c>
    </row>
    <row r="137" spans="2:11" x14ac:dyDescent="0.3">
      <c r="B137" s="13"/>
      <c r="C137" s="14"/>
      <c r="D137" s="14"/>
      <c r="E137" s="14"/>
      <c r="F137" s="14"/>
      <c r="G137" s="15"/>
      <c r="H137" s="15">
        <f>SUBTOTAL(109,Tabla1103453454455456479108130137157193278186272[Total costo])</f>
        <v>9874.8359440000004</v>
      </c>
      <c r="I137" s="4"/>
      <c r="J137" s="5" t="s">
        <v>13</v>
      </c>
      <c r="K137" s="19">
        <f>+K133/K136</f>
        <v>0.2806532320926316</v>
      </c>
    </row>
    <row r="138" spans="2:11" x14ac:dyDescent="0.3">
      <c r="I138" s="4"/>
      <c r="J138" s="5" t="s">
        <v>14</v>
      </c>
      <c r="K138" s="20">
        <f>+K136-K133</f>
        <v>26575.866703244443</v>
      </c>
    </row>
    <row r="139" spans="2:11" x14ac:dyDescent="0.3">
      <c r="I139" s="4"/>
      <c r="J139" s="5" t="s">
        <v>15</v>
      </c>
      <c r="K139" s="22">
        <f>+K138/K133</f>
        <v>2.563115922605669</v>
      </c>
    </row>
    <row r="140" spans="2:11" x14ac:dyDescent="0.3">
      <c r="I140" s="23"/>
    </row>
    <row r="141" spans="2:11" x14ac:dyDescent="0.3">
      <c r="H141" s="4"/>
    </row>
  </sheetData>
  <mergeCells count="7">
    <mergeCell ref="B130:H130"/>
    <mergeCell ref="J21:K21"/>
    <mergeCell ref="J32:K32"/>
    <mergeCell ref="J43:K43"/>
    <mergeCell ref="J7:K7"/>
    <mergeCell ref="J55:K55"/>
    <mergeCell ref="B116:H116"/>
  </mergeCells>
  <phoneticPr fontId="20" type="noConversion"/>
  <conditionalFormatting sqref="K14">
    <cfRule type="cellIs" dxfId="469" priority="53" operator="lessThan">
      <formula>0.3</formula>
    </cfRule>
    <cfRule type="cellIs" dxfId="468" priority="54" operator="greaterThan">
      <formula>0.3</formula>
    </cfRule>
  </conditionalFormatting>
  <conditionalFormatting sqref="K28">
    <cfRule type="cellIs" dxfId="467" priority="39" operator="lessThan">
      <formula>0.3</formula>
    </cfRule>
    <cfRule type="cellIs" dxfId="466" priority="40" operator="greaterThan">
      <formula>0.3</formula>
    </cfRule>
  </conditionalFormatting>
  <conditionalFormatting sqref="K39">
    <cfRule type="cellIs" dxfId="465" priority="33" operator="lessThan">
      <formula>0.3</formula>
    </cfRule>
    <cfRule type="cellIs" dxfId="464" priority="34" operator="greaterThan">
      <formula>0.3</formula>
    </cfRule>
  </conditionalFormatting>
  <conditionalFormatting sqref="K50">
    <cfRule type="cellIs" dxfId="463" priority="15" operator="lessThan">
      <formula>0.3</formula>
    </cfRule>
    <cfRule type="cellIs" dxfId="462" priority="16" operator="greaterThan">
      <formula>0.3</formula>
    </cfRule>
  </conditionalFormatting>
  <conditionalFormatting sqref="K62">
    <cfRule type="cellIs" dxfId="461" priority="13" operator="lessThan">
      <formula>0.3</formula>
    </cfRule>
    <cfRule type="cellIs" dxfId="460" priority="14" operator="greaterThan">
      <formula>0.3</formula>
    </cfRule>
  </conditionalFormatting>
  <conditionalFormatting sqref="K73">
    <cfRule type="cellIs" dxfId="459" priority="11" operator="lessThan">
      <formula>0.3</formula>
    </cfRule>
    <cfRule type="cellIs" dxfId="458" priority="12" operator="greaterThan">
      <formula>0.3</formula>
    </cfRule>
  </conditionalFormatting>
  <conditionalFormatting sqref="K84">
    <cfRule type="cellIs" dxfId="457" priority="9" operator="lessThan">
      <formula>0.3</formula>
    </cfRule>
    <cfRule type="cellIs" dxfId="456" priority="10" operator="greaterThan">
      <formula>0.3</formula>
    </cfRule>
  </conditionalFormatting>
  <conditionalFormatting sqref="K96">
    <cfRule type="cellIs" dxfId="455" priority="7" operator="lessThan">
      <formula>0.3</formula>
    </cfRule>
    <cfRule type="cellIs" dxfId="454" priority="8" operator="greaterThan">
      <formula>0.3</formula>
    </cfRule>
  </conditionalFormatting>
  <conditionalFormatting sqref="K110">
    <cfRule type="cellIs" dxfId="453" priority="5" operator="lessThan">
      <formula>0.3</formula>
    </cfRule>
    <cfRule type="cellIs" dxfId="452" priority="6" operator="greaterThan">
      <formula>0.3</formula>
    </cfRule>
  </conditionalFormatting>
  <conditionalFormatting sqref="K123">
    <cfRule type="cellIs" dxfId="451" priority="3" operator="lessThan">
      <formula>0.3</formula>
    </cfRule>
    <cfRule type="cellIs" dxfId="450" priority="4" operator="greaterThan">
      <formula>0.3</formula>
    </cfRule>
  </conditionalFormatting>
  <conditionalFormatting sqref="K137">
    <cfRule type="cellIs" dxfId="449" priority="1" operator="lessThan">
      <formula>0.3</formula>
    </cfRule>
    <cfRule type="cellIs" dxfId="448" priority="2" operator="greaterThan">
      <formula>0.3</formula>
    </cfRule>
  </conditionalFormatting>
  <pageMargins left="0.7" right="0.7" top="0.75" bottom="0.75" header="0.3" footer="0.3"/>
  <pageSetup orientation="portrait" horizontalDpi="360" verticalDpi="360" r:id="rId1"/>
  <drawing r:id="rId2"/>
  <tableParts count="11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17"/>
  <sheetViews>
    <sheetView showGridLines="0" workbookViewId="0">
      <selection activeCell="H18" sqref="H18"/>
    </sheetView>
  </sheetViews>
  <sheetFormatPr baseColWidth="10" defaultColWidth="8.6640625" defaultRowHeight="13.2" x14ac:dyDescent="0.25"/>
  <cols>
    <col min="1" max="1" width="2.6640625" style="25" customWidth="1"/>
    <col min="2" max="2" width="1.109375" style="25" customWidth="1"/>
    <col min="3" max="3" width="9.44140625" style="25" customWidth="1"/>
    <col min="4" max="4" width="1.6640625" style="25" customWidth="1"/>
    <col min="5" max="5" width="11.109375" style="25" customWidth="1"/>
    <col min="6" max="6" width="1.33203125" style="25" customWidth="1"/>
    <col min="7" max="7" width="11.5546875" style="25" customWidth="1"/>
    <col min="8" max="8" width="1.88671875" style="25" customWidth="1"/>
    <col min="9" max="9" width="2.33203125" style="25" customWidth="1"/>
    <col min="10" max="10" width="8.6640625" style="25"/>
    <col min="11" max="11" width="2.33203125" style="25" customWidth="1"/>
    <col min="12" max="12" width="8.6640625" style="25"/>
    <col min="13" max="13" width="6.33203125" style="25" customWidth="1"/>
    <col min="14" max="16384" width="8.6640625" style="25"/>
  </cols>
  <sheetData>
    <row r="2" spans="1:21" ht="15.6" x14ac:dyDescent="0.3">
      <c r="A2" s="283" t="s">
        <v>149</v>
      </c>
      <c r="B2" s="283"/>
      <c r="C2" s="283"/>
      <c r="D2" s="283"/>
      <c r="E2" s="283"/>
      <c r="F2" s="283"/>
      <c r="G2" s="283"/>
      <c r="H2" s="283"/>
      <c r="I2" s="283"/>
      <c r="J2" s="283"/>
      <c r="K2" s="283"/>
      <c r="L2" s="283"/>
      <c r="M2" s="283"/>
      <c r="O2" s="282" t="s">
        <v>153</v>
      </c>
      <c r="P2" s="282"/>
      <c r="Q2" s="282"/>
      <c r="R2" s="282"/>
      <c r="S2" s="282"/>
      <c r="T2" s="282"/>
      <c r="U2" s="282"/>
    </row>
    <row r="3" spans="1:21" x14ac:dyDescent="0.25">
      <c r="B3" s="287"/>
      <c r="C3" s="287"/>
      <c r="D3" s="287"/>
      <c r="E3" s="287"/>
      <c r="F3" s="287"/>
    </row>
    <row r="4" spans="1:21" x14ac:dyDescent="0.25">
      <c r="B4" s="292"/>
      <c r="C4" s="292"/>
      <c r="D4" s="292"/>
    </row>
    <row r="5" spans="1:21" x14ac:dyDescent="0.25">
      <c r="C5" s="288"/>
      <c r="E5" s="290"/>
      <c r="G5" s="290"/>
      <c r="I5" s="290"/>
      <c r="J5" s="290"/>
      <c r="L5" s="290"/>
    </row>
    <row r="6" spans="1:21" ht="14.7" customHeight="1" x14ac:dyDescent="0.25">
      <c r="C6" s="289"/>
      <c r="E6" s="291"/>
      <c r="G6" s="291"/>
      <c r="I6" s="291"/>
      <c r="J6" s="291"/>
      <c r="L6" s="291"/>
    </row>
    <row r="7" spans="1:21" ht="6.6" customHeight="1" x14ac:dyDescent="0.25">
      <c r="C7" s="289"/>
      <c r="E7" s="291"/>
      <c r="G7" s="291"/>
      <c r="I7" s="291"/>
      <c r="J7" s="291"/>
      <c r="L7" s="291"/>
    </row>
    <row r="8" spans="1:21" x14ac:dyDescent="0.25">
      <c r="C8" s="289"/>
      <c r="E8" s="291"/>
      <c r="G8" s="291"/>
      <c r="I8" s="291"/>
      <c r="J8" s="291"/>
      <c r="L8" s="291"/>
    </row>
    <row r="10" spans="1:21" x14ac:dyDescent="0.25">
      <c r="C10" s="284"/>
      <c r="E10" s="285"/>
    </row>
    <row r="11" spans="1:21" x14ac:dyDescent="0.25">
      <c r="C11" s="284"/>
      <c r="E11" s="286"/>
    </row>
    <row r="12" spans="1:21" x14ac:dyDescent="0.25">
      <c r="C12" s="284"/>
      <c r="E12" s="286"/>
    </row>
    <row r="13" spans="1:21" x14ac:dyDescent="0.25">
      <c r="C13" s="284"/>
      <c r="E13" s="286"/>
    </row>
    <row r="17" spans="10:10" x14ac:dyDescent="0.25">
      <c r="J17" s="25" t="s">
        <v>225</v>
      </c>
    </row>
  </sheetData>
  <mergeCells count="12">
    <mergeCell ref="O2:U2"/>
    <mergeCell ref="A2:M2"/>
    <mergeCell ref="C10:C13"/>
    <mergeCell ref="E10:E13"/>
    <mergeCell ref="B3:F3"/>
    <mergeCell ref="C5:C8"/>
    <mergeCell ref="E5:E8"/>
    <mergeCell ref="L5:L8"/>
    <mergeCell ref="I5:I8"/>
    <mergeCell ref="J5:J8"/>
    <mergeCell ref="G5:G8"/>
    <mergeCell ref="B4:D4"/>
  </mergeCells>
  <pageMargins left="0.7" right="0.7" top="0.75" bottom="0.75" header="0.3" footer="0.3"/>
  <pageSetup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05A3B-E01E-4A79-8E4D-5E7C82730405}">
  <dimension ref="B7:L118"/>
  <sheetViews>
    <sheetView showGridLines="0" topLeftCell="A103" zoomScale="98" zoomScaleNormal="98" workbookViewId="0">
      <selection activeCell="B98" sqref="B98:F117"/>
    </sheetView>
  </sheetViews>
  <sheetFormatPr baseColWidth="10" defaultRowHeight="14.4" x14ac:dyDescent="0.3"/>
  <cols>
    <col min="1" max="1" width="3.77734375" customWidth="1"/>
    <col min="2" max="2" width="40.109375" bestFit="1" customWidth="1"/>
    <col min="3" max="3" width="7.77734375" customWidth="1"/>
    <col min="4" max="4" width="11.5546875" bestFit="1" customWidth="1"/>
    <col min="5" max="6" width="7.77734375" customWidth="1"/>
    <col min="7" max="8" width="10.77734375" customWidth="1"/>
    <col min="9" max="9" width="3.77734375" customWidth="1"/>
    <col min="10" max="10" width="26.5546875" bestFit="1" customWidth="1"/>
  </cols>
  <sheetData>
    <row r="7" spans="2:12" x14ac:dyDescent="0.3">
      <c r="B7" s="89" t="s">
        <v>122</v>
      </c>
      <c r="C7" s="90"/>
      <c r="D7" s="90"/>
      <c r="E7" s="90"/>
      <c r="F7" s="90"/>
      <c r="G7" s="90"/>
      <c r="H7" s="90"/>
      <c r="J7" s="277" t="s">
        <v>0</v>
      </c>
      <c r="K7" s="277"/>
      <c r="L7" s="44"/>
    </row>
    <row r="8" spans="2:12" x14ac:dyDescent="0.3">
      <c r="B8" s="91" t="s">
        <v>1</v>
      </c>
      <c r="C8" s="14" t="s">
        <v>2</v>
      </c>
      <c r="D8" s="14" t="s">
        <v>571</v>
      </c>
      <c r="E8" s="14" t="s">
        <v>572</v>
      </c>
      <c r="F8" s="14" t="s">
        <v>573</v>
      </c>
      <c r="G8" s="92" t="s">
        <v>4</v>
      </c>
      <c r="H8" s="92" t="s">
        <v>5</v>
      </c>
      <c r="I8" s="4"/>
      <c r="J8" s="5" t="s">
        <v>6</v>
      </c>
      <c r="K8" s="6">
        <f>SUM(Tabla1103453454455456479108133[Total costo])</f>
        <v>22010.42704576</v>
      </c>
    </row>
    <row r="9" spans="2:12" x14ac:dyDescent="0.3">
      <c r="B9" s="7" t="s">
        <v>470</v>
      </c>
      <c r="C9" s="109" t="s">
        <v>188</v>
      </c>
      <c r="D9" s="48">
        <v>15</v>
      </c>
      <c r="E9" s="48">
        <v>10</v>
      </c>
      <c r="F9" s="48">
        <v>16.667000000000002</v>
      </c>
      <c r="G9" s="110">
        <f>+VLOOKUP(Tabla1103453454455456479108133[[#This Row],[Ingrediente]],Tabla34[#All],3,0)</f>
        <v>8</v>
      </c>
      <c r="H9" s="111">
        <f>+Tabla1103453454455456479108133[[#This Row],[Costo]]*Tabla1103453454455456479108133[[#This Row],[Unidades]]</f>
        <v>133.33600000000001</v>
      </c>
      <c r="I9" s="4"/>
      <c r="J9" s="5" t="s">
        <v>113</v>
      </c>
      <c r="K9" s="6">
        <f>+K8*5%</f>
        <v>1100.5213522880001</v>
      </c>
    </row>
    <row r="10" spans="2:12" x14ac:dyDescent="0.3">
      <c r="B10" s="7" t="s">
        <v>442</v>
      </c>
      <c r="C10" s="109" t="s">
        <v>188</v>
      </c>
      <c r="D10" s="48">
        <v>3</v>
      </c>
      <c r="E10" s="48">
        <v>0</v>
      </c>
      <c r="F10" s="48">
        <v>3</v>
      </c>
      <c r="G10" s="110">
        <f>+VLOOKUP(Tabla1103453454455456479108133[[#This Row],[Ingrediente]],Tabla34[#All],3,0)</f>
        <v>20.111000000000001</v>
      </c>
      <c r="H10" s="111">
        <f>+Tabla1103453454455456479108133[[#This Row],[Costo]]*Tabla1103453454455456479108133[[#This Row],[Unidades]]</f>
        <v>60.332999999999998</v>
      </c>
      <c r="I10" s="4"/>
      <c r="J10" s="5" t="s">
        <v>9</v>
      </c>
      <c r="K10" s="6">
        <f>+K8+K9</f>
        <v>23110.948398048</v>
      </c>
    </row>
    <row r="11" spans="2:12" x14ac:dyDescent="0.3">
      <c r="B11" s="7" t="s">
        <v>480</v>
      </c>
      <c r="C11" s="109" t="s">
        <v>188</v>
      </c>
      <c r="D11" s="48">
        <v>1</v>
      </c>
      <c r="E11" s="48">
        <v>0</v>
      </c>
      <c r="F11" s="48">
        <v>1</v>
      </c>
      <c r="G11" s="110">
        <f>+VLOOKUP(Tabla1103453454455456479108133[[#This Row],[Ingrediente]],Tabla34[#All],3,0)</f>
        <v>328.34</v>
      </c>
      <c r="H11" s="111">
        <f>+Tabla1103453454455456479108133[[#This Row],[Costo]]*Tabla1103453454455456479108133[[#This Row],[Unidades]]</f>
        <v>328.34</v>
      </c>
      <c r="I11" s="4"/>
      <c r="J11" s="17" t="s">
        <v>10</v>
      </c>
      <c r="K11" s="112">
        <v>69900</v>
      </c>
    </row>
    <row r="12" spans="2:12" x14ac:dyDescent="0.3">
      <c r="B12" s="7" t="s">
        <v>373</v>
      </c>
      <c r="C12" s="109" t="s">
        <v>570</v>
      </c>
      <c r="D12" s="48">
        <v>4</v>
      </c>
      <c r="E12" s="48">
        <v>0</v>
      </c>
      <c r="F12" s="48">
        <v>4</v>
      </c>
      <c r="G12" s="110">
        <f>+VLOOKUP(Tabla1103453454455456479108133[[#This Row],[Ingrediente]],Tabla34[#All],3,0)</f>
        <v>485.71428571000001</v>
      </c>
      <c r="H12" s="111">
        <f>+Tabla1103453454455456479108133[[#This Row],[Costo]]*Tabla1103453454455456479108133[[#This Row],[Unidades]]</f>
        <v>1942.8571428400001</v>
      </c>
      <c r="I12" s="4"/>
      <c r="J12" s="5" t="s">
        <v>11</v>
      </c>
      <c r="K12" s="6">
        <f>+K11/1.08*0.08</f>
        <v>5177.7777777777774</v>
      </c>
    </row>
    <row r="13" spans="2:12" x14ac:dyDescent="0.3">
      <c r="B13" s="7" t="s">
        <v>398</v>
      </c>
      <c r="C13" s="109" t="s">
        <v>188</v>
      </c>
      <c r="D13" s="48">
        <v>20</v>
      </c>
      <c r="E13" s="48">
        <v>17</v>
      </c>
      <c r="F13" s="48">
        <v>24.096</v>
      </c>
      <c r="G13" s="110">
        <f>+VLOOKUP(Tabla1103453454455456479108133[[#This Row],[Ingrediente]],Tabla34[#All],3,0)</f>
        <v>3.7999999999999994</v>
      </c>
      <c r="H13" s="111">
        <f>+Tabla1103453454455456479108133[[#This Row],[Costo]]*Tabla1103453454455456479108133[[#This Row],[Unidades]]</f>
        <v>91.564799999999991</v>
      </c>
      <c r="I13" s="4"/>
      <c r="J13" s="5" t="s">
        <v>12</v>
      </c>
      <c r="K13" s="6">
        <f>+K11-K12</f>
        <v>64722.222222222219</v>
      </c>
    </row>
    <row r="14" spans="2:12" x14ac:dyDescent="0.3">
      <c r="B14" s="7" t="s">
        <v>446</v>
      </c>
      <c r="C14" s="109" t="s">
        <v>188</v>
      </c>
      <c r="D14" s="48">
        <v>3</v>
      </c>
      <c r="E14" s="48">
        <v>40</v>
      </c>
      <c r="F14" s="48">
        <v>5</v>
      </c>
      <c r="G14" s="110">
        <f>+VLOOKUP(Tabla1103453454455456479108133[[#This Row],[Ingrediente]],Tabla34[#All],3,0)</f>
        <v>5.5</v>
      </c>
      <c r="H14" s="111">
        <f>+Tabla1103453454455456479108133[[#This Row],[Costo]]*Tabla1103453454455456479108133[[#This Row],[Unidades]]</f>
        <v>27.5</v>
      </c>
      <c r="I14" s="4"/>
      <c r="J14" s="5" t="s">
        <v>13</v>
      </c>
      <c r="K14" s="113">
        <f>+K10/K13</f>
        <v>0.35707903104280175</v>
      </c>
    </row>
    <row r="15" spans="2:12" x14ac:dyDescent="0.3">
      <c r="B15" s="7" t="s">
        <v>459</v>
      </c>
      <c r="C15" s="109" t="s">
        <v>188</v>
      </c>
      <c r="D15" s="48">
        <v>3</v>
      </c>
      <c r="E15" s="48">
        <v>0</v>
      </c>
      <c r="F15" s="48">
        <v>3</v>
      </c>
      <c r="G15" s="110">
        <f>+VLOOKUP(Tabla1103453454455456479108133[[#This Row],[Ingrediente]],Tabla34[#All],3,0)</f>
        <v>58.140352939999993</v>
      </c>
      <c r="H15" s="111">
        <f>+Tabla1103453454455456479108133[[#This Row],[Costo]]*Tabla1103453454455456479108133[[#This Row],[Unidades]]</f>
        <v>174.42105881999998</v>
      </c>
      <c r="I15" s="4"/>
      <c r="J15" s="5" t="s">
        <v>14</v>
      </c>
      <c r="K15" s="20">
        <f>+K13-K10</f>
        <v>41611.273824174219</v>
      </c>
    </row>
    <row r="16" spans="2:12" x14ac:dyDescent="0.3">
      <c r="B16" s="7" t="s">
        <v>413</v>
      </c>
      <c r="C16" s="109" t="s">
        <v>188</v>
      </c>
      <c r="D16" s="48">
        <v>80</v>
      </c>
      <c r="E16" s="48">
        <v>0</v>
      </c>
      <c r="F16" s="48">
        <v>80</v>
      </c>
      <c r="G16" s="110">
        <f>+VLOOKUP(Tabla1103453454455456479108133[[#This Row],[Ingrediente]],Tabla34[#All],3,0)</f>
        <v>17.00824742</v>
      </c>
      <c r="H16" s="111">
        <f>+Tabla1103453454455456479108133[[#This Row],[Costo]]*Tabla1103453454455456479108133[[#This Row],[Unidades]]</f>
        <v>1360.6597936000001</v>
      </c>
      <c r="I16" s="4"/>
      <c r="J16" s="5" t="s">
        <v>15</v>
      </c>
      <c r="K16" s="22">
        <f>+K15/K10</f>
        <v>1.8005004860678411</v>
      </c>
    </row>
    <row r="17" spans="2:11" x14ac:dyDescent="0.3">
      <c r="B17" s="7" t="s">
        <v>368</v>
      </c>
      <c r="C17" s="109" t="s">
        <v>188</v>
      </c>
      <c r="D17" s="48">
        <v>150</v>
      </c>
      <c r="E17" s="48">
        <v>10</v>
      </c>
      <c r="F17" s="48">
        <v>166.667</v>
      </c>
      <c r="G17" s="110">
        <f>+VLOOKUP(Tabla1103453454455456479108133[[#This Row],[Ingrediente]],Tabla34[#All],3,0)</f>
        <v>37</v>
      </c>
      <c r="H17" s="111">
        <f>+Tabla1103453454455456479108133[[#This Row],[Costo]]*Tabla1103453454455456479108133[[#This Row],[Unidades]]</f>
        <v>6166.6790000000001</v>
      </c>
      <c r="I17" s="4"/>
      <c r="J17" s="4"/>
      <c r="K17" s="114"/>
    </row>
    <row r="18" spans="2:11" x14ac:dyDescent="0.3">
      <c r="B18" s="21" t="s">
        <v>35</v>
      </c>
      <c r="C18" s="109" t="s">
        <v>188</v>
      </c>
      <c r="D18" s="48">
        <v>25</v>
      </c>
      <c r="E18" s="48">
        <v>0</v>
      </c>
      <c r="F18" s="48">
        <v>25</v>
      </c>
      <c r="G18" s="110">
        <f>+VLOOKUP(Tabla1103453454455456479108133[[#This Row],[Ingrediente]],Tabla34[#All],3,0)</f>
        <v>4.7460000000000004</v>
      </c>
      <c r="H18" s="111">
        <f>+Tabla1103453454455456479108133[[#This Row],[Costo]]*Tabla1103453454455456479108133[[#This Row],[Unidades]]</f>
        <v>118.65</v>
      </c>
      <c r="I18" s="4"/>
      <c r="J18" s="4"/>
      <c r="K18" s="114"/>
    </row>
    <row r="19" spans="2:11" x14ac:dyDescent="0.3">
      <c r="B19" s="7" t="s">
        <v>394</v>
      </c>
      <c r="C19" s="109" t="s">
        <v>188</v>
      </c>
      <c r="D19" s="48">
        <v>10</v>
      </c>
      <c r="E19" s="48">
        <v>78</v>
      </c>
      <c r="F19" s="48">
        <v>45.454999999999998</v>
      </c>
      <c r="G19" s="110">
        <f>+VLOOKUP(Tabla1103453454455456479108133[[#This Row],[Ingrediente]],Tabla34[#All],3,0)</f>
        <v>4.5</v>
      </c>
      <c r="H19" s="111">
        <f>+Tabla1103453454455456479108133[[#This Row],[Costo]]*Tabla1103453454455456479108133[[#This Row],[Unidades]]</f>
        <v>204.54749999999999</v>
      </c>
      <c r="I19" s="4"/>
      <c r="J19" s="4"/>
      <c r="K19" s="114"/>
    </row>
    <row r="20" spans="2:11" x14ac:dyDescent="0.3">
      <c r="B20" s="7" t="s">
        <v>412</v>
      </c>
      <c r="C20" s="109" t="s">
        <v>570</v>
      </c>
      <c r="D20" s="48">
        <v>1</v>
      </c>
      <c r="E20" s="48">
        <v>0</v>
      </c>
      <c r="F20" s="48">
        <v>1</v>
      </c>
      <c r="G20" s="110">
        <f>+VLOOKUP(Tabla1103453454455456479108133[[#This Row],[Ingrediente]],Tabla34[#All],3,0)</f>
        <v>323.68</v>
      </c>
      <c r="H20" s="111">
        <f>+Tabla1103453454455456479108133[[#This Row],[Costo]]*Tabla1103453454455456479108133[[#This Row],[Unidades]]</f>
        <v>323.68</v>
      </c>
      <c r="I20" s="4"/>
      <c r="J20" s="4"/>
      <c r="K20" s="114"/>
    </row>
    <row r="21" spans="2:11" x14ac:dyDescent="0.3">
      <c r="B21" s="7" t="s">
        <v>376</v>
      </c>
      <c r="C21" s="109" t="s">
        <v>188</v>
      </c>
      <c r="D21" s="48">
        <v>50</v>
      </c>
      <c r="E21" s="48">
        <v>0</v>
      </c>
      <c r="F21" s="48">
        <v>50</v>
      </c>
      <c r="G21" s="110">
        <f>+VLOOKUP(Tabla1103453454455456479108133[[#This Row],[Ingrediente]],Tabla34[#All],3,0)</f>
        <v>60.98749999999999</v>
      </c>
      <c r="H21" s="111">
        <f>+Tabla1103453454455456479108133[[#This Row],[Costo]]*Tabla1103453454455456479108133[[#This Row],[Unidades]]</f>
        <v>3049.3749999999995</v>
      </c>
      <c r="I21" s="4"/>
      <c r="J21" s="4"/>
      <c r="K21" s="114"/>
    </row>
    <row r="22" spans="2:11" x14ac:dyDescent="0.3">
      <c r="B22" s="7" t="s">
        <v>482</v>
      </c>
      <c r="C22" s="109" t="s">
        <v>188</v>
      </c>
      <c r="D22" s="48">
        <v>3</v>
      </c>
      <c r="E22" s="48">
        <v>0</v>
      </c>
      <c r="F22" s="48">
        <v>3</v>
      </c>
      <c r="G22" s="110">
        <f>+VLOOKUP(Tabla1103453454455456479108133[[#This Row],[Ingrediente]],Tabla34[#All],3,0)</f>
        <v>2.6999075600000002</v>
      </c>
      <c r="H22" s="111">
        <f>+Tabla1103453454455456479108133[[#This Row],[Costo]]*Tabla1103453454455456479108133[[#This Row],[Unidades]]</f>
        <v>8.0997226800000011</v>
      </c>
      <c r="I22" s="4"/>
      <c r="J22" s="4"/>
      <c r="K22" s="114"/>
    </row>
    <row r="23" spans="2:11" x14ac:dyDescent="0.3">
      <c r="B23" s="7" t="s">
        <v>341</v>
      </c>
      <c r="C23" s="109" t="s">
        <v>188</v>
      </c>
      <c r="D23" s="48">
        <v>10</v>
      </c>
      <c r="E23" s="48">
        <v>0</v>
      </c>
      <c r="F23" s="48">
        <v>10</v>
      </c>
      <c r="G23" s="110">
        <f>+VLOOKUP(Tabla1103453454455456479108133[[#This Row],[Ingrediente]],Tabla34[#All],3,0)</f>
        <v>12.80723817</v>
      </c>
      <c r="H23" s="111">
        <f>+Tabla1103453454455456479108133[[#This Row],[Costo]]*Tabla1103453454455456479108133[[#This Row],[Unidades]]</f>
        <v>128.07238169999999</v>
      </c>
      <c r="I23" s="4"/>
      <c r="J23" s="4"/>
      <c r="K23" s="114"/>
    </row>
    <row r="24" spans="2:11" x14ac:dyDescent="0.3">
      <c r="B24" s="21" t="s">
        <v>528</v>
      </c>
      <c r="C24" s="109" t="s">
        <v>188</v>
      </c>
      <c r="D24" s="48">
        <v>150</v>
      </c>
      <c r="E24" s="48">
        <v>0</v>
      </c>
      <c r="F24" s="48">
        <v>150</v>
      </c>
      <c r="G24" s="110">
        <f>+VLOOKUP(Tabla1103453454455456479108133[[#This Row],[Ingrediente]],Tabla34[#All],3,0)</f>
        <v>4.8201292200000001</v>
      </c>
      <c r="H24" s="111">
        <f>+Tabla1103453454455456479108133[[#This Row],[Costo]]*Tabla1103453454455456479108133[[#This Row],[Unidades]]</f>
        <v>723.01938300000006</v>
      </c>
      <c r="I24" s="4"/>
      <c r="J24" s="200"/>
      <c r="K24" s="114"/>
    </row>
    <row r="25" spans="2:11" x14ac:dyDescent="0.3">
      <c r="B25" s="21" t="s">
        <v>226</v>
      </c>
      <c r="C25" s="109" t="s">
        <v>188</v>
      </c>
      <c r="D25" s="48">
        <v>10</v>
      </c>
      <c r="E25" s="48">
        <v>0</v>
      </c>
      <c r="F25" s="48">
        <v>10</v>
      </c>
      <c r="G25" s="110">
        <f>+VLOOKUP(Tabla1103453454455456479108133[[#This Row],[Ingrediente]],Tabla34[#All],3,0)</f>
        <v>10.179495380000001</v>
      </c>
      <c r="H25" s="111">
        <f>+Tabla1103453454455456479108133[[#This Row],[Costo]]*Tabla1103453454455456479108133[[#This Row],[Unidades]]</f>
        <v>101.7949538</v>
      </c>
      <c r="I25" s="4"/>
      <c r="J25" s="4"/>
      <c r="K25" s="114"/>
    </row>
    <row r="26" spans="2:11" x14ac:dyDescent="0.3">
      <c r="B26" s="7" t="s">
        <v>526</v>
      </c>
      <c r="C26" s="109" t="s">
        <v>188</v>
      </c>
      <c r="D26" s="48">
        <v>30</v>
      </c>
      <c r="E26" s="48">
        <v>0</v>
      </c>
      <c r="F26" s="48">
        <v>30</v>
      </c>
      <c r="G26" s="110">
        <f>+VLOOKUP(Tabla1103453454455456479108133[[#This Row],[Ingrediente]],Tabla34[#All],3,0)</f>
        <v>23.747277729999997</v>
      </c>
      <c r="H26" s="111">
        <f>+Tabla1103453454455456479108133[[#This Row],[Costo]]*Tabla1103453454455456479108133[[#This Row],[Unidades]]</f>
        <v>712.41833189999988</v>
      </c>
      <c r="I26" s="4"/>
      <c r="J26" s="4"/>
      <c r="K26" s="114"/>
    </row>
    <row r="27" spans="2:11" x14ac:dyDescent="0.3">
      <c r="B27" s="7" t="s">
        <v>449</v>
      </c>
      <c r="C27" s="109" t="s">
        <v>188</v>
      </c>
      <c r="D27" s="48">
        <v>100</v>
      </c>
      <c r="E27" s="48">
        <v>0</v>
      </c>
      <c r="F27" s="48">
        <v>100</v>
      </c>
      <c r="G27" s="110">
        <f>+VLOOKUP(Tabla1103453454455456479108133[[#This Row],[Ingrediente]],Tabla34[#All],3,0)</f>
        <v>23.317903900000001</v>
      </c>
      <c r="H27" s="111">
        <f>+Tabla1103453454455456479108133[[#This Row],[Costo]]*Tabla1103453454455456479108133[[#This Row],[Unidades]]</f>
        <v>2331.7903900000001</v>
      </c>
    </row>
    <row r="28" spans="2:11" x14ac:dyDescent="0.3">
      <c r="B28" s="7" t="s">
        <v>92</v>
      </c>
      <c r="C28" s="109" t="s">
        <v>188</v>
      </c>
      <c r="D28" s="48">
        <v>2</v>
      </c>
      <c r="E28" s="48">
        <v>0</v>
      </c>
      <c r="F28" s="48">
        <v>2</v>
      </c>
      <c r="G28" s="110">
        <f>+VLOOKUP(Tabla1103453454455456479108133[[#This Row],[Ingrediente]],Tabla34[#All],3,0)</f>
        <v>10.625185460000001</v>
      </c>
      <c r="H28" s="111">
        <f>+Tabla1103453454455456479108133[[#This Row],[Costo]]*Tabla1103453454455456479108133[[#This Row],[Unidades]]</f>
        <v>21.250370920000002</v>
      </c>
    </row>
    <row r="29" spans="2:11" x14ac:dyDescent="0.3">
      <c r="B29" s="7" t="s">
        <v>533</v>
      </c>
      <c r="C29" s="109" t="s">
        <v>570</v>
      </c>
      <c r="D29" s="48">
        <v>1</v>
      </c>
      <c r="E29" s="48">
        <v>0</v>
      </c>
      <c r="F29" s="48">
        <v>1</v>
      </c>
      <c r="G29" s="110">
        <f>+VLOOKUP(Tabla1103453454455456479108133[[#This Row],[Ingrediente]],Tabla34[#All],3,0)</f>
        <v>4002.0382164999996</v>
      </c>
      <c r="H29" s="111">
        <f>+Tabla1103453454455456479108133[[#This Row],[Costo]]*Tabla1103453454455456479108133[[#This Row],[Unidades]]</f>
        <v>4002.0382164999996</v>
      </c>
    </row>
    <row r="30" spans="2:11" x14ac:dyDescent="0.3">
      <c r="B30" s="13"/>
      <c r="C30" s="14"/>
      <c r="D30" s="14"/>
      <c r="E30" s="14"/>
      <c r="F30" s="14"/>
      <c r="G30" s="15"/>
      <c r="H30" s="15">
        <f>SUBTOTAL(109,Tabla1103453454455456479108133[Total costo])</f>
        <v>22010.42704576</v>
      </c>
    </row>
    <row r="31" spans="2:11" x14ac:dyDescent="0.3">
      <c r="B31" s="45"/>
      <c r="C31" s="46"/>
      <c r="D31" s="46"/>
      <c r="E31" s="46"/>
      <c r="F31" s="46"/>
      <c r="G31" s="98"/>
      <c r="H31" s="98"/>
    </row>
    <row r="32" spans="2:11" x14ac:dyDescent="0.3">
      <c r="B32" s="45"/>
      <c r="C32" s="46"/>
      <c r="D32" s="46"/>
      <c r="E32" s="46"/>
      <c r="F32" s="46"/>
      <c r="G32" s="98"/>
      <c r="H32" s="98"/>
    </row>
    <row r="33" spans="2:12" s="26" customFormat="1" x14ac:dyDescent="0.3">
      <c r="B33" s="1" t="s">
        <v>229</v>
      </c>
      <c r="C33" s="2"/>
      <c r="D33" s="2"/>
      <c r="E33" s="3"/>
      <c r="F33" s="3"/>
      <c r="G33" s="99"/>
      <c r="H33" s="99"/>
      <c r="J33" s="277" t="s">
        <v>0</v>
      </c>
      <c r="K33" s="277"/>
      <c r="L33" s="44"/>
    </row>
    <row r="34" spans="2:12" s="26" customFormat="1" x14ac:dyDescent="0.3">
      <c r="B34" s="91" t="s">
        <v>1</v>
      </c>
      <c r="C34" s="14" t="s">
        <v>2</v>
      </c>
      <c r="D34" s="14" t="s">
        <v>571</v>
      </c>
      <c r="E34" s="14" t="s">
        <v>572</v>
      </c>
      <c r="F34" s="14" t="s">
        <v>573</v>
      </c>
      <c r="G34" s="92" t="s">
        <v>4</v>
      </c>
      <c r="H34" s="92" t="s">
        <v>5</v>
      </c>
      <c r="J34" s="5" t="s">
        <v>6</v>
      </c>
      <c r="K34" s="6" t="e">
        <f>SUM(Tabla1103453454455456479108134[Total costo])</f>
        <v>#N/A</v>
      </c>
    </row>
    <row r="35" spans="2:12" x14ac:dyDescent="0.3">
      <c r="B35" s="7" t="s">
        <v>470</v>
      </c>
      <c r="C35" s="109" t="s">
        <v>188</v>
      </c>
      <c r="D35" s="48">
        <v>20</v>
      </c>
      <c r="E35" s="48">
        <v>10</v>
      </c>
      <c r="F35" s="48">
        <v>22.222000000000001</v>
      </c>
      <c r="G35" s="110">
        <f>+VLOOKUP(Tabla1103453454455456479108134[[#This Row],[Ingrediente]],Tabla34[#All],3,0)</f>
        <v>8</v>
      </c>
      <c r="H35" s="111">
        <f>+Tabla1103453454455456479108134[[#This Row],[Costo]]*Tabla1103453454455456479108134[[#This Row],[Unidades]]</f>
        <v>177.77600000000001</v>
      </c>
      <c r="I35" s="4"/>
      <c r="J35" s="5" t="s">
        <v>113</v>
      </c>
      <c r="K35" s="6" t="e">
        <f>+K34*5%</f>
        <v>#N/A</v>
      </c>
    </row>
    <row r="36" spans="2:12" x14ac:dyDescent="0.3">
      <c r="B36" s="7" t="s">
        <v>557</v>
      </c>
      <c r="C36" s="109" t="s">
        <v>188</v>
      </c>
      <c r="D36" s="48">
        <v>1</v>
      </c>
      <c r="E36" s="48">
        <v>0</v>
      </c>
      <c r="F36" s="48">
        <v>1</v>
      </c>
      <c r="G36" s="110">
        <f>+VLOOKUP(Tabla1103453454455456479108134[[#This Row],[Ingrediente]],Tabla34[#All],3,0)</f>
        <v>18.138999999999999</v>
      </c>
      <c r="H36" s="111">
        <f>+Tabla1103453454455456479108134[[#This Row],[Costo]]*Tabla1103453454455456479108134[[#This Row],[Unidades]]</f>
        <v>18.138999999999999</v>
      </c>
      <c r="I36" s="4"/>
      <c r="J36" s="5" t="s">
        <v>9</v>
      </c>
      <c r="K36" s="6" t="e">
        <f>+K34+K35</f>
        <v>#N/A</v>
      </c>
    </row>
    <row r="37" spans="2:12" x14ac:dyDescent="0.3">
      <c r="B37" s="21" t="s">
        <v>689</v>
      </c>
      <c r="C37" s="109" t="s">
        <v>188</v>
      </c>
      <c r="D37" s="48">
        <v>1</v>
      </c>
      <c r="E37" s="48">
        <v>0</v>
      </c>
      <c r="F37" s="48">
        <v>1</v>
      </c>
      <c r="G37" s="110">
        <f>+VLOOKUP(Tabla1103453454455456479108134[[#This Row],[Ingrediente]],Tabla34[#All],3,0)</f>
        <v>40.97</v>
      </c>
      <c r="H37" s="111">
        <f>+Tabla1103453454455456479108134[[#This Row],[Costo]]*Tabla1103453454455456479108134[[#This Row],[Unidades]]</f>
        <v>40.97</v>
      </c>
      <c r="I37" s="4"/>
      <c r="J37" s="17" t="s">
        <v>10</v>
      </c>
      <c r="K37" s="112">
        <v>72900</v>
      </c>
    </row>
    <row r="38" spans="2:12" x14ac:dyDescent="0.3">
      <c r="B38" s="7" t="s">
        <v>498</v>
      </c>
      <c r="C38" s="109" t="s">
        <v>188</v>
      </c>
      <c r="D38" s="48">
        <v>1</v>
      </c>
      <c r="E38" s="48">
        <v>0</v>
      </c>
      <c r="F38" s="48">
        <v>1</v>
      </c>
      <c r="G38" s="110">
        <f>+VLOOKUP(Tabla1103453454455456479108134[[#This Row],[Ingrediente]],Tabla34[#All],3,0)</f>
        <v>13</v>
      </c>
      <c r="H38" s="111">
        <f>+Tabla1103453454455456479108134[[#This Row],[Costo]]*Tabla1103453454455456479108134[[#This Row],[Unidades]]</f>
        <v>13</v>
      </c>
      <c r="I38" s="4"/>
      <c r="J38" s="5" t="s">
        <v>11</v>
      </c>
      <c r="K38" s="6">
        <f>+K37/1.08*0.08</f>
        <v>5400</v>
      </c>
    </row>
    <row r="39" spans="2:12" x14ac:dyDescent="0.3">
      <c r="B39" s="21" t="s">
        <v>373</v>
      </c>
      <c r="C39" s="109" t="s">
        <v>570</v>
      </c>
      <c r="D39" s="48">
        <v>4</v>
      </c>
      <c r="E39" s="48">
        <v>0</v>
      </c>
      <c r="F39" s="48">
        <v>4</v>
      </c>
      <c r="G39" s="110">
        <f>+VLOOKUP(Tabla1103453454455456479108134[[#This Row],[Ingrediente]],Tabla34[#All],3,0)</f>
        <v>485.71428571000001</v>
      </c>
      <c r="H39" s="111">
        <f>+Tabla1103453454455456479108134[[#This Row],[Costo]]*Tabla1103453454455456479108134[[#This Row],[Unidades]]</f>
        <v>1942.8571428400001</v>
      </c>
      <c r="I39" s="4"/>
      <c r="J39" s="5" t="s">
        <v>12</v>
      </c>
      <c r="K39" s="6">
        <f>+K37-K38</f>
        <v>67500</v>
      </c>
    </row>
    <row r="40" spans="2:12" x14ac:dyDescent="0.3">
      <c r="B40" s="21" t="s">
        <v>446</v>
      </c>
      <c r="C40" s="109" t="s">
        <v>188</v>
      </c>
      <c r="D40" s="48">
        <v>2</v>
      </c>
      <c r="E40" s="48">
        <v>40</v>
      </c>
      <c r="F40" s="48">
        <v>3.3330000000000002</v>
      </c>
      <c r="G40" s="110">
        <f>+VLOOKUP(Tabla1103453454455456479108134[[#This Row],[Ingrediente]],Tabla34[#All],3,0)</f>
        <v>5.5</v>
      </c>
      <c r="H40" s="111">
        <f>+Tabla1103453454455456479108134[[#This Row],[Costo]]*Tabla1103453454455456479108134[[#This Row],[Unidades]]</f>
        <v>18.331500000000002</v>
      </c>
      <c r="I40" s="4"/>
      <c r="J40" s="5" t="s">
        <v>13</v>
      </c>
      <c r="K40" s="113" t="e">
        <f>+K36/K39</f>
        <v>#N/A</v>
      </c>
    </row>
    <row r="41" spans="2:12" x14ac:dyDescent="0.3">
      <c r="B41" s="7" t="s">
        <v>413</v>
      </c>
      <c r="C41" s="109" t="s">
        <v>188</v>
      </c>
      <c r="D41" s="48">
        <v>200</v>
      </c>
      <c r="E41" s="48">
        <v>0</v>
      </c>
      <c r="F41" s="48">
        <v>200</v>
      </c>
      <c r="G41" s="110">
        <f>+VLOOKUP(Tabla1103453454455456479108134[[#This Row],[Ingrediente]],Tabla34[#All],3,0)</f>
        <v>17.00824742</v>
      </c>
      <c r="H41" s="111">
        <f>+Tabla1103453454455456479108134[[#This Row],[Costo]]*Tabla1103453454455456479108134[[#This Row],[Unidades]]</f>
        <v>3401.649484</v>
      </c>
      <c r="I41" s="4"/>
      <c r="J41" s="5" t="s">
        <v>14</v>
      </c>
      <c r="K41" s="20" t="e">
        <f>+K39-K36</f>
        <v>#N/A</v>
      </c>
    </row>
    <row r="42" spans="2:12" x14ac:dyDescent="0.3">
      <c r="B42" s="7" t="s">
        <v>376</v>
      </c>
      <c r="C42" s="109" t="s">
        <v>188</v>
      </c>
      <c r="D42" s="48">
        <v>50</v>
      </c>
      <c r="E42" s="48">
        <v>0</v>
      </c>
      <c r="F42" s="48">
        <v>50</v>
      </c>
      <c r="G42" s="110">
        <f>+VLOOKUP(Tabla1103453454455456479108134[[#This Row],[Ingrediente]],Tabla34[#All],3,0)</f>
        <v>60.98749999999999</v>
      </c>
      <c r="H42" s="111">
        <f>+Tabla1103453454455456479108134[[#This Row],[Costo]]*Tabla1103453454455456479108134[[#This Row],[Unidades]]</f>
        <v>3049.3749999999995</v>
      </c>
      <c r="I42" s="4"/>
      <c r="J42" s="5" t="s">
        <v>15</v>
      </c>
      <c r="K42" s="22" t="e">
        <f>+K41/K36</f>
        <v>#N/A</v>
      </c>
    </row>
    <row r="43" spans="2:12" x14ac:dyDescent="0.3">
      <c r="B43" s="21" t="s">
        <v>482</v>
      </c>
      <c r="C43" s="109" t="s">
        <v>188</v>
      </c>
      <c r="D43" s="48">
        <v>2</v>
      </c>
      <c r="E43" s="48">
        <v>0</v>
      </c>
      <c r="F43" s="48">
        <v>2</v>
      </c>
      <c r="G43" s="110">
        <f>+VLOOKUP(Tabla1103453454455456479108134[[#This Row],[Ingrediente]],Tabla34[#All],3,0)</f>
        <v>2.6999075600000002</v>
      </c>
      <c r="H43" s="111">
        <f>+Tabla1103453454455456479108134[[#This Row],[Costo]]*Tabla1103453454455456479108134[[#This Row],[Unidades]]</f>
        <v>5.3998151200000004</v>
      </c>
      <c r="I43" s="4"/>
      <c r="J43" s="4"/>
      <c r="K43" s="114"/>
    </row>
    <row r="44" spans="2:12" x14ac:dyDescent="0.3">
      <c r="B44" s="7" t="s">
        <v>1152</v>
      </c>
      <c r="C44" s="109" t="s">
        <v>188</v>
      </c>
      <c r="D44" s="48">
        <v>180</v>
      </c>
      <c r="E44" s="48">
        <v>10</v>
      </c>
      <c r="F44" s="48">
        <v>200</v>
      </c>
      <c r="G44" s="110">
        <f>+VLOOKUP(Tabla1103453454455456479108134[[#This Row],[Ingrediente]],Tabla34[#All],3,0)</f>
        <v>55</v>
      </c>
      <c r="H44" s="111">
        <f>+Tabla1103453454455456479108134[[#This Row],[Costo]]*Tabla1103453454455456479108134[[#This Row],[Unidades]]</f>
        <v>11000</v>
      </c>
      <c r="I44" s="4"/>
      <c r="J44" s="4"/>
      <c r="K44" s="114"/>
    </row>
    <row r="45" spans="2:12" x14ac:dyDescent="0.3">
      <c r="B45" s="7" t="s">
        <v>1286</v>
      </c>
      <c r="C45" s="109" t="s">
        <v>188</v>
      </c>
      <c r="D45" s="48">
        <v>15</v>
      </c>
      <c r="E45" s="48">
        <v>0</v>
      </c>
      <c r="F45" s="48">
        <v>15</v>
      </c>
      <c r="G45" s="110" t="e">
        <f>+VLOOKUP(Tabla1103453454455456479108134[[#This Row],[Ingrediente]],Tabla34[#All],3,0)</f>
        <v>#N/A</v>
      </c>
      <c r="H45" s="111" t="e">
        <f>+Tabla1103453454455456479108134[[#This Row],[Costo]]*Tabla1103453454455456479108134[[#This Row],[Unidades]]</f>
        <v>#N/A</v>
      </c>
      <c r="I45" s="4"/>
      <c r="J45" s="24"/>
      <c r="K45" s="24"/>
    </row>
    <row r="46" spans="2:12" x14ac:dyDescent="0.3">
      <c r="B46" s="7" t="s">
        <v>528</v>
      </c>
      <c r="C46" s="109" t="s">
        <v>188</v>
      </c>
      <c r="D46" s="48">
        <v>120</v>
      </c>
      <c r="E46" s="48">
        <v>0</v>
      </c>
      <c r="F46" s="48">
        <v>120</v>
      </c>
      <c r="G46" s="110">
        <f>+VLOOKUP(Tabla1103453454455456479108134[[#This Row],[Ingrediente]],Tabla34[#All],3,0)</f>
        <v>4.8201292200000001</v>
      </c>
      <c r="H46" s="111">
        <f>+Tabla1103453454455456479108134[[#This Row],[Costo]]*Tabla1103453454455456479108134[[#This Row],[Unidades]]</f>
        <v>578.41550640000003</v>
      </c>
      <c r="I46" s="4"/>
    </row>
    <row r="47" spans="2:12" x14ac:dyDescent="0.3">
      <c r="B47" s="7" t="s">
        <v>449</v>
      </c>
      <c r="C47" s="109" t="s">
        <v>188</v>
      </c>
      <c r="D47" s="48">
        <v>100</v>
      </c>
      <c r="E47" s="48">
        <v>0</v>
      </c>
      <c r="F47" s="48">
        <v>100</v>
      </c>
      <c r="G47" s="110">
        <f>+VLOOKUP(Tabla1103453454455456479108134[[#This Row],[Ingrediente]],Tabla34[#All],3,0)</f>
        <v>23.317903900000001</v>
      </c>
      <c r="H47" s="111">
        <f>+Tabla1103453454455456479108134[[#This Row],[Costo]]*Tabla1103453454455456479108134[[#This Row],[Unidades]]</f>
        <v>2331.7903900000001</v>
      </c>
      <c r="I47" s="24"/>
    </row>
    <row r="48" spans="2:12" x14ac:dyDescent="0.3">
      <c r="B48" s="21" t="s">
        <v>92</v>
      </c>
      <c r="C48" s="109" t="s">
        <v>188</v>
      </c>
      <c r="D48" s="48">
        <v>2</v>
      </c>
      <c r="E48" s="48">
        <v>0</v>
      </c>
      <c r="F48" s="48">
        <v>2</v>
      </c>
      <c r="G48" s="110">
        <f>+VLOOKUP(Tabla1103453454455456479108134[[#This Row],[Ingrediente]],Tabla34[#All],3,0)</f>
        <v>10.625185460000001</v>
      </c>
      <c r="H48" s="111">
        <f>+Tabla1103453454455456479108134[[#This Row],[Costo]]*Tabla1103453454455456479108134[[#This Row],[Unidades]]</f>
        <v>21.250370920000002</v>
      </c>
    </row>
    <row r="49" spans="2:12" x14ac:dyDescent="0.3">
      <c r="B49" s="7" t="s">
        <v>588</v>
      </c>
      <c r="C49" s="109" t="s">
        <v>188</v>
      </c>
      <c r="D49" s="48">
        <v>10</v>
      </c>
      <c r="E49" s="48">
        <v>0</v>
      </c>
      <c r="F49" s="48">
        <v>10</v>
      </c>
      <c r="G49" s="110">
        <f>+VLOOKUP(Tabla1103453454455456479108134[[#This Row],[Ingrediente]],Tabla34[#All],3,0)</f>
        <v>18.80280003</v>
      </c>
      <c r="H49" s="111">
        <f>+Tabla1103453454455456479108134[[#This Row],[Costo]]*Tabla1103453454455456479108134[[#This Row],[Unidades]]</f>
        <v>188.0280003</v>
      </c>
    </row>
    <row r="50" spans="2:12" x14ac:dyDescent="0.3">
      <c r="B50" s="7" t="s">
        <v>458</v>
      </c>
      <c r="C50" s="109" t="s">
        <v>188</v>
      </c>
      <c r="D50" s="48">
        <v>30</v>
      </c>
      <c r="E50" s="48">
        <v>10</v>
      </c>
      <c r="F50" s="48">
        <v>33.332999999999998</v>
      </c>
      <c r="G50" s="110">
        <f>+VLOOKUP(Tabla1103453454455456479108134[[#This Row],[Ingrediente]],Tabla34[#All],3,0)</f>
        <v>5</v>
      </c>
      <c r="H50" s="111">
        <f>+Tabla1103453454455456479108134[[#This Row],[Costo]]*Tabla1103453454455456479108134[[#This Row],[Unidades]]</f>
        <v>166.66499999999999</v>
      </c>
    </row>
    <row r="51" spans="2:12" x14ac:dyDescent="0.3">
      <c r="B51" s="7" t="s">
        <v>471</v>
      </c>
      <c r="C51" s="109" t="s">
        <v>188</v>
      </c>
      <c r="D51" s="270">
        <v>10</v>
      </c>
      <c r="E51" s="48">
        <v>0</v>
      </c>
      <c r="F51" s="48">
        <v>10</v>
      </c>
      <c r="G51" s="110">
        <f>+VLOOKUP(Tabla1103453454455456479108134[[#This Row],[Ingrediente]],Tabla34[#All],3,0)</f>
        <v>16.034500000000001</v>
      </c>
      <c r="H51" s="111">
        <f>+Tabla1103453454455456479108134[[#This Row],[Costo]]*Tabla1103453454455456479108134[[#This Row],[Unidades]]</f>
        <v>160.34500000000003</v>
      </c>
    </row>
    <row r="52" spans="2:12" x14ac:dyDescent="0.3">
      <c r="B52" s="13"/>
      <c r="C52" s="14"/>
      <c r="D52" s="14"/>
      <c r="E52" s="14"/>
      <c r="F52" s="14"/>
      <c r="G52" s="15"/>
      <c r="H52" s="15" t="e">
        <f>SUBTOTAL(109,Tabla1103453454455456479108134[Total costo])</f>
        <v>#N/A</v>
      </c>
    </row>
    <row r="53" spans="2:12" s="26" customFormat="1" x14ac:dyDescent="0.3">
      <c r="B53" s="45"/>
      <c r="C53" s="46"/>
      <c r="D53" s="46"/>
      <c r="E53" s="46"/>
      <c r="F53" s="46"/>
      <c r="G53" s="98"/>
      <c r="H53" s="98"/>
    </row>
    <row r="54" spans="2:12" x14ac:dyDescent="0.3">
      <c r="B54" s="1" t="s">
        <v>230</v>
      </c>
      <c r="C54" s="2"/>
      <c r="D54" s="2"/>
      <c r="E54" s="3"/>
      <c r="F54" s="3"/>
      <c r="G54" s="99"/>
      <c r="H54" s="99"/>
      <c r="J54" s="277" t="s">
        <v>0</v>
      </c>
      <c r="K54" s="277"/>
      <c r="L54" s="44"/>
    </row>
    <row r="55" spans="2:12" x14ac:dyDescent="0.3">
      <c r="B55" s="91" t="s">
        <v>1</v>
      </c>
      <c r="C55" s="14" t="s">
        <v>2</v>
      </c>
      <c r="D55" s="14" t="s">
        <v>571</v>
      </c>
      <c r="E55" s="14" t="s">
        <v>572</v>
      </c>
      <c r="F55" s="14" t="s">
        <v>573</v>
      </c>
      <c r="G55" s="92" t="s">
        <v>4</v>
      </c>
      <c r="H55" s="92" t="s">
        <v>5</v>
      </c>
      <c r="J55" s="5" t="s">
        <v>6</v>
      </c>
      <c r="K55" s="6" t="e">
        <f>SUM(Tabla110345345445545647910813431[Total costo])</f>
        <v>#N/A</v>
      </c>
    </row>
    <row r="56" spans="2:12" x14ac:dyDescent="0.3">
      <c r="B56" s="7" t="s">
        <v>442</v>
      </c>
      <c r="C56" s="109" t="s">
        <v>188</v>
      </c>
      <c r="D56" s="48">
        <v>2</v>
      </c>
      <c r="E56" s="48">
        <v>0</v>
      </c>
      <c r="F56" s="48">
        <v>2</v>
      </c>
      <c r="G56" s="110">
        <f>+VLOOKUP(Tabla110345345445545647910813431[[#This Row],[Ingrediente]],Tabla34[#All],3,0)</f>
        <v>20.111000000000001</v>
      </c>
      <c r="H56" s="111">
        <f>+Tabla110345345445545647910813431[[#This Row],[Costo]]*Tabla110345345445545647910813431[[#This Row],[Unidades]]</f>
        <v>40.222000000000001</v>
      </c>
      <c r="I56" s="4"/>
      <c r="J56" s="5" t="s">
        <v>113</v>
      </c>
      <c r="K56" s="6" t="e">
        <f>+K55*5%</f>
        <v>#N/A</v>
      </c>
    </row>
    <row r="57" spans="2:12" x14ac:dyDescent="0.3">
      <c r="B57" s="21" t="s">
        <v>557</v>
      </c>
      <c r="C57" s="109" t="s">
        <v>188</v>
      </c>
      <c r="D57" s="48">
        <v>5</v>
      </c>
      <c r="E57" s="48">
        <v>0</v>
      </c>
      <c r="F57" s="48">
        <v>5</v>
      </c>
      <c r="G57" s="110">
        <f>+VLOOKUP(Tabla110345345445545647910813431[[#This Row],[Ingrediente]],Tabla34[#All],3,0)</f>
        <v>18.138999999999999</v>
      </c>
      <c r="H57" s="111">
        <f>+Tabla110345345445545647910813431[[#This Row],[Costo]]*Tabla110345345445545647910813431[[#This Row],[Unidades]]</f>
        <v>90.694999999999993</v>
      </c>
      <c r="I57" s="4"/>
      <c r="J57" s="5" t="s">
        <v>9</v>
      </c>
      <c r="K57" s="6" t="e">
        <f>+K55+K56</f>
        <v>#N/A</v>
      </c>
    </row>
    <row r="58" spans="2:12" x14ac:dyDescent="0.3">
      <c r="B58" s="21" t="s">
        <v>689</v>
      </c>
      <c r="C58" s="109" t="s">
        <v>188</v>
      </c>
      <c r="D58" s="48">
        <v>10</v>
      </c>
      <c r="E58" s="48">
        <v>0</v>
      </c>
      <c r="F58" s="48">
        <v>10</v>
      </c>
      <c r="G58" s="110">
        <f>+VLOOKUP(Tabla110345345445545647910813431[[#This Row],[Ingrediente]],Tabla34[#All],3,0)</f>
        <v>40.97</v>
      </c>
      <c r="H58" s="111">
        <f>+Tabla110345345445545647910813431[[#This Row],[Costo]]*Tabla110345345445545647910813431[[#This Row],[Unidades]]</f>
        <v>409.7</v>
      </c>
      <c r="I58" s="4"/>
      <c r="J58" s="17" t="s">
        <v>10</v>
      </c>
      <c r="K58" s="112">
        <v>58900</v>
      </c>
    </row>
    <row r="59" spans="2:12" x14ac:dyDescent="0.3">
      <c r="B59" s="7" t="s">
        <v>474</v>
      </c>
      <c r="C59" s="109" t="s">
        <v>188</v>
      </c>
      <c r="D59" s="48">
        <v>20</v>
      </c>
      <c r="E59" s="48">
        <v>0</v>
      </c>
      <c r="F59" s="48">
        <v>20</v>
      </c>
      <c r="G59" s="110">
        <f>+VLOOKUP(Tabla110345345445545647910813431[[#This Row],[Ingrediente]],Tabla34[#All],3,0)</f>
        <v>40.594999999999999</v>
      </c>
      <c r="H59" s="111">
        <f>+Tabla110345345445545647910813431[[#This Row],[Costo]]*Tabla110345345445545647910813431[[#This Row],[Unidades]]</f>
        <v>811.9</v>
      </c>
      <c r="I59" s="4"/>
      <c r="J59" s="5" t="s">
        <v>11</v>
      </c>
      <c r="K59" s="6">
        <f>+K58/1.08*0.08</f>
        <v>4362.9629629629626</v>
      </c>
    </row>
    <row r="60" spans="2:12" x14ac:dyDescent="0.3">
      <c r="B60" s="21" t="s">
        <v>413</v>
      </c>
      <c r="C60" s="109" t="s">
        <v>188</v>
      </c>
      <c r="D60" s="48">
        <v>100</v>
      </c>
      <c r="E60" s="48">
        <v>0</v>
      </c>
      <c r="F60" s="48">
        <v>100</v>
      </c>
      <c r="G60" s="110">
        <f>+VLOOKUP(Tabla110345345445545647910813431[[#This Row],[Ingrediente]],Tabla34[#All],3,0)</f>
        <v>17.00824742</v>
      </c>
      <c r="H60" s="111">
        <f>+Tabla110345345445545647910813431[[#This Row],[Costo]]*Tabla110345345445545647910813431[[#This Row],[Unidades]]</f>
        <v>1700.824742</v>
      </c>
      <c r="I60" s="4"/>
      <c r="J60" s="5" t="s">
        <v>12</v>
      </c>
      <c r="K60" s="6">
        <f>+K58-K59</f>
        <v>54537.037037037036</v>
      </c>
    </row>
    <row r="61" spans="2:12" x14ac:dyDescent="0.3">
      <c r="B61" s="7" t="s">
        <v>53</v>
      </c>
      <c r="C61" s="109" t="s">
        <v>188</v>
      </c>
      <c r="D61" s="48">
        <v>130</v>
      </c>
      <c r="E61" s="48">
        <v>0</v>
      </c>
      <c r="F61" s="48">
        <v>130</v>
      </c>
      <c r="G61" s="110">
        <f>+VLOOKUP(Tabla110345345445545647910813431[[#This Row],[Ingrediente]],Tabla34[#All],3,0)</f>
        <v>51.296296300000002</v>
      </c>
      <c r="H61" s="111">
        <f>+Tabla110345345445545647910813431[[#This Row],[Costo]]*Tabla110345345445545647910813431[[#This Row],[Unidades]]</f>
        <v>6668.5185190000002</v>
      </c>
      <c r="I61" s="4"/>
      <c r="J61" s="5" t="s">
        <v>13</v>
      </c>
      <c r="K61" s="113" t="e">
        <f>+K57/K60</f>
        <v>#N/A</v>
      </c>
    </row>
    <row r="62" spans="2:12" x14ac:dyDescent="0.3">
      <c r="B62" s="7" t="s">
        <v>376</v>
      </c>
      <c r="C62" s="109" t="s">
        <v>188</v>
      </c>
      <c r="D62" s="48">
        <v>20</v>
      </c>
      <c r="E62" s="48">
        <v>0</v>
      </c>
      <c r="F62" s="48">
        <v>20</v>
      </c>
      <c r="G62" s="110">
        <f>+VLOOKUP(Tabla110345345445545647910813431[[#This Row],[Ingrediente]],Tabla34[#All],3,0)</f>
        <v>60.98749999999999</v>
      </c>
      <c r="H62" s="111">
        <f>+Tabla110345345445545647910813431[[#This Row],[Costo]]*Tabla110345345445545647910813431[[#This Row],[Unidades]]</f>
        <v>1219.7499999999998</v>
      </c>
      <c r="I62" s="4"/>
      <c r="J62" s="5" t="s">
        <v>14</v>
      </c>
      <c r="K62" s="20" t="e">
        <f>+K60-K57</f>
        <v>#N/A</v>
      </c>
    </row>
    <row r="63" spans="2:12" x14ac:dyDescent="0.3">
      <c r="B63" s="7" t="s">
        <v>52</v>
      </c>
      <c r="C63" s="109" t="s">
        <v>188</v>
      </c>
      <c r="D63" s="48">
        <v>10</v>
      </c>
      <c r="E63" s="48">
        <v>0</v>
      </c>
      <c r="F63" s="48">
        <v>10</v>
      </c>
      <c r="G63" s="110">
        <f>+VLOOKUP(Tabla110345345445545647910813431[[#This Row],[Ingrediente]],Tabla34[#All],3,0)</f>
        <v>26.269315670000001</v>
      </c>
      <c r="H63" s="111">
        <f>+Tabla110345345445545647910813431[[#This Row],[Costo]]*Tabla110345345445545647910813431[[#This Row],[Unidades]]</f>
        <v>262.69315670000003</v>
      </c>
      <c r="I63" s="4"/>
      <c r="J63" s="5" t="s">
        <v>15</v>
      </c>
      <c r="K63" s="22" t="e">
        <f>+K62/K57</f>
        <v>#N/A</v>
      </c>
    </row>
    <row r="64" spans="2:12" x14ac:dyDescent="0.3">
      <c r="B64" s="7" t="s">
        <v>420</v>
      </c>
      <c r="C64" s="109" t="s">
        <v>188</v>
      </c>
      <c r="D64" s="48">
        <v>7</v>
      </c>
      <c r="E64" s="48">
        <v>0</v>
      </c>
      <c r="F64" s="48">
        <v>7</v>
      </c>
      <c r="G64" s="110">
        <f>+VLOOKUP(Tabla110345345445545647910813431[[#This Row],[Ingrediente]],Tabla34[#All],3,0)</f>
        <v>8.9250000000000007</v>
      </c>
      <c r="H64" s="111">
        <f>+Tabla110345345445545647910813431[[#This Row],[Costo]]*Tabla110345345445545647910813431[[#This Row],[Unidades]]</f>
        <v>62.475000000000009</v>
      </c>
      <c r="I64" s="4"/>
      <c r="J64" s="4"/>
      <c r="K64" s="114"/>
    </row>
    <row r="65" spans="2:12" x14ac:dyDescent="0.3">
      <c r="B65" s="21" t="s">
        <v>1286</v>
      </c>
      <c r="C65" s="109" t="s">
        <v>188</v>
      </c>
      <c r="D65" s="48">
        <v>10</v>
      </c>
      <c r="E65" s="48">
        <v>0</v>
      </c>
      <c r="F65" s="48">
        <v>10</v>
      </c>
      <c r="G65" s="110" t="e">
        <f>+VLOOKUP(Tabla110345345445545647910813431[[#This Row],[Ingrediente]],Tabla34[#All],3,0)</f>
        <v>#N/A</v>
      </c>
      <c r="H65" s="111" t="e">
        <f>+Tabla110345345445545647910813431[[#This Row],[Costo]]*Tabla110345345445545647910813431[[#This Row],[Unidades]]</f>
        <v>#N/A</v>
      </c>
      <c r="I65" s="4"/>
      <c r="J65" s="4"/>
      <c r="K65" s="114"/>
    </row>
    <row r="66" spans="2:12" x14ac:dyDescent="0.3">
      <c r="B66" s="21" t="s">
        <v>528</v>
      </c>
      <c r="C66" s="109" t="s">
        <v>188</v>
      </c>
      <c r="D66" s="48">
        <v>120</v>
      </c>
      <c r="E66" s="48">
        <v>0</v>
      </c>
      <c r="F66" s="48">
        <v>120</v>
      </c>
      <c r="G66" s="110">
        <f>+VLOOKUP(Tabla110345345445545647910813431[[#This Row],[Ingrediente]],Tabla34[#All],3,0)</f>
        <v>4.8201292200000001</v>
      </c>
      <c r="H66" s="111">
        <f>+Tabla110345345445545647910813431[[#This Row],[Costo]]*Tabla110345345445545647910813431[[#This Row],[Unidades]]</f>
        <v>578.41550640000003</v>
      </c>
      <c r="I66" s="4"/>
      <c r="J66" s="24"/>
      <c r="K66" s="24"/>
    </row>
    <row r="67" spans="2:12" x14ac:dyDescent="0.3">
      <c r="B67" s="7" t="s">
        <v>565</v>
      </c>
      <c r="C67" s="109" t="s">
        <v>188</v>
      </c>
      <c r="D67" s="48">
        <v>30</v>
      </c>
      <c r="E67" s="48">
        <v>0</v>
      </c>
      <c r="F67" s="48">
        <v>30</v>
      </c>
      <c r="G67" s="110">
        <f>+VLOOKUP(Tabla110345345445545647910813431[[#This Row],[Ingrediente]],Tabla34[#All],3,0)</f>
        <v>64.196281729999995</v>
      </c>
      <c r="H67" s="111">
        <f>+Tabla110345345445545647910813431[[#This Row],[Costo]]*Tabla110345345445545647910813431[[#This Row],[Unidades]]</f>
        <v>1925.8884518999998</v>
      </c>
      <c r="I67" s="4"/>
    </row>
    <row r="68" spans="2:12" x14ac:dyDescent="0.3">
      <c r="B68" s="7" t="s">
        <v>527</v>
      </c>
      <c r="C68" s="109" t="s">
        <v>188</v>
      </c>
      <c r="D68" s="48">
        <v>120</v>
      </c>
      <c r="E68" s="48">
        <v>0</v>
      </c>
      <c r="F68" s="48">
        <v>120</v>
      </c>
      <c r="G68" s="110">
        <f>+VLOOKUP(Tabla110345345445545647910813431[[#This Row],[Ingrediente]],Tabla34[#All],3,0)</f>
        <v>12.173055509999999</v>
      </c>
      <c r="H68" s="111">
        <f>+Tabla110345345445545647910813431[[#This Row],[Costo]]*Tabla110345345445545647910813431[[#This Row],[Unidades]]</f>
        <v>1460.7666611999998</v>
      </c>
      <c r="I68" s="24"/>
    </row>
    <row r="69" spans="2:12" x14ac:dyDescent="0.3">
      <c r="B69" s="7" t="s">
        <v>92</v>
      </c>
      <c r="C69" s="109" t="s">
        <v>188</v>
      </c>
      <c r="D69" s="270">
        <v>2</v>
      </c>
      <c r="E69" s="48">
        <v>0</v>
      </c>
      <c r="F69" s="48">
        <v>2</v>
      </c>
      <c r="G69" s="110">
        <f>+VLOOKUP(Tabla110345345445545647910813431[[#This Row],[Ingrediente]],Tabla34[#All],3,0)</f>
        <v>10.625185460000001</v>
      </c>
      <c r="H69" s="111">
        <f>+Tabla110345345445545647910813431[[#This Row],[Costo]]*Tabla110345345445545647910813431[[#This Row],[Unidades]]</f>
        <v>21.250370920000002</v>
      </c>
    </row>
    <row r="70" spans="2:12" x14ac:dyDescent="0.3">
      <c r="B70" s="7" t="s">
        <v>588</v>
      </c>
      <c r="C70" s="109" t="s">
        <v>188</v>
      </c>
      <c r="D70" s="270">
        <v>10</v>
      </c>
      <c r="E70" s="48">
        <v>0</v>
      </c>
      <c r="F70" s="48">
        <v>10</v>
      </c>
      <c r="G70" s="110">
        <f>+VLOOKUP(Tabla110345345445545647910813431[[#This Row],[Ingrediente]],Tabla34[#All],3,0)</f>
        <v>18.80280003</v>
      </c>
      <c r="H70" s="111">
        <f>+Tabla110345345445545647910813431[[#This Row],[Costo]]*Tabla110345345445545647910813431[[#This Row],[Unidades]]</f>
        <v>188.0280003</v>
      </c>
    </row>
    <row r="71" spans="2:12" x14ac:dyDescent="0.3">
      <c r="B71" s="13"/>
      <c r="C71" s="14"/>
      <c r="D71" s="14"/>
      <c r="E71" s="14"/>
      <c r="F71" s="14"/>
      <c r="G71" s="15"/>
      <c r="H71" s="15" t="e">
        <f>SUBTOTAL(109,Tabla110345345445545647910813431[Total costo])</f>
        <v>#N/A</v>
      </c>
    </row>
    <row r="72" spans="2:12" s="26" customFormat="1" x14ac:dyDescent="0.3">
      <c r="B72" s="45"/>
      <c r="C72" s="46"/>
      <c r="D72" s="46"/>
      <c r="E72" s="46"/>
      <c r="F72" s="46"/>
      <c r="G72" s="98"/>
      <c r="H72" s="98"/>
    </row>
    <row r="73" spans="2:12" x14ac:dyDescent="0.3">
      <c r="B73" s="1" t="s">
        <v>231</v>
      </c>
      <c r="C73" s="2"/>
      <c r="D73" s="2"/>
      <c r="E73" s="3"/>
      <c r="F73" s="3"/>
      <c r="G73" s="99"/>
      <c r="H73" s="99"/>
      <c r="J73" s="277" t="s">
        <v>0</v>
      </c>
      <c r="K73" s="277"/>
    </row>
    <row r="74" spans="2:12" x14ac:dyDescent="0.3">
      <c r="B74" s="91" t="s">
        <v>1</v>
      </c>
      <c r="C74" s="14" t="s">
        <v>2</v>
      </c>
      <c r="D74" s="14" t="s">
        <v>571</v>
      </c>
      <c r="E74" s="14" t="s">
        <v>572</v>
      </c>
      <c r="F74" s="14" t="s">
        <v>573</v>
      </c>
      <c r="G74" s="92" t="s">
        <v>4</v>
      </c>
      <c r="H74" s="92" t="s">
        <v>5</v>
      </c>
      <c r="J74" s="5" t="s">
        <v>6</v>
      </c>
      <c r="K74" s="6" t="e">
        <f>SUM(Tabla110345345445545647910813447[Total costo])</f>
        <v>#N/A</v>
      </c>
      <c r="L74" s="44"/>
    </row>
    <row r="75" spans="2:12" x14ac:dyDescent="0.3">
      <c r="B75" s="7" t="s">
        <v>445</v>
      </c>
      <c r="C75" s="109" t="s">
        <v>188</v>
      </c>
      <c r="D75" s="48">
        <v>10</v>
      </c>
      <c r="E75" s="48">
        <v>0</v>
      </c>
      <c r="F75" s="48">
        <v>10</v>
      </c>
      <c r="G75" s="110">
        <f>+VLOOKUP(Tabla110345345445545647910813447[[#This Row],[Ingrediente]],Tabla34[#All],3,0)</f>
        <v>39.472999999999999</v>
      </c>
      <c r="H75" s="111">
        <f>+Tabla110345345445545647910813447[[#This Row],[Costo]]*Tabla110345345445545647910813447[[#This Row],[Unidades]]</f>
        <v>394.73</v>
      </c>
      <c r="I75" s="4"/>
      <c r="J75" s="5" t="s">
        <v>113</v>
      </c>
      <c r="K75" s="6" t="e">
        <f>+K74*5%</f>
        <v>#N/A</v>
      </c>
    </row>
    <row r="76" spans="2:12" x14ac:dyDescent="0.3">
      <c r="B76" s="7" t="s">
        <v>442</v>
      </c>
      <c r="C76" s="109" t="s">
        <v>188</v>
      </c>
      <c r="D76" s="48">
        <v>2</v>
      </c>
      <c r="E76" s="48">
        <v>0</v>
      </c>
      <c r="F76" s="48">
        <v>2</v>
      </c>
      <c r="G76" s="110">
        <f>+VLOOKUP(Tabla110345345445545647910813447[[#This Row],[Ingrediente]],Tabla34[#All],3,0)</f>
        <v>20.111000000000001</v>
      </c>
      <c r="H76" s="111">
        <f>+Tabla110345345445545647910813447[[#This Row],[Costo]]*Tabla110345345445545647910813447[[#This Row],[Unidades]]</f>
        <v>40.222000000000001</v>
      </c>
      <c r="I76" s="4"/>
      <c r="J76" s="5" t="s">
        <v>9</v>
      </c>
      <c r="K76" s="6" t="e">
        <f>+K74+K75</f>
        <v>#N/A</v>
      </c>
    </row>
    <row r="77" spans="2:12" x14ac:dyDescent="0.3">
      <c r="B77" s="21" t="s">
        <v>1301</v>
      </c>
      <c r="C77" s="109" t="s">
        <v>570</v>
      </c>
      <c r="D77" s="48">
        <v>0.06</v>
      </c>
      <c r="E77" s="48">
        <v>0</v>
      </c>
      <c r="F77" s="48">
        <v>0.06</v>
      </c>
      <c r="G77" s="110" t="e">
        <f>+VLOOKUP(Tabla110345345445545647910813447[[#This Row],[Ingrediente]],Tabla34[#All],3,0)</f>
        <v>#N/A</v>
      </c>
      <c r="H77" s="111" t="e">
        <f>+Tabla110345345445545647910813447[[#This Row],[Costo]]*Tabla110345345445545647910813447[[#This Row],[Unidades]]</f>
        <v>#N/A</v>
      </c>
      <c r="I77" s="4"/>
      <c r="J77" s="17" t="s">
        <v>10</v>
      </c>
      <c r="K77" s="112">
        <v>54500</v>
      </c>
    </row>
    <row r="78" spans="2:12" x14ac:dyDescent="0.3">
      <c r="B78" s="21" t="s">
        <v>459</v>
      </c>
      <c r="C78" s="109" t="s">
        <v>188</v>
      </c>
      <c r="D78" s="48">
        <v>2</v>
      </c>
      <c r="E78" s="48">
        <v>0</v>
      </c>
      <c r="F78" s="48">
        <v>2</v>
      </c>
      <c r="G78" s="110">
        <f>+VLOOKUP(Tabla110345345445545647910813447[[#This Row],[Ingrediente]],Tabla34[#All],3,0)</f>
        <v>58.140352939999993</v>
      </c>
      <c r="H78" s="111">
        <f>+Tabla110345345445545647910813447[[#This Row],[Costo]]*Tabla110345345445545647910813447[[#This Row],[Unidades]]</f>
        <v>116.28070587999999</v>
      </c>
      <c r="I78" s="4"/>
      <c r="J78" s="5" t="s">
        <v>11</v>
      </c>
      <c r="K78" s="6">
        <f>+K77/1.08*0.08</f>
        <v>4037.0370370370365</v>
      </c>
    </row>
    <row r="79" spans="2:12" x14ac:dyDescent="0.3">
      <c r="B79" s="21" t="s">
        <v>368</v>
      </c>
      <c r="C79" s="109" t="s">
        <v>188</v>
      </c>
      <c r="D79" s="48">
        <v>150</v>
      </c>
      <c r="E79" s="48">
        <v>10</v>
      </c>
      <c r="F79" s="48">
        <v>166.667</v>
      </c>
      <c r="G79" s="110">
        <f>+VLOOKUP(Tabla110345345445545647910813447[[#This Row],[Ingrediente]],Tabla34[#All],3,0)</f>
        <v>37</v>
      </c>
      <c r="H79" s="111">
        <f>+Tabla110345345445545647910813447[[#This Row],[Costo]]*Tabla110345345445545647910813447[[#This Row],[Unidades]]</f>
        <v>6166.6790000000001</v>
      </c>
      <c r="I79" s="4"/>
      <c r="J79" s="5" t="s">
        <v>12</v>
      </c>
      <c r="K79" s="6">
        <f>+K77-K78</f>
        <v>50462.962962962964</v>
      </c>
    </row>
    <row r="80" spans="2:12" x14ac:dyDescent="0.3">
      <c r="B80" s="7" t="s">
        <v>35</v>
      </c>
      <c r="C80" s="109" t="s">
        <v>188</v>
      </c>
      <c r="D80" s="48">
        <v>30</v>
      </c>
      <c r="E80" s="48">
        <v>0</v>
      </c>
      <c r="F80" s="48">
        <v>30</v>
      </c>
      <c r="G80" s="110">
        <f>+VLOOKUP(Tabla110345345445545647910813447[[#This Row],[Ingrediente]],Tabla34[#All],3,0)</f>
        <v>4.7460000000000004</v>
      </c>
      <c r="H80" s="111">
        <f>+Tabla110345345445545647910813447[[#This Row],[Costo]]*Tabla110345345445545647910813447[[#This Row],[Unidades]]</f>
        <v>142.38000000000002</v>
      </c>
      <c r="I80" s="4"/>
      <c r="J80" s="5" t="s">
        <v>13</v>
      </c>
      <c r="K80" s="113" t="e">
        <f>+K76/K79</f>
        <v>#N/A</v>
      </c>
    </row>
    <row r="81" spans="2:11" x14ac:dyDescent="0.3">
      <c r="B81" s="21" t="s">
        <v>558</v>
      </c>
      <c r="C81" s="109" t="s">
        <v>570</v>
      </c>
      <c r="D81" s="48">
        <v>2</v>
      </c>
      <c r="E81" s="48">
        <v>0</v>
      </c>
      <c r="F81" s="48">
        <v>2</v>
      </c>
      <c r="G81" s="110">
        <f>+VLOOKUP(Tabla110345345445545647910813447[[#This Row],[Ingrediente]],Tabla34[#All],3,0)</f>
        <v>354.16666666999998</v>
      </c>
      <c r="H81" s="111">
        <f>+Tabla110345345445545647910813447[[#This Row],[Costo]]*Tabla110345345445545647910813447[[#This Row],[Unidades]]</f>
        <v>708.33333333999997</v>
      </c>
      <c r="I81" s="4"/>
      <c r="J81" s="5" t="s">
        <v>14</v>
      </c>
      <c r="K81" s="20" t="e">
        <f>+K79-K76</f>
        <v>#N/A</v>
      </c>
    </row>
    <row r="82" spans="2:11" x14ac:dyDescent="0.3">
      <c r="B82" s="21" t="s">
        <v>482</v>
      </c>
      <c r="C82" s="109" t="s">
        <v>188</v>
      </c>
      <c r="D82" s="48">
        <v>5</v>
      </c>
      <c r="E82" s="48">
        <v>0</v>
      </c>
      <c r="F82" s="48">
        <v>5</v>
      </c>
      <c r="G82" s="110">
        <f>+VLOOKUP(Tabla110345345445545647910813447[[#This Row],[Ingrediente]],Tabla34[#All],3,0)</f>
        <v>2.6999075600000002</v>
      </c>
      <c r="H82" s="111">
        <f>+Tabla110345345445545647910813447[[#This Row],[Costo]]*Tabla110345345445545647910813447[[#This Row],[Unidades]]</f>
        <v>13.499537800000001</v>
      </c>
      <c r="I82" s="4"/>
      <c r="J82" s="5" t="s">
        <v>15</v>
      </c>
      <c r="K82" s="22" t="e">
        <f>+K81/K76</f>
        <v>#N/A</v>
      </c>
    </row>
    <row r="83" spans="2:11" x14ac:dyDescent="0.3">
      <c r="B83" s="7" t="s">
        <v>465</v>
      </c>
      <c r="C83" s="109" t="s">
        <v>188</v>
      </c>
      <c r="D83" s="48">
        <v>60</v>
      </c>
      <c r="E83" s="48">
        <v>0</v>
      </c>
      <c r="F83" s="48">
        <v>60</v>
      </c>
      <c r="G83" s="110">
        <f>+VLOOKUP(Tabla110345345445545647910813447[[#This Row],[Ingrediente]],Tabla34[#All],3,0)</f>
        <v>12.761458230000001</v>
      </c>
      <c r="H83" s="111">
        <f>+Tabla110345345445545647910813447[[#This Row],[Costo]]*Tabla110345345445545647910813447[[#This Row],[Unidades]]</f>
        <v>765.68749380000008</v>
      </c>
      <c r="I83" s="4"/>
      <c r="J83" s="4"/>
      <c r="K83" s="29"/>
    </row>
    <row r="84" spans="2:11" x14ac:dyDescent="0.3">
      <c r="B84" s="7" t="s">
        <v>528</v>
      </c>
      <c r="C84" s="109" t="s">
        <v>188</v>
      </c>
      <c r="D84" s="48">
        <v>80</v>
      </c>
      <c r="E84" s="48">
        <v>0</v>
      </c>
      <c r="F84" s="48">
        <v>80</v>
      </c>
      <c r="G84" s="110">
        <f>+VLOOKUP(Tabla110345345445545647910813447[[#This Row],[Ingrediente]],Tabla34[#All],3,0)</f>
        <v>4.8201292200000001</v>
      </c>
      <c r="H84" s="111">
        <f>+Tabla110345345445545647910813447[[#This Row],[Costo]]*Tabla110345345445545647910813447[[#This Row],[Unidades]]</f>
        <v>385.61033759999998</v>
      </c>
      <c r="I84" s="4"/>
    </row>
    <row r="85" spans="2:11" x14ac:dyDescent="0.3">
      <c r="B85" s="7" t="s">
        <v>95</v>
      </c>
      <c r="C85" s="109" t="s">
        <v>188</v>
      </c>
      <c r="D85" s="48">
        <v>70</v>
      </c>
      <c r="E85" s="48">
        <v>0</v>
      </c>
      <c r="F85" s="48">
        <v>70</v>
      </c>
      <c r="G85" s="110">
        <f>+VLOOKUP(Tabla110345345445545647910813447[[#This Row],[Ingrediente]],Tabla34[#All],3,0)</f>
        <v>4.5393523800000004</v>
      </c>
      <c r="H85" s="111">
        <f>+Tabla110345345445545647910813447[[#This Row],[Costo]]*Tabla110345345445545647910813447[[#This Row],[Unidades]]</f>
        <v>317.75466660000001</v>
      </c>
      <c r="I85" s="4"/>
    </row>
    <row r="86" spans="2:11" x14ac:dyDescent="0.3">
      <c r="B86" s="7" t="s">
        <v>526</v>
      </c>
      <c r="C86" s="109" t="s">
        <v>188</v>
      </c>
      <c r="D86" s="48">
        <v>20</v>
      </c>
      <c r="E86" s="48">
        <v>0</v>
      </c>
      <c r="F86" s="48">
        <v>20</v>
      </c>
      <c r="G86" s="110">
        <f>+VLOOKUP(Tabla110345345445545647910813447[[#This Row],[Ingrediente]],Tabla34[#All],3,0)</f>
        <v>23.747277729999997</v>
      </c>
      <c r="H86" s="111">
        <f>+Tabla110345345445545647910813447[[#This Row],[Costo]]*Tabla110345345445545647910813447[[#This Row],[Unidades]]</f>
        <v>474.94555459999992</v>
      </c>
      <c r="I86" s="4"/>
    </row>
    <row r="87" spans="2:11" x14ac:dyDescent="0.3">
      <c r="B87" s="7" t="s">
        <v>449</v>
      </c>
      <c r="C87" s="109" t="s">
        <v>188</v>
      </c>
      <c r="D87" s="48">
        <v>60</v>
      </c>
      <c r="E87" s="48">
        <v>0</v>
      </c>
      <c r="F87" s="48">
        <v>60</v>
      </c>
      <c r="G87" s="110">
        <f>+VLOOKUP(Tabla110345345445545647910813447[[#This Row],[Ingrediente]],Tabla34[#All],3,0)</f>
        <v>23.317903900000001</v>
      </c>
      <c r="H87" s="111">
        <f>+Tabla110345345445545647910813447[[#This Row],[Costo]]*Tabla110345345445545647910813447[[#This Row],[Unidades]]</f>
        <v>1399.0742340000002</v>
      </c>
      <c r="I87" s="4"/>
    </row>
    <row r="88" spans="2:11" x14ac:dyDescent="0.3">
      <c r="B88" s="7" t="s">
        <v>92</v>
      </c>
      <c r="C88" s="109" t="s">
        <v>188</v>
      </c>
      <c r="D88" s="48">
        <v>2</v>
      </c>
      <c r="E88" s="48">
        <v>0</v>
      </c>
      <c r="F88" s="48">
        <v>2</v>
      </c>
      <c r="G88" s="110">
        <f>+VLOOKUP(Tabla110345345445545647910813447[[#This Row],[Ingrediente]],Tabla34[#All],3,0)</f>
        <v>10.625185460000001</v>
      </c>
      <c r="H88" s="111">
        <f>+Tabla110345345445545647910813447[[#This Row],[Costo]]*Tabla110345345445545647910813447[[#This Row],[Unidades]]</f>
        <v>21.250370920000002</v>
      </c>
      <c r="I88" s="4"/>
    </row>
    <row r="89" spans="2:11" x14ac:dyDescent="0.3">
      <c r="B89" s="7" t="s">
        <v>104</v>
      </c>
      <c r="C89" s="109" t="s">
        <v>188</v>
      </c>
      <c r="D89" s="48">
        <v>150</v>
      </c>
      <c r="E89" s="48">
        <v>0</v>
      </c>
      <c r="F89" s="48">
        <v>150</v>
      </c>
      <c r="G89" s="110">
        <f>+VLOOKUP(Tabla110345345445545647910813447[[#This Row],[Ingrediente]],Tabla34[#All],3,0)</f>
        <v>10.506526450000001</v>
      </c>
      <c r="H89" s="111">
        <f>+Tabla110345345445545647910813447[[#This Row],[Costo]]*Tabla110345345445545647910813447[[#This Row],[Unidades]]</f>
        <v>1575.9789675000002</v>
      </c>
      <c r="I89" s="4"/>
    </row>
    <row r="90" spans="2:11" x14ac:dyDescent="0.3">
      <c r="B90" s="7" t="s">
        <v>1285</v>
      </c>
      <c r="C90" s="109" t="s">
        <v>188</v>
      </c>
      <c r="D90" s="48">
        <v>20</v>
      </c>
      <c r="E90" s="48">
        <v>0</v>
      </c>
      <c r="F90" s="48">
        <v>20</v>
      </c>
      <c r="G90" s="110" t="e">
        <f>+VLOOKUP(Tabla110345345445545647910813447[[#This Row],[Ingrediente]],Tabla34[#All],3,0)</f>
        <v>#N/A</v>
      </c>
      <c r="H90" s="111" t="e">
        <f>+Tabla110345345445545647910813447[[#This Row],[Costo]]*Tabla110345345445545647910813447[[#This Row],[Unidades]]</f>
        <v>#N/A</v>
      </c>
      <c r="I90" s="4"/>
    </row>
    <row r="91" spans="2:11" x14ac:dyDescent="0.3">
      <c r="B91" s="7" t="s">
        <v>1307</v>
      </c>
      <c r="C91" s="109" t="s">
        <v>570</v>
      </c>
      <c r="D91" s="48">
        <v>1</v>
      </c>
      <c r="E91" s="48">
        <v>0</v>
      </c>
      <c r="F91" s="48">
        <v>1</v>
      </c>
      <c r="G91" s="110" t="e">
        <f>+VLOOKUP(Tabla110345345445545647910813447[[#This Row],[Ingrediente]],Tabla34[#All],3,0)</f>
        <v>#N/A</v>
      </c>
      <c r="H91" s="111" t="e">
        <f>+Tabla110345345445545647910813447[[#This Row],[Costo]]*Tabla110345345445545647910813447[[#This Row],[Unidades]]</f>
        <v>#N/A</v>
      </c>
      <c r="I91" s="4"/>
    </row>
    <row r="92" spans="2:11" x14ac:dyDescent="0.3">
      <c r="B92" s="7" t="s">
        <v>476</v>
      </c>
      <c r="C92" s="109" t="s">
        <v>188</v>
      </c>
      <c r="D92" s="48">
        <v>20</v>
      </c>
      <c r="E92" s="48">
        <v>30</v>
      </c>
      <c r="F92" s="48">
        <v>28.571000000000002</v>
      </c>
      <c r="G92" s="110">
        <f>+VLOOKUP(Tabla110345345445545647910813447[[#This Row],[Ingrediente]],Tabla34[#All],3,0)</f>
        <v>2.5</v>
      </c>
      <c r="H92" s="111">
        <f>+Tabla110345345445545647910813447[[#This Row],[Costo]]*Tabla110345345445545647910813447[[#This Row],[Unidades]]</f>
        <v>71.427500000000009</v>
      </c>
      <c r="I92" s="4"/>
    </row>
    <row r="93" spans="2:11" x14ac:dyDescent="0.3">
      <c r="B93" s="13"/>
      <c r="C93" s="14"/>
      <c r="D93" s="14"/>
      <c r="E93" s="14"/>
      <c r="F93" s="14"/>
      <c r="G93" s="15"/>
      <c r="H93" s="15" t="e">
        <f>SUBTOTAL(109,Tabla110345345445545647910813447[Total costo])</f>
        <v>#N/A</v>
      </c>
      <c r="I93" s="4"/>
    </row>
    <row r="95" spans="2:11" x14ac:dyDescent="0.3">
      <c r="B95" s="45"/>
      <c r="C95" s="46"/>
      <c r="D95" s="46"/>
      <c r="E95" s="46"/>
      <c r="F95" s="46"/>
      <c r="G95" s="98"/>
      <c r="H95" s="98"/>
      <c r="J95" s="26"/>
      <c r="K95" s="26"/>
    </row>
    <row r="96" spans="2:11" s="26" customFormat="1" x14ac:dyDescent="0.3">
      <c r="B96" s="1" t="s">
        <v>934</v>
      </c>
      <c r="C96" s="2"/>
      <c r="D96" s="2"/>
      <c r="E96" s="3"/>
      <c r="F96" s="3"/>
      <c r="G96" s="99"/>
      <c r="H96" s="99"/>
      <c r="J96" s="277" t="s">
        <v>0</v>
      </c>
      <c r="K96" s="277"/>
    </row>
    <row r="97" spans="2:11" s="26" customFormat="1" x14ac:dyDescent="0.3">
      <c r="B97" s="91" t="s">
        <v>1</v>
      </c>
      <c r="C97" s="14" t="s">
        <v>2</v>
      </c>
      <c r="D97" s="14" t="s">
        <v>571</v>
      </c>
      <c r="E97" s="14" t="s">
        <v>572</v>
      </c>
      <c r="F97" s="14" t="s">
        <v>573</v>
      </c>
      <c r="G97" s="92" t="s">
        <v>4</v>
      </c>
      <c r="H97" s="92" t="s">
        <v>5</v>
      </c>
      <c r="J97" s="5" t="s">
        <v>6</v>
      </c>
      <c r="K97" s="6">
        <f>SUM(Tabla11034534544554564791081345277[Total costo])</f>
        <v>14960.321356399998</v>
      </c>
    </row>
    <row r="98" spans="2:11" x14ac:dyDescent="0.3">
      <c r="B98" s="7" t="s">
        <v>470</v>
      </c>
      <c r="C98" s="109" t="s">
        <v>188</v>
      </c>
      <c r="D98" s="48">
        <v>8</v>
      </c>
      <c r="E98" s="48">
        <v>10</v>
      </c>
      <c r="F98" s="48">
        <v>8.8889999999999993</v>
      </c>
      <c r="G98" s="110">
        <f>+VLOOKUP(Tabla11034534544554564791081345277[[#This Row],[Ingrediente]],Tabla34[#All],3,0)</f>
        <v>8</v>
      </c>
      <c r="H98" s="111">
        <f>+Tabla11034534544554564791081345277[[#This Row],[Costo]]*Tabla11034534544554564791081345277[[#This Row],[Unidades]]</f>
        <v>71.111999999999995</v>
      </c>
      <c r="I98" s="4"/>
      <c r="J98" s="5" t="s">
        <v>113</v>
      </c>
      <c r="K98" s="6">
        <f>+K97*5%</f>
        <v>748.01606781999999</v>
      </c>
    </row>
    <row r="99" spans="2:11" x14ac:dyDescent="0.3">
      <c r="B99" s="7" t="s">
        <v>373</v>
      </c>
      <c r="C99" s="109" t="s">
        <v>570</v>
      </c>
      <c r="D99" s="48">
        <v>3</v>
      </c>
      <c r="E99" s="48">
        <v>0</v>
      </c>
      <c r="F99" s="48">
        <v>3</v>
      </c>
      <c r="G99" s="110">
        <f>+VLOOKUP(Tabla11034534544554564791081345277[[#This Row],[Ingrediente]],Tabla34[#All],3,0)</f>
        <v>485.71428571000001</v>
      </c>
      <c r="H99" s="111">
        <f>+Tabla11034534544554564791081345277[[#This Row],[Costo]]*Tabla11034534544554564791081345277[[#This Row],[Unidades]]</f>
        <v>1457.14285713</v>
      </c>
      <c r="I99" s="4"/>
      <c r="J99" s="5" t="s">
        <v>9</v>
      </c>
      <c r="K99" s="6">
        <f>+K97+K98</f>
        <v>15708.337424219997</v>
      </c>
    </row>
    <row r="100" spans="2:11" x14ac:dyDescent="0.3">
      <c r="B100" s="21" t="s">
        <v>490</v>
      </c>
      <c r="C100" s="109" t="s">
        <v>188</v>
      </c>
      <c r="D100" s="48">
        <v>12</v>
      </c>
      <c r="E100" s="48">
        <v>30</v>
      </c>
      <c r="F100" s="48">
        <v>17.143000000000001</v>
      </c>
      <c r="G100" s="110">
        <f>+VLOOKUP(Tabla11034534544554564791081345277[[#This Row],[Ingrediente]],Tabla34[#All],3,0)</f>
        <v>5</v>
      </c>
      <c r="H100" s="111">
        <f>+Tabla11034534544554564791081345277[[#This Row],[Costo]]*Tabla11034534544554564791081345277[[#This Row],[Unidades]]</f>
        <v>85.715000000000003</v>
      </c>
      <c r="I100" s="4"/>
      <c r="J100" s="17" t="s">
        <v>10</v>
      </c>
      <c r="K100" s="112">
        <v>62000</v>
      </c>
    </row>
    <row r="101" spans="2:11" x14ac:dyDescent="0.3">
      <c r="B101" s="21" t="s">
        <v>446</v>
      </c>
      <c r="C101" s="109" t="s">
        <v>188</v>
      </c>
      <c r="D101" s="48">
        <v>4</v>
      </c>
      <c r="E101" s="48">
        <v>40</v>
      </c>
      <c r="F101" s="48">
        <v>6.6669999999999998</v>
      </c>
      <c r="G101" s="110">
        <f>+VLOOKUP(Tabla11034534544554564791081345277[[#This Row],[Ingrediente]],Tabla34[#All],3,0)</f>
        <v>5.5</v>
      </c>
      <c r="H101" s="111">
        <f>+Tabla11034534544554564791081345277[[#This Row],[Costo]]*Tabla11034534544554564791081345277[[#This Row],[Unidades]]</f>
        <v>36.668500000000002</v>
      </c>
      <c r="I101" s="4"/>
      <c r="J101" s="5" t="s">
        <v>11</v>
      </c>
      <c r="K101" s="6">
        <f>+K100/1.08*0.08</f>
        <v>4592.5925925925922</v>
      </c>
    </row>
    <row r="102" spans="2:11" x14ac:dyDescent="0.3">
      <c r="B102" s="7" t="s">
        <v>459</v>
      </c>
      <c r="C102" s="109" t="s">
        <v>188</v>
      </c>
      <c r="D102" s="48">
        <v>1</v>
      </c>
      <c r="E102" s="48">
        <v>0</v>
      </c>
      <c r="F102" s="48">
        <v>1</v>
      </c>
      <c r="G102" s="110">
        <f>+VLOOKUP(Tabla11034534544554564791081345277[[#This Row],[Ingrediente]],Tabla34[#All],3,0)</f>
        <v>58.140352939999993</v>
      </c>
      <c r="H102" s="111">
        <f>+Tabla11034534544554564791081345277[[#This Row],[Costo]]*Tabla11034534544554564791081345277[[#This Row],[Unidades]]</f>
        <v>58.140352939999993</v>
      </c>
      <c r="I102" s="4"/>
      <c r="J102" s="5" t="s">
        <v>12</v>
      </c>
      <c r="K102" s="6">
        <f>+K100-K101</f>
        <v>57407.407407407409</v>
      </c>
    </row>
    <row r="103" spans="2:11" x14ac:dyDescent="0.3">
      <c r="B103" s="7" t="s">
        <v>368</v>
      </c>
      <c r="C103" s="109" t="s">
        <v>188</v>
      </c>
      <c r="D103" s="48">
        <v>60</v>
      </c>
      <c r="E103" s="48">
        <v>10</v>
      </c>
      <c r="F103" s="48">
        <v>66.667000000000002</v>
      </c>
      <c r="G103" s="110">
        <f>+VLOOKUP(Tabla11034534544554564791081345277[[#This Row],[Ingrediente]],Tabla34[#All],3,0)</f>
        <v>37</v>
      </c>
      <c r="H103" s="111">
        <f>+Tabla11034534544554564791081345277[[#This Row],[Costo]]*Tabla11034534544554564791081345277[[#This Row],[Unidades]]</f>
        <v>2466.6790000000001</v>
      </c>
      <c r="I103" s="4"/>
      <c r="J103" s="5" t="s">
        <v>13</v>
      </c>
      <c r="K103" s="113">
        <f>+K99/K102</f>
        <v>0.27362910351867092</v>
      </c>
    </row>
    <row r="104" spans="2:11" x14ac:dyDescent="0.3">
      <c r="B104" s="7" t="s">
        <v>394</v>
      </c>
      <c r="C104" s="109" t="s">
        <v>188</v>
      </c>
      <c r="D104" s="48">
        <v>40</v>
      </c>
      <c r="E104" s="48">
        <v>78</v>
      </c>
      <c r="F104" s="48">
        <v>181.81800000000001</v>
      </c>
      <c r="G104" s="110">
        <f>+VLOOKUP(Tabla11034534544554564791081345277[[#This Row],[Ingrediente]],Tabla34[#All],3,0)</f>
        <v>4.5</v>
      </c>
      <c r="H104" s="111">
        <f>+Tabla11034534544554564791081345277[[#This Row],[Costo]]*Tabla11034534544554564791081345277[[#This Row],[Unidades]]</f>
        <v>818.18100000000004</v>
      </c>
      <c r="I104" s="4"/>
      <c r="J104" s="5" t="s">
        <v>14</v>
      </c>
      <c r="K104" s="20">
        <f>+K102-K99</f>
        <v>41699.069983187408</v>
      </c>
    </row>
    <row r="105" spans="2:11" x14ac:dyDescent="0.3">
      <c r="B105" s="21" t="s">
        <v>376</v>
      </c>
      <c r="C105" s="109" t="s">
        <v>188</v>
      </c>
      <c r="D105" s="48">
        <v>21</v>
      </c>
      <c r="E105" s="48">
        <v>0</v>
      </c>
      <c r="F105" s="48">
        <v>21</v>
      </c>
      <c r="G105" s="110">
        <f>+VLOOKUP(Tabla11034534544554564791081345277[[#This Row],[Ingrediente]],Tabla34[#All],3,0)</f>
        <v>60.98749999999999</v>
      </c>
      <c r="H105" s="111">
        <f>+Tabla11034534544554564791081345277[[#This Row],[Costo]]*Tabla11034534544554564791081345277[[#This Row],[Unidades]]</f>
        <v>1280.7374999999997</v>
      </c>
      <c r="I105" s="4"/>
      <c r="J105" s="5" t="s">
        <v>15</v>
      </c>
      <c r="K105" s="22">
        <f>+K104/K99</f>
        <v>2.6545820131730453</v>
      </c>
    </row>
    <row r="106" spans="2:11" x14ac:dyDescent="0.3">
      <c r="B106" s="7" t="s">
        <v>482</v>
      </c>
      <c r="C106" s="109" t="s">
        <v>188</v>
      </c>
      <c r="D106" s="48">
        <v>3</v>
      </c>
      <c r="E106" s="48">
        <v>0</v>
      </c>
      <c r="F106" s="48">
        <v>3</v>
      </c>
      <c r="G106" s="110">
        <f>+VLOOKUP(Tabla11034534544554564791081345277[[#This Row],[Ingrediente]],Tabla34[#All],3,0)</f>
        <v>2.6999075600000002</v>
      </c>
      <c r="H106" s="111">
        <f>+Tabla11034534544554564791081345277[[#This Row],[Costo]]*Tabla11034534544554564791081345277[[#This Row],[Unidades]]</f>
        <v>8.0997226800000011</v>
      </c>
      <c r="I106" s="4"/>
      <c r="J106" s="4"/>
      <c r="K106" s="114"/>
    </row>
    <row r="107" spans="2:11" x14ac:dyDescent="0.3">
      <c r="B107" s="7" t="s">
        <v>420</v>
      </c>
      <c r="C107" s="109" t="s">
        <v>188</v>
      </c>
      <c r="D107" s="48">
        <v>20</v>
      </c>
      <c r="E107" s="48">
        <v>0</v>
      </c>
      <c r="F107" s="48">
        <v>20</v>
      </c>
      <c r="G107" s="110">
        <f>+VLOOKUP(Tabla11034534544554564791081345277[[#This Row],[Ingrediente]],Tabla34[#All],3,0)</f>
        <v>8.9250000000000007</v>
      </c>
      <c r="H107" s="111">
        <f>+Tabla11034534544554564791081345277[[#This Row],[Costo]]*Tabla11034534544554564791081345277[[#This Row],[Unidades]]</f>
        <v>178.5</v>
      </c>
      <c r="I107" s="4"/>
      <c r="J107" s="4"/>
      <c r="K107" s="114"/>
    </row>
    <row r="108" spans="2:11" x14ac:dyDescent="0.3">
      <c r="B108" s="7" t="s">
        <v>528</v>
      </c>
      <c r="C108" s="109" t="s">
        <v>188</v>
      </c>
      <c r="D108" s="48">
        <v>100</v>
      </c>
      <c r="E108" s="48">
        <v>0</v>
      </c>
      <c r="F108" s="48">
        <v>100</v>
      </c>
      <c r="G108" s="110">
        <f>+VLOOKUP(Tabla11034534544554564791081345277[[#This Row],[Ingrediente]],Tabla34[#All],3,0)</f>
        <v>4.8201292200000001</v>
      </c>
      <c r="H108" s="111">
        <f>+Tabla11034534544554564791081345277[[#This Row],[Costo]]*Tabla11034534544554564791081345277[[#This Row],[Unidades]]</f>
        <v>482.012922</v>
      </c>
      <c r="I108" s="4"/>
      <c r="J108" s="24"/>
      <c r="K108" s="24"/>
    </row>
    <row r="109" spans="2:11" x14ac:dyDescent="0.3">
      <c r="B109" s="21" t="s">
        <v>74</v>
      </c>
      <c r="C109" s="109" t="s">
        <v>188</v>
      </c>
      <c r="D109" s="48">
        <v>30</v>
      </c>
      <c r="E109" s="48">
        <v>0</v>
      </c>
      <c r="F109" s="48">
        <v>30</v>
      </c>
      <c r="G109" s="110">
        <f>+VLOOKUP(Tabla11034534544554564791081345277[[#This Row],[Ingrediente]],Tabla34[#All],3,0)</f>
        <v>12.25316591</v>
      </c>
      <c r="H109" s="111">
        <f>+Tabla11034534544554564791081345277[[#This Row],[Costo]]*Tabla11034534544554564791081345277[[#This Row],[Unidades]]</f>
        <v>367.59497729999998</v>
      </c>
      <c r="I109" s="4"/>
    </row>
    <row r="110" spans="2:11" x14ac:dyDescent="0.3">
      <c r="B110" s="7" t="s">
        <v>449</v>
      </c>
      <c r="C110" s="109" t="s">
        <v>188</v>
      </c>
      <c r="D110" s="48">
        <v>80</v>
      </c>
      <c r="E110" s="48">
        <v>0</v>
      </c>
      <c r="F110" s="48">
        <v>80</v>
      </c>
      <c r="G110" s="110">
        <f>+VLOOKUP(Tabla11034534544554564791081345277[[#This Row],[Ingrediente]],Tabla34[#All],3,0)</f>
        <v>23.317903900000001</v>
      </c>
      <c r="H110" s="111">
        <f>+Tabla11034534544554564791081345277[[#This Row],[Costo]]*Tabla11034534544554564791081345277[[#This Row],[Unidades]]</f>
        <v>1865.4323120000001</v>
      </c>
      <c r="I110" s="24"/>
    </row>
    <row r="111" spans="2:11" x14ac:dyDescent="0.3">
      <c r="B111" s="21" t="s">
        <v>533</v>
      </c>
      <c r="C111" s="109" t="s">
        <v>570</v>
      </c>
      <c r="D111" s="48">
        <v>1</v>
      </c>
      <c r="E111" s="48">
        <v>0</v>
      </c>
      <c r="F111" s="48">
        <v>1</v>
      </c>
      <c r="G111" s="110">
        <f>+VLOOKUP(Tabla11034534544554564791081345277[[#This Row],[Ingrediente]],Tabla34[#All],3,0)</f>
        <v>4002.0382164999996</v>
      </c>
      <c r="H111" s="111">
        <f>+Tabla11034534544554564791081345277[[#This Row],[Costo]]*Tabla11034534544554564791081345277[[#This Row],[Unidades]]</f>
        <v>4002.0382164999996</v>
      </c>
    </row>
    <row r="112" spans="2:11" x14ac:dyDescent="0.3">
      <c r="B112" s="7" t="s">
        <v>398</v>
      </c>
      <c r="C112" s="109" t="s">
        <v>188</v>
      </c>
      <c r="D112" s="48">
        <v>20</v>
      </c>
      <c r="E112" s="48">
        <v>27</v>
      </c>
      <c r="F112" s="48">
        <v>27.396999999999998</v>
      </c>
      <c r="G112" s="110">
        <f>+VLOOKUP(Tabla11034534544554564791081345277[[#This Row],[Ingrediente]],Tabla34[#All],3,0)</f>
        <v>3.7999999999999994</v>
      </c>
      <c r="H112" s="111">
        <f>+Tabla11034534544554564791081345277[[#This Row],[Costo]]*Tabla11034534544554564791081345277[[#This Row],[Unidades]]</f>
        <v>104.10859999999998</v>
      </c>
    </row>
    <row r="113" spans="2:8" x14ac:dyDescent="0.3">
      <c r="B113" s="7" t="s">
        <v>341</v>
      </c>
      <c r="C113" s="109" t="s">
        <v>188</v>
      </c>
      <c r="D113" s="48">
        <v>10</v>
      </c>
      <c r="E113" s="48">
        <v>0</v>
      </c>
      <c r="F113" s="48">
        <v>10</v>
      </c>
      <c r="G113" s="110">
        <f>+VLOOKUP(Tabla11034534544554564791081345277[[#This Row],[Ingrediente]],Tabla34[#All],3,0)</f>
        <v>12.80723817</v>
      </c>
      <c r="H113" s="111">
        <f>+Tabla11034534544554564791081345277[[#This Row],[Costo]]*Tabla11034534544554564791081345277[[#This Row],[Unidades]]</f>
        <v>128.07238169999999</v>
      </c>
    </row>
    <row r="114" spans="2:8" x14ac:dyDescent="0.3">
      <c r="B114" s="7" t="s">
        <v>662</v>
      </c>
      <c r="C114" s="109" t="s">
        <v>188</v>
      </c>
      <c r="D114" s="48">
        <v>10</v>
      </c>
      <c r="E114" s="48">
        <v>0</v>
      </c>
      <c r="F114" s="48">
        <v>10</v>
      </c>
      <c r="G114" s="110">
        <f>+VLOOKUP(Tabla11034534544554564791081345277[[#This Row],[Ingrediente]],Tabla34[#All],3,0)</f>
        <v>11.90893019</v>
      </c>
      <c r="H114" s="111">
        <f>+Tabla11034534544554564791081345277[[#This Row],[Costo]]*Tabla11034534544554564791081345277[[#This Row],[Unidades]]</f>
        <v>119.0893019</v>
      </c>
    </row>
    <row r="115" spans="2:8" x14ac:dyDescent="0.3">
      <c r="B115" s="7" t="s">
        <v>480</v>
      </c>
      <c r="C115" s="109" t="s">
        <v>188</v>
      </c>
      <c r="D115" s="48">
        <v>1</v>
      </c>
      <c r="E115" s="48">
        <v>0</v>
      </c>
      <c r="F115" s="48">
        <v>1</v>
      </c>
      <c r="G115" s="110">
        <f>+VLOOKUP(Tabla11034534544554564791081345277[[#This Row],[Ingrediente]],Tabla34[#All],3,0)</f>
        <v>328.34</v>
      </c>
      <c r="H115" s="111">
        <f>+Tabla11034534544554564791081345277[[#This Row],[Costo]]*Tabla11034534544554564791081345277[[#This Row],[Unidades]]</f>
        <v>328.34</v>
      </c>
    </row>
    <row r="116" spans="2:8" x14ac:dyDescent="0.3">
      <c r="B116" s="7" t="s">
        <v>226</v>
      </c>
      <c r="C116" s="109" t="s">
        <v>188</v>
      </c>
      <c r="D116" s="48">
        <v>50</v>
      </c>
      <c r="E116" s="48">
        <v>0</v>
      </c>
      <c r="F116" s="48">
        <v>50</v>
      </c>
      <c r="G116" s="110">
        <f>+VLOOKUP(Tabla11034534544554564791081345277[[#This Row],[Ingrediente]],Tabla34[#All],3,0)</f>
        <v>10.179495380000001</v>
      </c>
      <c r="H116" s="111">
        <f>+Tabla11034534544554564791081345277[[#This Row],[Costo]]*Tabla11034534544554564791081345277[[#This Row],[Unidades]]</f>
        <v>508.97476900000004</v>
      </c>
    </row>
    <row r="117" spans="2:8" x14ac:dyDescent="0.3">
      <c r="B117" s="7" t="s">
        <v>526</v>
      </c>
      <c r="C117" s="109" t="s">
        <v>188</v>
      </c>
      <c r="D117" s="270">
        <v>25</v>
      </c>
      <c r="E117" s="48">
        <v>0</v>
      </c>
      <c r="F117" s="48">
        <v>25</v>
      </c>
      <c r="G117" s="110">
        <f>+VLOOKUP(Tabla11034534544554564791081345277[[#This Row],[Ingrediente]],Tabla34[#All],3,0)</f>
        <v>23.747277729999997</v>
      </c>
      <c r="H117" s="111">
        <f>+Tabla11034534544554564791081345277[[#This Row],[Costo]]*Tabla11034534544554564791081345277[[#This Row],[Unidades]]</f>
        <v>593.6819432499999</v>
      </c>
    </row>
    <row r="118" spans="2:8" x14ac:dyDescent="0.3">
      <c r="B118" s="13"/>
      <c r="C118" s="14"/>
      <c r="D118" s="14"/>
      <c r="E118" s="14"/>
      <c r="F118" s="14"/>
      <c r="G118" s="15"/>
      <c r="H118" s="15">
        <f>SUBTOTAL(109,Tabla11034534544554564791081345277[Total costo])</f>
        <v>14960.321356399998</v>
      </c>
    </row>
  </sheetData>
  <mergeCells count="5">
    <mergeCell ref="J96:K96"/>
    <mergeCell ref="J7:K7"/>
    <mergeCell ref="J33:K33"/>
    <mergeCell ref="J54:K54"/>
    <mergeCell ref="J73:K73"/>
  </mergeCells>
  <conditionalFormatting sqref="K14">
    <cfRule type="cellIs" dxfId="447" priority="15" operator="lessThan">
      <formula>0.3</formula>
    </cfRule>
    <cfRule type="cellIs" dxfId="446" priority="16" operator="greaterThan">
      <formula>0.3</formula>
    </cfRule>
  </conditionalFormatting>
  <conditionalFormatting sqref="K40">
    <cfRule type="cellIs" dxfId="445" priority="13" operator="lessThan">
      <formula>0.3</formula>
    </cfRule>
    <cfRule type="cellIs" dxfId="444" priority="14" operator="greaterThan">
      <formula>0.3</formula>
    </cfRule>
  </conditionalFormatting>
  <conditionalFormatting sqref="K61">
    <cfRule type="cellIs" dxfId="443" priority="11" operator="lessThan">
      <formula>0.3</formula>
    </cfRule>
    <cfRule type="cellIs" dxfId="442" priority="12" operator="greaterThan">
      <formula>0.3</formula>
    </cfRule>
  </conditionalFormatting>
  <conditionalFormatting sqref="K80">
    <cfRule type="cellIs" dxfId="441" priority="9" operator="lessThan">
      <formula>0.3</formula>
    </cfRule>
    <cfRule type="cellIs" dxfId="440" priority="10" operator="greaterThan">
      <formula>0.3</formula>
    </cfRule>
  </conditionalFormatting>
  <conditionalFormatting sqref="K103">
    <cfRule type="cellIs" dxfId="439" priority="3" operator="lessThan">
      <formula>0.3</formula>
    </cfRule>
    <cfRule type="cellIs" dxfId="438" priority="4" operator="greaterThan">
      <formula>0.3</formula>
    </cfRule>
  </conditionalFormatting>
  <pageMargins left="0.7" right="0.7" top="0.75" bottom="0.75" header="0.3" footer="0.3"/>
  <pageSetup orientation="portrait" horizontalDpi="360" verticalDpi="360" r:id="rId1"/>
  <drawing r:id="rId2"/>
  <tableParts count="5">
    <tablePart r:id="rId3"/>
    <tablePart r:id="rId4"/>
    <tablePart r:id="rId5"/>
    <tablePart r:id="rId6"/>
    <tablePart r:id="rId7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6F93D-1243-4817-BE95-C87B1FFF9202}">
  <dimension ref="B7:L61"/>
  <sheetViews>
    <sheetView showGridLines="0" topLeftCell="A47" workbookViewId="0">
      <selection activeCell="B56" sqref="B56"/>
    </sheetView>
  </sheetViews>
  <sheetFormatPr baseColWidth="10" defaultRowHeight="14.4" x14ac:dyDescent="0.3"/>
  <cols>
    <col min="1" max="1" width="6.33203125" customWidth="1"/>
    <col min="2" max="2" width="40.109375" bestFit="1" customWidth="1"/>
    <col min="7" max="7" width="12" bestFit="1" customWidth="1"/>
    <col min="8" max="8" width="11.88671875" customWidth="1"/>
    <col min="9" max="9" width="6.77734375" customWidth="1"/>
    <col min="10" max="10" width="26.109375" bestFit="1" customWidth="1"/>
  </cols>
  <sheetData>
    <row r="7" spans="2:12" x14ac:dyDescent="0.3">
      <c r="B7" s="89" t="s">
        <v>135</v>
      </c>
      <c r="C7" s="90"/>
      <c r="D7" s="90"/>
      <c r="E7" s="90"/>
      <c r="F7" s="90"/>
      <c r="G7" s="90"/>
      <c r="H7" s="90"/>
      <c r="J7" s="277" t="s">
        <v>0</v>
      </c>
      <c r="K7" s="277"/>
      <c r="L7" s="44"/>
    </row>
    <row r="8" spans="2:12" x14ac:dyDescent="0.3">
      <c r="B8" s="91" t="s">
        <v>1</v>
      </c>
      <c r="C8" s="14" t="s">
        <v>2</v>
      </c>
      <c r="D8" s="14" t="s">
        <v>571</v>
      </c>
      <c r="E8" s="14" t="s">
        <v>572</v>
      </c>
      <c r="F8" s="14" t="s">
        <v>573</v>
      </c>
      <c r="G8" s="92" t="s">
        <v>4</v>
      </c>
      <c r="H8" s="92" t="s">
        <v>5</v>
      </c>
      <c r="I8" s="4"/>
      <c r="J8" s="5" t="s">
        <v>6</v>
      </c>
      <c r="K8" s="6" t="e">
        <f>SUM(Tabla1103453454455456479108133140183[Total costo])</f>
        <v>#N/A</v>
      </c>
    </row>
    <row r="9" spans="2:12" x14ac:dyDescent="0.3">
      <c r="B9" s="7" t="s">
        <v>406</v>
      </c>
      <c r="C9" s="8" t="s">
        <v>188</v>
      </c>
      <c r="D9" s="9">
        <v>40</v>
      </c>
      <c r="E9" s="9">
        <v>25</v>
      </c>
      <c r="F9" s="9">
        <v>53.332999999999998</v>
      </c>
      <c r="G9" s="10">
        <f>+VLOOKUP(Tabla1103453454455456479108133140183[[#This Row],[Ingrediente]],Tabla34[#All],3,0)</f>
        <v>14</v>
      </c>
      <c r="H9" s="11">
        <f>+Tabla1103453454455456479108133140183[[#This Row],[Costo]]*Tabla1103453454455456479108133140183[[#This Row],[Unidades]]</f>
        <v>746.66200000000003</v>
      </c>
      <c r="I9" s="4"/>
      <c r="J9" s="5" t="s">
        <v>113</v>
      </c>
      <c r="K9" s="12" t="e">
        <f>+K8*5%</f>
        <v>#N/A</v>
      </c>
    </row>
    <row r="10" spans="2:12" x14ac:dyDescent="0.3">
      <c r="B10" s="7" t="s">
        <v>470</v>
      </c>
      <c r="C10" s="8" t="s">
        <v>188</v>
      </c>
      <c r="D10" s="9">
        <v>15</v>
      </c>
      <c r="E10" s="9">
        <v>10</v>
      </c>
      <c r="F10" s="9">
        <v>16.667000000000002</v>
      </c>
      <c r="G10" s="10">
        <f>+VLOOKUP(Tabla1103453454455456479108133140183[[#This Row],[Ingrediente]],Tabla34[#All],3,0)</f>
        <v>8</v>
      </c>
      <c r="H10" s="11">
        <f>+Tabla1103453454455456479108133140183[[#This Row],[Costo]]*Tabla1103453454455456479108133140183[[#This Row],[Unidades]]</f>
        <v>133.33600000000001</v>
      </c>
      <c r="I10" s="4"/>
      <c r="J10" s="5" t="s">
        <v>9</v>
      </c>
      <c r="K10" s="12" t="e">
        <f>+K8+K9</f>
        <v>#N/A</v>
      </c>
    </row>
    <row r="11" spans="2:12" x14ac:dyDescent="0.3">
      <c r="B11" s="7" t="s">
        <v>442</v>
      </c>
      <c r="C11" s="8" t="s">
        <v>188</v>
      </c>
      <c r="D11" s="9">
        <v>3</v>
      </c>
      <c r="E11" s="9">
        <v>0</v>
      </c>
      <c r="F11" s="9">
        <v>3</v>
      </c>
      <c r="G11" s="10">
        <f>+VLOOKUP(Tabla1103453454455456479108133140183[[#This Row],[Ingrediente]],Tabla34[#All],3,0)</f>
        <v>20.111000000000001</v>
      </c>
      <c r="H11" s="11">
        <f>+Tabla1103453454455456479108133140183[[#This Row],[Costo]]*Tabla1103453454455456479108133140183[[#This Row],[Unidades]]</f>
        <v>60.332999999999998</v>
      </c>
      <c r="I11" s="4"/>
      <c r="J11" s="17" t="s">
        <v>10</v>
      </c>
      <c r="K11" s="18">
        <v>67000</v>
      </c>
    </row>
    <row r="12" spans="2:12" x14ac:dyDescent="0.3">
      <c r="B12" s="7" t="s">
        <v>373</v>
      </c>
      <c r="C12" s="8" t="s">
        <v>570</v>
      </c>
      <c r="D12" s="9">
        <v>4</v>
      </c>
      <c r="E12" s="9">
        <v>0</v>
      </c>
      <c r="F12" s="9">
        <v>4</v>
      </c>
      <c r="G12" s="10">
        <f>+VLOOKUP(Tabla1103453454455456479108133140183[[#This Row],[Ingrediente]],Tabla34[#All],3,0)</f>
        <v>485.71428571000001</v>
      </c>
      <c r="H12" s="11">
        <f>+Tabla1103453454455456479108133140183[[#This Row],[Costo]]*Tabla1103453454455456479108133140183[[#This Row],[Unidades]]</f>
        <v>1942.8571428400001</v>
      </c>
      <c r="I12" s="4"/>
      <c r="J12" s="5" t="s">
        <v>11</v>
      </c>
      <c r="K12" s="12">
        <f>+K11/1.08*0.08</f>
        <v>4962.9629629629626</v>
      </c>
    </row>
    <row r="13" spans="2:12" x14ac:dyDescent="0.3">
      <c r="B13" s="7" t="s">
        <v>398</v>
      </c>
      <c r="C13" s="8" t="s">
        <v>188</v>
      </c>
      <c r="D13" s="9">
        <v>5</v>
      </c>
      <c r="E13" s="9">
        <v>17</v>
      </c>
      <c r="F13" s="9">
        <v>6.024</v>
      </c>
      <c r="G13" s="10">
        <f>+VLOOKUP(Tabla1103453454455456479108133140183[[#This Row],[Ingrediente]],Tabla34[#All],3,0)</f>
        <v>3.7999999999999994</v>
      </c>
      <c r="H13" s="11">
        <f>+Tabla1103453454455456479108133140183[[#This Row],[Costo]]*Tabla1103453454455456479108133140183[[#This Row],[Unidades]]</f>
        <v>22.891199999999998</v>
      </c>
      <c r="I13" s="4"/>
      <c r="J13" s="5" t="s">
        <v>12</v>
      </c>
      <c r="K13" s="12">
        <f>+K11-K12</f>
        <v>62037.037037037036</v>
      </c>
    </row>
    <row r="14" spans="2:12" x14ac:dyDescent="0.3">
      <c r="B14" s="7" t="s">
        <v>1301</v>
      </c>
      <c r="C14" s="8" t="s">
        <v>570</v>
      </c>
      <c r="D14" s="9">
        <v>0.33</v>
      </c>
      <c r="E14" s="9">
        <v>0</v>
      </c>
      <c r="F14" s="9">
        <v>0.33</v>
      </c>
      <c r="G14" s="10" t="e">
        <f>+VLOOKUP(Tabla1103453454455456479108133140183[[#This Row],[Ingrediente]],Tabla34[#All],3,0)</f>
        <v>#N/A</v>
      </c>
      <c r="H14" s="11" t="e">
        <f>+Tabla1103453454455456479108133140183[[#This Row],[Costo]]*Tabla1103453454455456479108133140183[[#This Row],[Unidades]]</f>
        <v>#N/A</v>
      </c>
      <c r="I14" s="4"/>
      <c r="J14" s="5" t="s">
        <v>13</v>
      </c>
      <c r="K14" s="19" t="e">
        <f>+K10/K13</f>
        <v>#N/A</v>
      </c>
    </row>
    <row r="15" spans="2:12" x14ac:dyDescent="0.3">
      <c r="B15" s="7" t="s">
        <v>561</v>
      </c>
      <c r="C15" s="8" t="s">
        <v>188</v>
      </c>
      <c r="D15" s="9">
        <v>30</v>
      </c>
      <c r="E15" s="9">
        <v>0</v>
      </c>
      <c r="F15" s="9">
        <v>30</v>
      </c>
      <c r="G15" s="10">
        <f>+VLOOKUP(Tabla1103453454455456479108133140183[[#This Row],[Ingrediente]],Tabla34[#All],3,0)</f>
        <v>32.5</v>
      </c>
      <c r="H15" s="11">
        <f>+Tabla1103453454455456479108133140183[[#This Row],[Costo]]*Tabla1103453454455456479108133140183[[#This Row],[Unidades]]</f>
        <v>975</v>
      </c>
      <c r="I15" s="4"/>
      <c r="J15" s="5" t="s">
        <v>14</v>
      </c>
      <c r="K15" s="20" t="e">
        <f>+K13-K10</f>
        <v>#N/A</v>
      </c>
    </row>
    <row r="16" spans="2:12" x14ac:dyDescent="0.3">
      <c r="B16" s="7" t="s">
        <v>446</v>
      </c>
      <c r="C16" s="8" t="s">
        <v>188</v>
      </c>
      <c r="D16" s="9">
        <v>5</v>
      </c>
      <c r="E16" s="9">
        <v>40</v>
      </c>
      <c r="F16" s="9">
        <v>8.3330000000000002</v>
      </c>
      <c r="G16" s="10">
        <f>+VLOOKUP(Tabla1103453454455456479108133140183[[#This Row],[Ingrediente]],Tabla34[#All],3,0)</f>
        <v>5.5</v>
      </c>
      <c r="H16" s="11">
        <f>+Tabla1103453454455456479108133140183[[#This Row],[Costo]]*Tabla1103453454455456479108133140183[[#This Row],[Unidades]]</f>
        <v>45.831499999999998</v>
      </c>
      <c r="I16" s="4"/>
      <c r="J16" s="5" t="s">
        <v>15</v>
      </c>
      <c r="K16" s="22" t="e">
        <f>+K15/K10</f>
        <v>#N/A</v>
      </c>
    </row>
    <row r="17" spans="2:11" x14ac:dyDescent="0.3">
      <c r="B17" s="7" t="s">
        <v>459</v>
      </c>
      <c r="C17" s="8" t="s">
        <v>188</v>
      </c>
      <c r="D17" s="9">
        <v>2</v>
      </c>
      <c r="E17" s="9">
        <v>0</v>
      </c>
      <c r="F17" s="9">
        <v>2</v>
      </c>
      <c r="G17" s="10">
        <f>+VLOOKUP(Tabla1103453454455456479108133140183[[#This Row],[Ingrediente]],Tabla34[#All],3,0)</f>
        <v>58.140352939999993</v>
      </c>
      <c r="H17" s="11">
        <f>+Tabla1103453454455456479108133140183[[#This Row],[Costo]]*Tabla1103453454455456479108133140183[[#This Row],[Unidades]]</f>
        <v>116.28070587999999</v>
      </c>
      <c r="I17" s="4"/>
      <c r="J17" s="4"/>
      <c r="K17" s="23"/>
    </row>
    <row r="18" spans="2:11" x14ac:dyDescent="0.3">
      <c r="B18" s="7" t="s">
        <v>368</v>
      </c>
      <c r="C18" s="8" t="s">
        <v>188</v>
      </c>
      <c r="D18" s="9">
        <v>100</v>
      </c>
      <c r="E18" s="9">
        <v>10</v>
      </c>
      <c r="F18" s="9">
        <v>111.111</v>
      </c>
      <c r="G18" s="10">
        <f>+VLOOKUP(Tabla1103453454455456479108133140183[[#This Row],[Ingrediente]],Tabla34[#All],3,0)</f>
        <v>37</v>
      </c>
      <c r="H18" s="11">
        <f>+Tabla1103453454455456479108133140183[[#This Row],[Costo]]*Tabla1103453454455456479108133140183[[#This Row],[Unidades]]</f>
        <v>4111.107</v>
      </c>
      <c r="I18" s="4"/>
      <c r="J18" s="4"/>
      <c r="K18" s="23"/>
    </row>
    <row r="19" spans="2:11" x14ac:dyDescent="0.3">
      <c r="B19" s="7" t="s">
        <v>637</v>
      </c>
      <c r="C19" s="8" t="s">
        <v>188</v>
      </c>
      <c r="D19" s="9">
        <v>4</v>
      </c>
      <c r="E19" s="9">
        <v>0</v>
      </c>
      <c r="F19" s="9">
        <v>4</v>
      </c>
      <c r="G19" s="10">
        <f>+VLOOKUP(Tabla1103453454455456479108133140183[[#This Row],[Ingrediente]],Tabla34[#All],3,0)</f>
        <v>69.02</v>
      </c>
      <c r="H19" s="11">
        <f>+Tabla1103453454455456479108133140183[[#This Row],[Costo]]*Tabla1103453454455456479108133140183[[#This Row],[Unidades]]</f>
        <v>276.08</v>
      </c>
      <c r="I19" s="4"/>
      <c r="J19" s="4"/>
      <c r="K19" s="23"/>
    </row>
    <row r="20" spans="2:11" x14ac:dyDescent="0.3">
      <c r="B20" s="7" t="s">
        <v>412</v>
      </c>
      <c r="C20" s="8" t="s">
        <v>570</v>
      </c>
      <c r="D20" s="9">
        <v>3</v>
      </c>
      <c r="E20" s="9">
        <v>0</v>
      </c>
      <c r="F20" s="9">
        <v>3</v>
      </c>
      <c r="G20" s="10">
        <f>+VLOOKUP(Tabla1103453454455456479108133140183[[#This Row],[Ingrediente]],Tabla34[#All],3,0)</f>
        <v>323.68</v>
      </c>
      <c r="H20" s="11">
        <f>+Tabla1103453454455456479108133140183[[#This Row],[Costo]]*Tabla1103453454455456479108133140183[[#This Row],[Unidades]]</f>
        <v>971.04</v>
      </c>
      <c r="I20" s="4"/>
      <c r="J20" s="4"/>
      <c r="K20" s="23"/>
    </row>
    <row r="21" spans="2:11" x14ac:dyDescent="0.3">
      <c r="B21" s="21" t="s">
        <v>482</v>
      </c>
      <c r="C21" s="8" t="s">
        <v>188</v>
      </c>
      <c r="D21" s="9">
        <v>3</v>
      </c>
      <c r="E21" s="9">
        <v>0</v>
      </c>
      <c r="F21" s="9">
        <v>3</v>
      </c>
      <c r="G21" s="10">
        <f>+VLOOKUP(Tabla1103453454455456479108133140183[[#This Row],[Ingrediente]],Tabla34[#All],3,0)</f>
        <v>2.6999075600000002</v>
      </c>
      <c r="H21" s="11">
        <f>+Tabla1103453454455456479108133140183[[#This Row],[Costo]]*Tabla1103453454455456479108133140183[[#This Row],[Unidades]]</f>
        <v>8.0997226800000011</v>
      </c>
      <c r="I21" s="4"/>
      <c r="J21" s="4"/>
      <c r="K21" s="23"/>
    </row>
    <row r="22" spans="2:11" x14ac:dyDescent="0.3">
      <c r="B22" s="7" t="s">
        <v>420</v>
      </c>
      <c r="C22" s="8" t="s">
        <v>188</v>
      </c>
      <c r="D22" s="9">
        <v>30</v>
      </c>
      <c r="E22" s="9">
        <v>0</v>
      </c>
      <c r="F22" s="9">
        <v>30</v>
      </c>
      <c r="G22" s="10">
        <f>+VLOOKUP(Tabla1103453454455456479108133140183[[#This Row],[Ingrediente]],Tabla34[#All],3,0)</f>
        <v>8.9250000000000007</v>
      </c>
      <c r="H22" s="11">
        <f>+Tabla1103453454455456479108133140183[[#This Row],[Costo]]*Tabla1103453454455456479108133140183[[#This Row],[Unidades]]</f>
        <v>267.75</v>
      </c>
      <c r="I22" s="4"/>
      <c r="J22" s="4"/>
      <c r="K22" s="23"/>
    </row>
    <row r="23" spans="2:11" x14ac:dyDescent="0.3">
      <c r="B23" s="7" t="s">
        <v>562</v>
      </c>
      <c r="C23" s="8" t="s">
        <v>188</v>
      </c>
      <c r="D23" s="9">
        <v>15</v>
      </c>
      <c r="E23" s="9">
        <v>0</v>
      </c>
      <c r="F23" s="9">
        <v>15</v>
      </c>
      <c r="G23" s="10">
        <f>+VLOOKUP(Tabla1103453454455456479108133140183[[#This Row],[Ingrediente]],Tabla34[#All],3,0)</f>
        <v>44.212727269999995</v>
      </c>
      <c r="H23" s="11">
        <f>+Tabla1103453454455456479108133140183[[#This Row],[Costo]]*Tabla1103453454455456479108133140183[[#This Row],[Unidades]]</f>
        <v>663.19090904999996</v>
      </c>
      <c r="I23" s="4"/>
      <c r="J23" s="4"/>
      <c r="K23" s="23"/>
    </row>
    <row r="24" spans="2:11" x14ac:dyDescent="0.3">
      <c r="B24" s="7" t="s">
        <v>228</v>
      </c>
      <c r="C24" s="8" t="s">
        <v>188</v>
      </c>
      <c r="D24" s="9">
        <v>3</v>
      </c>
      <c r="E24" s="9">
        <v>0</v>
      </c>
      <c r="F24" s="9">
        <v>3</v>
      </c>
      <c r="G24" s="10">
        <f>+VLOOKUP(Tabla1103453454455456479108133140183[[#This Row],[Ingrediente]],Tabla34[#All],3,0)</f>
        <v>16.11097131</v>
      </c>
      <c r="H24" s="11">
        <f>+Tabla1103453454455456479108133140183[[#This Row],[Costo]]*Tabla1103453454455456479108133140183[[#This Row],[Unidades]]</f>
        <v>48.332913930000004</v>
      </c>
      <c r="I24" s="4"/>
      <c r="J24" s="4"/>
      <c r="K24" s="23"/>
    </row>
    <row r="25" spans="2:11" x14ac:dyDescent="0.3">
      <c r="B25" s="21" t="s">
        <v>341</v>
      </c>
      <c r="C25" s="8" t="s">
        <v>188</v>
      </c>
      <c r="D25" s="9">
        <v>10</v>
      </c>
      <c r="E25" s="9">
        <v>0</v>
      </c>
      <c r="F25" s="9">
        <v>10</v>
      </c>
      <c r="G25" s="10">
        <f>+VLOOKUP(Tabla1103453454455456479108133140183[[#This Row],[Ingrediente]],Tabla34[#All],3,0)</f>
        <v>12.80723817</v>
      </c>
      <c r="H25" s="11">
        <f>+Tabla1103453454455456479108133140183[[#This Row],[Costo]]*Tabla1103453454455456479108133140183[[#This Row],[Unidades]]</f>
        <v>128.07238169999999</v>
      </c>
      <c r="I25" s="4"/>
      <c r="J25" s="4"/>
      <c r="K25" s="23"/>
    </row>
    <row r="26" spans="2:11" x14ac:dyDescent="0.3">
      <c r="B26" s="7" t="s">
        <v>465</v>
      </c>
      <c r="C26" s="8" t="s">
        <v>188</v>
      </c>
      <c r="D26" s="9">
        <v>60</v>
      </c>
      <c r="E26" s="9">
        <v>0</v>
      </c>
      <c r="F26" s="9">
        <v>60</v>
      </c>
      <c r="G26" s="10">
        <f>+VLOOKUP(Tabla1103453454455456479108133140183[[#This Row],[Ingrediente]],Tabla34[#All],3,0)</f>
        <v>12.761458230000001</v>
      </c>
      <c r="H26" s="11">
        <f>+Tabla1103453454455456479108133140183[[#This Row],[Costo]]*Tabla1103453454455456479108133140183[[#This Row],[Unidades]]</f>
        <v>765.68749380000008</v>
      </c>
      <c r="I26" s="4"/>
      <c r="J26" s="4"/>
      <c r="K26" s="23"/>
    </row>
    <row r="27" spans="2:11" x14ac:dyDescent="0.3">
      <c r="B27" s="21" t="s">
        <v>528</v>
      </c>
      <c r="C27" s="8" t="s">
        <v>188</v>
      </c>
      <c r="D27" s="9">
        <v>80</v>
      </c>
      <c r="E27" s="9">
        <v>0</v>
      </c>
      <c r="F27" s="9">
        <v>80</v>
      </c>
      <c r="G27" s="10">
        <f>+VLOOKUP(Tabla1103453454455456479108133140183[[#This Row],[Ingrediente]],Tabla34[#All],3,0)</f>
        <v>4.8201292200000001</v>
      </c>
      <c r="H27" s="11">
        <f>+Tabla1103453454455456479108133140183[[#This Row],[Costo]]*Tabla1103453454455456479108133140183[[#This Row],[Unidades]]</f>
        <v>385.61033759999998</v>
      </c>
      <c r="I27" s="4"/>
      <c r="J27" s="4"/>
      <c r="K27" s="23"/>
    </row>
    <row r="28" spans="2:11" x14ac:dyDescent="0.3">
      <c r="B28" s="7" t="s">
        <v>226</v>
      </c>
      <c r="C28" s="8" t="s">
        <v>188</v>
      </c>
      <c r="D28" s="9">
        <v>30</v>
      </c>
      <c r="E28" s="9">
        <v>0</v>
      </c>
      <c r="F28" s="9">
        <v>30</v>
      </c>
      <c r="G28" s="10">
        <f>+VLOOKUP(Tabla1103453454455456479108133140183[[#This Row],[Ingrediente]],Tabla34[#All],3,0)</f>
        <v>10.179495380000001</v>
      </c>
      <c r="H28" s="11">
        <f>+Tabla1103453454455456479108133140183[[#This Row],[Costo]]*Tabla1103453454455456479108133140183[[#This Row],[Unidades]]</f>
        <v>305.38486140000003</v>
      </c>
      <c r="I28" s="4"/>
      <c r="J28" s="4"/>
      <c r="K28" s="23"/>
    </row>
    <row r="29" spans="2:11" x14ac:dyDescent="0.3">
      <c r="B29" s="7" t="s">
        <v>137</v>
      </c>
      <c r="C29" s="8" t="s">
        <v>188</v>
      </c>
      <c r="D29" s="9">
        <v>15</v>
      </c>
      <c r="E29" s="9">
        <v>0</v>
      </c>
      <c r="F29" s="9">
        <v>15</v>
      </c>
      <c r="G29" s="10">
        <f>+VLOOKUP(Tabla1103453454455456479108133140183[[#This Row],[Ingrediente]],Tabla34[#All],3,0)</f>
        <v>11.13267572</v>
      </c>
      <c r="H29" s="11">
        <f>+Tabla1103453454455456479108133140183[[#This Row],[Costo]]*Tabla1103453454455456479108133140183[[#This Row],[Unidades]]</f>
        <v>166.99013579999999</v>
      </c>
      <c r="I29" s="4"/>
      <c r="J29" s="4"/>
      <c r="K29" s="23"/>
    </row>
    <row r="30" spans="2:11" x14ac:dyDescent="0.3">
      <c r="B30" s="7" t="s">
        <v>95</v>
      </c>
      <c r="C30" s="8" t="s">
        <v>188</v>
      </c>
      <c r="D30" s="9">
        <v>300</v>
      </c>
      <c r="E30" s="9">
        <v>0</v>
      </c>
      <c r="F30" s="9">
        <v>300</v>
      </c>
      <c r="G30" s="10">
        <f>+VLOOKUP(Tabla1103453454455456479108133140183[[#This Row],[Ingrediente]],Tabla34[#All],3,0)</f>
        <v>4.5393523800000004</v>
      </c>
      <c r="H30" s="11">
        <f>+Tabla1103453454455456479108133140183[[#This Row],[Costo]]*Tabla1103453454455456479108133140183[[#This Row],[Unidades]]</f>
        <v>1361.8057140000001</v>
      </c>
      <c r="I30" s="4"/>
      <c r="J30" s="4"/>
      <c r="K30" s="23"/>
    </row>
    <row r="31" spans="2:11" x14ac:dyDescent="0.3">
      <c r="B31" s="7" t="s">
        <v>449</v>
      </c>
      <c r="C31" s="8" t="s">
        <v>188</v>
      </c>
      <c r="D31" s="9">
        <v>30</v>
      </c>
      <c r="E31" s="9">
        <v>0</v>
      </c>
      <c r="F31" s="9">
        <v>30</v>
      </c>
      <c r="G31" s="10">
        <f>+VLOOKUP(Tabla1103453454455456479108133140183[[#This Row],[Ingrediente]],Tabla34[#All],3,0)</f>
        <v>23.317903900000001</v>
      </c>
      <c r="H31" s="11">
        <f>+Tabla1103453454455456479108133140183[[#This Row],[Costo]]*Tabla1103453454455456479108133140183[[#This Row],[Unidades]]</f>
        <v>699.53711700000008</v>
      </c>
      <c r="I31" s="4"/>
      <c r="J31" s="4"/>
      <c r="K31" s="23"/>
    </row>
    <row r="32" spans="2:11" x14ac:dyDescent="0.3">
      <c r="B32" s="7" t="s">
        <v>92</v>
      </c>
      <c r="C32" s="8" t="s">
        <v>188</v>
      </c>
      <c r="D32" s="9">
        <v>2</v>
      </c>
      <c r="E32" s="9">
        <v>0</v>
      </c>
      <c r="F32" s="9">
        <v>2</v>
      </c>
      <c r="G32" s="10">
        <f>+VLOOKUP(Tabla1103453454455456479108133140183[[#This Row],[Ingrediente]],Tabla34[#All],3,0)</f>
        <v>10.625185460000001</v>
      </c>
      <c r="H32" s="11">
        <f>+Tabla1103453454455456479108133140183[[#This Row],[Costo]]*Tabla1103453454455456479108133140183[[#This Row],[Unidades]]</f>
        <v>21.250370920000002</v>
      </c>
      <c r="I32" s="4"/>
      <c r="J32" s="4"/>
      <c r="K32" s="23"/>
    </row>
    <row r="33" spans="2:12" x14ac:dyDescent="0.3">
      <c r="B33" s="7" t="s">
        <v>1194</v>
      </c>
      <c r="C33" s="8" t="s">
        <v>188</v>
      </c>
      <c r="D33" s="9">
        <v>30</v>
      </c>
      <c r="E33" s="9">
        <v>0</v>
      </c>
      <c r="F33" s="9">
        <v>30</v>
      </c>
      <c r="G33" s="10">
        <f>+VLOOKUP(Tabla1103453454455456479108133140183[[#This Row],[Ingrediente]],Tabla34[#All],3,0)</f>
        <v>4.7223243200000002</v>
      </c>
      <c r="H33" s="11">
        <f>+Tabla1103453454455456479108133140183[[#This Row],[Costo]]*Tabla1103453454455456479108133140183[[#This Row],[Unidades]]</f>
        <v>141.66972960000001</v>
      </c>
      <c r="I33" s="4"/>
      <c r="J33" s="4"/>
      <c r="K33" s="23"/>
    </row>
    <row r="34" spans="2:12" x14ac:dyDescent="0.3">
      <c r="B34" s="7" t="s">
        <v>533</v>
      </c>
      <c r="C34" s="8" t="s">
        <v>570</v>
      </c>
      <c r="D34" s="9">
        <v>1</v>
      </c>
      <c r="E34" s="9">
        <v>0</v>
      </c>
      <c r="F34" s="9">
        <v>1</v>
      </c>
      <c r="G34" s="10">
        <f>+VLOOKUP(Tabla1103453454455456479108133140183[[#This Row],[Ingrediente]],Tabla34[#All],3,0)</f>
        <v>4002.0382164999996</v>
      </c>
      <c r="H34" s="11">
        <f>+Tabla1103453454455456479108133140183[[#This Row],[Costo]]*Tabla1103453454455456479108133140183[[#This Row],[Unidades]]</f>
        <v>4002.0382164999996</v>
      </c>
    </row>
    <row r="35" spans="2:12" x14ac:dyDescent="0.3">
      <c r="B35" s="7" t="s">
        <v>1285</v>
      </c>
      <c r="C35" s="8" t="s">
        <v>188</v>
      </c>
      <c r="D35" s="9">
        <v>8</v>
      </c>
      <c r="E35" s="9">
        <v>0</v>
      </c>
      <c r="F35" s="9">
        <v>8</v>
      </c>
      <c r="G35" s="10" t="e">
        <f>+VLOOKUP(Tabla1103453454455456479108133140183[[#This Row],[Ingrediente]],Tabla34[#All],3,0)</f>
        <v>#N/A</v>
      </c>
      <c r="H35" s="11" t="e">
        <f>+Tabla1103453454455456479108133140183[[#This Row],[Costo]]*Tabla1103453454455456479108133140183[[#This Row],[Unidades]]</f>
        <v>#N/A</v>
      </c>
    </row>
    <row r="36" spans="2:12" x14ac:dyDescent="0.3">
      <c r="B36" s="7" t="s">
        <v>1307</v>
      </c>
      <c r="C36" s="8" t="s">
        <v>570</v>
      </c>
      <c r="D36" s="9">
        <v>1</v>
      </c>
      <c r="E36" s="9">
        <v>0</v>
      </c>
      <c r="F36" s="9">
        <v>1</v>
      </c>
      <c r="G36" s="10" t="e">
        <f>+VLOOKUP(Tabla1103453454455456479108133140183[[#This Row],[Ingrediente]],Tabla34[#All],3,0)</f>
        <v>#N/A</v>
      </c>
      <c r="H36" s="11" t="e">
        <f>+Tabla1103453454455456479108133140183[[#This Row],[Costo]]*Tabla1103453454455456479108133140183[[#This Row],[Unidades]]</f>
        <v>#N/A</v>
      </c>
      <c r="L36" s="44"/>
    </row>
    <row r="37" spans="2:12" x14ac:dyDescent="0.3">
      <c r="B37" s="7" t="s">
        <v>476</v>
      </c>
      <c r="C37" s="8" t="s">
        <v>188</v>
      </c>
      <c r="D37" s="9">
        <v>15</v>
      </c>
      <c r="E37" s="9">
        <v>30</v>
      </c>
      <c r="F37" s="9">
        <v>21.428999999999998</v>
      </c>
      <c r="G37" s="10">
        <f>+VLOOKUP(Tabla1103453454455456479108133140183[[#This Row],[Ingrediente]],Tabla34[#All],3,0)</f>
        <v>2.5</v>
      </c>
      <c r="H37" s="11">
        <f>+Tabla1103453454455456479108133140183[[#This Row],[Costo]]*Tabla1103453454455456479108133140183[[#This Row],[Unidades]]</f>
        <v>53.572499999999998</v>
      </c>
      <c r="I37" s="4"/>
    </row>
    <row r="38" spans="2:12" x14ac:dyDescent="0.3">
      <c r="B38" s="13"/>
      <c r="C38" s="14"/>
      <c r="D38" s="14"/>
      <c r="E38" s="14"/>
      <c r="F38" s="14"/>
      <c r="G38" s="15"/>
      <c r="H38" s="15" t="e">
        <f>SUBTOTAL(109,Tabla1103453454455456479108133140183[Total costo])</f>
        <v>#N/A</v>
      </c>
      <c r="I38" s="4"/>
    </row>
    <row r="39" spans="2:12" s="26" customFormat="1" x14ac:dyDescent="0.3">
      <c r="B39" s="222"/>
      <c r="C39" s="223"/>
      <c r="D39" s="223"/>
      <c r="E39" s="223"/>
      <c r="F39" s="223"/>
      <c r="G39" s="268"/>
      <c r="H39" s="268"/>
      <c r="I39" s="4"/>
    </row>
    <row r="40" spans="2:12" x14ac:dyDescent="0.3">
      <c r="B40" s="89" t="s">
        <v>136</v>
      </c>
      <c r="C40" s="90"/>
      <c r="D40" s="90"/>
      <c r="E40" s="90"/>
      <c r="F40" s="90"/>
      <c r="G40" s="90"/>
      <c r="H40" s="90"/>
      <c r="I40" s="4"/>
      <c r="J40" s="277" t="s">
        <v>0</v>
      </c>
      <c r="K40" s="277"/>
    </row>
    <row r="41" spans="2:12" ht="26.4" x14ac:dyDescent="0.3">
      <c r="B41" s="91" t="s">
        <v>1</v>
      </c>
      <c r="C41" s="14" t="s">
        <v>2</v>
      </c>
      <c r="D41" s="87" t="s">
        <v>571</v>
      </c>
      <c r="E41" s="87" t="s">
        <v>572</v>
      </c>
      <c r="F41" s="87" t="s">
        <v>573</v>
      </c>
      <c r="G41" s="92" t="s">
        <v>4</v>
      </c>
      <c r="H41" s="92" t="s">
        <v>5</v>
      </c>
      <c r="I41" s="4"/>
      <c r="J41" s="5" t="s">
        <v>6</v>
      </c>
      <c r="K41" s="6">
        <f>SUM(Tabla1103453454455456479108134141184[Total costo])</f>
        <v>16212.31380989</v>
      </c>
    </row>
    <row r="42" spans="2:12" x14ac:dyDescent="0.3">
      <c r="B42" s="7" t="s">
        <v>406</v>
      </c>
      <c r="C42" s="8" t="s">
        <v>188</v>
      </c>
      <c r="D42" s="9">
        <v>40</v>
      </c>
      <c r="E42" s="9">
        <v>25</v>
      </c>
      <c r="F42" s="9">
        <v>53.332999999999998</v>
      </c>
      <c r="G42" s="10">
        <f>+VLOOKUP(Tabla1103453454455456479108134141184[[#This Row],[Ingrediente]],Tabla34[#All],3,0)</f>
        <v>14</v>
      </c>
      <c r="H42" s="11">
        <f>+Tabla1103453454455456479108134141184[[#This Row],[Costo]]*Tabla1103453454455456479108134141184[[#This Row],[Unidades]]</f>
        <v>746.66200000000003</v>
      </c>
      <c r="I42" s="4"/>
      <c r="J42" s="5" t="s">
        <v>113</v>
      </c>
      <c r="K42" s="12">
        <f>+K41*5%</f>
        <v>810.61569049450009</v>
      </c>
    </row>
    <row r="43" spans="2:12" x14ac:dyDescent="0.3">
      <c r="B43" s="7" t="s">
        <v>470</v>
      </c>
      <c r="C43" s="8" t="s">
        <v>188</v>
      </c>
      <c r="D43" s="9">
        <v>10</v>
      </c>
      <c r="E43" s="9">
        <v>10</v>
      </c>
      <c r="F43" s="9">
        <v>11.111000000000001</v>
      </c>
      <c r="G43" s="10">
        <f>+VLOOKUP(Tabla1103453454455456479108134141184[[#This Row],[Ingrediente]],Tabla34[#All],3,0)</f>
        <v>8</v>
      </c>
      <c r="H43" s="11">
        <f>+Tabla1103453454455456479108134141184[[#This Row],[Costo]]*Tabla1103453454455456479108134141184[[#This Row],[Unidades]]</f>
        <v>88.888000000000005</v>
      </c>
      <c r="I43" s="4"/>
      <c r="J43" s="5" t="s">
        <v>9</v>
      </c>
      <c r="K43" s="12">
        <f>+K41+K42</f>
        <v>17022.9295003845</v>
      </c>
    </row>
    <row r="44" spans="2:12" x14ac:dyDescent="0.3">
      <c r="B44" s="21" t="s">
        <v>442</v>
      </c>
      <c r="C44" s="8" t="s">
        <v>188</v>
      </c>
      <c r="D44" s="9">
        <v>5</v>
      </c>
      <c r="E44" s="9">
        <v>0</v>
      </c>
      <c r="F44" s="9">
        <v>5</v>
      </c>
      <c r="G44" s="10">
        <f>+VLOOKUP(Tabla1103453454455456479108134141184[[#This Row],[Ingrediente]],Tabla34[#All],3,0)</f>
        <v>20.111000000000001</v>
      </c>
      <c r="H44" s="11">
        <f>+Tabla1103453454455456479108134141184[[#This Row],[Costo]]*Tabla1103453454455456479108134141184[[#This Row],[Unidades]]</f>
        <v>100.55500000000001</v>
      </c>
      <c r="I44" s="4"/>
      <c r="J44" s="17" t="s">
        <v>10</v>
      </c>
      <c r="K44" s="18">
        <v>53500</v>
      </c>
    </row>
    <row r="45" spans="2:12" x14ac:dyDescent="0.3">
      <c r="B45" s="7" t="s">
        <v>373</v>
      </c>
      <c r="C45" s="8" t="s">
        <v>570</v>
      </c>
      <c r="D45" s="9">
        <v>4</v>
      </c>
      <c r="E45" s="9">
        <v>0</v>
      </c>
      <c r="F45" s="9">
        <v>4</v>
      </c>
      <c r="G45" s="10">
        <f>+VLOOKUP(Tabla1103453454455456479108134141184[[#This Row],[Ingrediente]],Tabla34[#All],3,0)</f>
        <v>485.71428571000001</v>
      </c>
      <c r="H45" s="11">
        <f>+Tabla1103453454455456479108134141184[[#This Row],[Costo]]*Tabla1103453454455456479108134141184[[#This Row],[Unidades]]</f>
        <v>1942.8571428400001</v>
      </c>
      <c r="I45" s="4"/>
      <c r="J45" s="5" t="s">
        <v>11</v>
      </c>
      <c r="K45" s="12">
        <f>+K44/1.08*0.08</f>
        <v>3962.962962962963</v>
      </c>
    </row>
    <row r="46" spans="2:12" x14ac:dyDescent="0.3">
      <c r="B46" s="21" t="s">
        <v>398</v>
      </c>
      <c r="C46" s="8" t="s">
        <v>188</v>
      </c>
      <c r="D46" s="9">
        <v>5</v>
      </c>
      <c r="E46" s="9">
        <v>17</v>
      </c>
      <c r="F46" s="9">
        <v>6.024</v>
      </c>
      <c r="G46" s="10">
        <f>+VLOOKUP(Tabla1103453454455456479108134141184[[#This Row],[Ingrediente]],Tabla34[#All],3,0)</f>
        <v>3.7999999999999994</v>
      </c>
      <c r="H46" s="11">
        <f>+Tabla1103453454455456479108134141184[[#This Row],[Costo]]*Tabla1103453454455456479108134141184[[#This Row],[Unidades]]</f>
        <v>22.891199999999998</v>
      </c>
      <c r="I46" s="4"/>
      <c r="J46" s="5" t="s">
        <v>12</v>
      </c>
      <c r="K46" s="12">
        <f>+K44-K45</f>
        <v>49537.037037037036</v>
      </c>
    </row>
    <row r="47" spans="2:12" x14ac:dyDescent="0.3">
      <c r="B47" s="21" t="s">
        <v>446</v>
      </c>
      <c r="C47" s="8" t="s">
        <v>188</v>
      </c>
      <c r="D47" s="9">
        <v>1</v>
      </c>
      <c r="E47" s="9">
        <v>0</v>
      </c>
      <c r="F47" s="9">
        <v>1</v>
      </c>
      <c r="G47" s="10">
        <f>+VLOOKUP(Tabla1103453454455456479108134141184[[#This Row],[Ingrediente]],Tabla34[#All],3,0)</f>
        <v>5.5</v>
      </c>
      <c r="H47" s="11">
        <f>+Tabla1103453454455456479108134141184[[#This Row],[Costo]]*Tabla1103453454455456479108134141184[[#This Row],[Unidades]]</f>
        <v>5.5</v>
      </c>
      <c r="I47" s="4"/>
      <c r="J47" s="5" t="s">
        <v>13</v>
      </c>
      <c r="K47" s="19">
        <f>+K43/K46</f>
        <v>0.34364044598907029</v>
      </c>
    </row>
    <row r="48" spans="2:12" x14ac:dyDescent="0.3">
      <c r="B48" s="7" t="s">
        <v>413</v>
      </c>
      <c r="C48" s="8" t="s">
        <v>188</v>
      </c>
      <c r="D48" s="9">
        <v>15</v>
      </c>
      <c r="E48" s="9">
        <v>0</v>
      </c>
      <c r="F48" s="9">
        <v>15</v>
      </c>
      <c r="G48" s="10">
        <f>+VLOOKUP(Tabla1103453454455456479108134141184[[#This Row],[Ingrediente]],Tabla34[#All],3,0)</f>
        <v>17.00824742</v>
      </c>
      <c r="H48" s="11">
        <f>+Tabla1103453454455456479108134141184[[#This Row],[Costo]]*Tabla1103453454455456479108134141184[[#This Row],[Unidades]]</f>
        <v>255.1237113</v>
      </c>
      <c r="J48" s="5" t="s">
        <v>14</v>
      </c>
      <c r="K48" s="20">
        <f>+K46-K43</f>
        <v>32514.107536652537</v>
      </c>
    </row>
    <row r="49" spans="2:11" x14ac:dyDescent="0.3">
      <c r="B49" s="21" t="s">
        <v>368</v>
      </c>
      <c r="C49" s="8" t="s">
        <v>188</v>
      </c>
      <c r="D49" s="9">
        <v>100</v>
      </c>
      <c r="E49" s="9">
        <v>10</v>
      </c>
      <c r="F49" s="9">
        <v>111.111</v>
      </c>
      <c r="G49" s="10">
        <f>+VLOOKUP(Tabla1103453454455456479108134141184[[#This Row],[Ingrediente]],Tabla34[#All],3,0)</f>
        <v>37</v>
      </c>
      <c r="H49" s="11">
        <f>+Tabla1103453454455456479108134141184[[#This Row],[Costo]]*Tabla1103453454455456479108134141184[[#This Row],[Unidades]]</f>
        <v>4111.107</v>
      </c>
      <c r="J49" s="5" t="s">
        <v>15</v>
      </c>
      <c r="K49" s="22">
        <f>+K48/K43</f>
        <v>1.9100183394355321</v>
      </c>
    </row>
    <row r="50" spans="2:11" x14ac:dyDescent="0.3">
      <c r="B50" s="7" t="s">
        <v>637</v>
      </c>
      <c r="C50" s="8" t="s">
        <v>188</v>
      </c>
      <c r="D50" s="9">
        <v>5</v>
      </c>
      <c r="E50" s="9">
        <v>0</v>
      </c>
      <c r="F50" s="9">
        <v>5</v>
      </c>
      <c r="G50" s="10">
        <f>+VLOOKUP(Tabla1103453454455456479108134141184[[#This Row],[Ingrediente]],Tabla34[#All],3,0)</f>
        <v>69.02</v>
      </c>
      <c r="H50" s="11">
        <f>+Tabla1103453454455456479108134141184[[#This Row],[Costo]]*Tabla1103453454455456479108134141184[[#This Row],[Unidades]]</f>
        <v>345.09999999999997</v>
      </c>
      <c r="J50" s="4"/>
      <c r="K50" s="23"/>
    </row>
    <row r="51" spans="2:11" x14ac:dyDescent="0.3">
      <c r="B51" s="7" t="s">
        <v>412</v>
      </c>
      <c r="C51" s="8" t="s">
        <v>570</v>
      </c>
      <c r="D51" s="9">
        <v>3</v>
      </c>
      <c r="E51" s="9">
        <v>0</v>
      </c>
      <c r="F51" s="9">
        <v>3</v>
      </c>
      <c r="G51" s="10">
        <f>+VLOOKUP(Tabla1103453454455456479108134141184[[#This Row],[Ingrediente]],Tabla34[#All],3,0)</f>
        <v>323.68</v>
      </c>
      <c r="H51" s="11">
        <f>+Tabla1103453454455456479108134141184[[#This Row],[Costo]]*Tabla1103453454455456479108134141184[[#This Row],[Unidades]]</f>
        <v>971.04</v>
      </c>
    </row>
    <row r="52" spans="2:11" x14ac:dyDescent="0.3">
      <c r="B52" s="21" t="s">
        <v>482</v>
      </c>
      <c r="C52" s="8" t="s">
        <v>188</v>
      </c>
      <c r="D52" s="9">
        <v>5</v>
      </c>
      <c r="E52" s="9">
        <v>0</v>
      </c>
      <c r="F52" s="9">
        <v>5</v>
      </c>
      <c r="G52" s="10">
        <f>+VLOOKUP(Tabla1103453454455456479108134141184[[#This Row],[Ingrediente]],Tabla34[#All],3,0)</f>
        <v>2.6999075600000002</v>
      </c>
      <c r="H52" s="11">
        <f>+Tabla1103453454455456479108134141184[[#This Row],[Costo]]*Tabla1103453454455456479108134141184[[#This Row],[Unidades]]</f>
        <v>13.499537800000001</v>
      </c>
    </row>
    <row r="53" spans="2:11" x14ac:dyDescent="0.3">
      <c r="B53" s="7" t="s">
        <v>228</v>
      </c>
      <c r="C53" s="8" t="s">
        <v>188</v>
      </c>
      <c r="D53" s="9">
        <v>4</v>
      </c>
      <c r="E53" s="9">
        <v>0</v>
      </c>
      <c r="F53" s="9">
        <v>4</v>
      </c>
      <c r="G53" s="10">
        <f>+VLOOKUP(Tabla1103453454455456479108134141184[[#This Row],[Ingrediente]],Tabla34[#All],3,0)</f>
        <v>16.11097131</v>
      </c>
      <c r="H53" s="11">
        <f>+Tabla1103453454455456479108134141184[[#This Row],[Costo]]*Tabla1103453454455456479108134141184[[#This Row],[Unidades]]</f>
        <v>64.44388524</v>
      </c>
    </row>
    <row r="54" spans="2:11" x14ac:dyDescent="0.3">
      <c r="B54" s="7" t="s">
        <v>528</v>
      </c>
      <c r="C54" s="8" t="s">
        <v>188</v>
      </c>
      <c r="D54" s="9">
        <v>100</v>
      </c>
      <c r="E54" s="9">
        <v>0</v>
      </c>
      <c r="F54" s="9">
        <v>100</v>
      </c>
      <c r="G54" s="10">
        <f>+VLOOKUP(Tabla1103453454455456479108134141184[[#This Row],[Ingrediente]],Tabla34[#All],3,0)</f>
        <v>4.8201292200000001</v>
      </c>
      <c r="H54" s="11">
        <f>+Tabla1103453454455456479108134141184[[#This Row],[Costo]]*Tabla1103453454455456479108134141184[[#This Row],[Unidades]]</f>
        <v>482.012922</v>
      </c>
    </row>
    <row r="55" spans="2:11" x14ac:dyDescent="0.3">
      <c r="B55" s="7" t="s">
        <v>226</v>
      </c>
      <c r="C55" s="8" t="s">
        <v>188</v>
      </c>
      <c r="D55" s="9">
        <v>30</v>
      </c>
      <c r="E55" s="9">
        <v>0</v>
      </c>
      <c r="F55" s="9">
        <v>30</v>
      </c>
      <c r="G55" s="10">
        <f>+VLOOKUP(Tabla1103453454455456479108134141184[[#This Row],[Ingrediente]],Tabla34[#All],3,0)</f>
        <v>10.179495380000001</v>
      </c>
      <c r="H55" s="11">
        <f>+Tabla1103453454455456479108134141184[[#This Row],[Costo]]*Tabla1103453454455456479108134141184[[#This Row],[Unidades]]</f>
        <v>305.38486140000003</v>
      </c>
    </row>
    <row r="56" spans="2:11" x14ac:dyDescent="0.3">
      <c r="B56" s="7" t="s">
        <v>559</v>
      </c>
      <c r="C56" s="8" t="s">
        <v>188</v>
      </c>
      <c r="D56" s="9">
        <v>150</v>
      </c>
      <c r="E56" s="9">
        <v>0</v>
      </c>
      <c r="F56" s="9">
        <v>150</v>
      </c>
      <c r="G56" s="10">
        <f>+VLOOKUP(Tabla1103453454455456479108134141184[[#This Row],[Ingrediente]],Tabla34[#All],3,0)</f>
        <v>8.2163994999999996</v>
      </c>
      <c r="H56" s="11">
        <f>+Tabla1103453454455456479108134141184[[#This Row],[Costo]]*Tabla1103453454455456479108134141184[[#This Row],[Unidades]]</f>
        <v>1232.4599249999999</v>
      </c>
    </row>
    <row r="57" spans="2:11" x14ac:dyDescent="0.3">
      <c r="B57" s="7" t="s">
        <v>137</v>
      </c>
      <c r="C57" s="8" t="s">
        <v>188</v>
      </c>
      <c r="D57" s="9">
        <v>15</v>
      </c>
      <c r="E57" s="9">
        <v>0</v>
      </c>
      <c r="F57" s="9">
        <v>15</v>
      </c>
      <c r="G57" s="10">
        <f>+VLOOKUP(Tabla1103453454455456479108134141184[[#This Row],[Ingrediente]],Tabla34[#All],3,0)</f>
        <v>11.13267572</v>
      </c>
      <c r="H57" s="11">
        <f>+Tabla1103453454455456479108134141184[[#This Row],[Costo]]*Tabla1103453454455456479108134141184[[#This Row],[Unidades]]</f>
        <v>166.99013579999999</v>
      </c>
    </row>
    <row r="58" spans="2:11" x14ac:dyDescent="0.3">
      <c r="B58" s="7" t="s">
        <v>95</v>
      </c>
      <c r="C58" s="8" t="s">
        <v>188</v>
      </c>
      <c r="D58" s="9">
        <v>200</v>
      </c>
      <c r="E58" s="9">
        <v>0</v>
      </c>
      <c r="F58" s="9">
        <v>200</v>
      </c>
      <c r="G58" s="10">
        <f>+VLOOKUP(Tabla1103453454455456479108134141184[[#This Row],[Ingrediente]],Tabla34[#All],3,0)</f>
        <v>4.5393523800000004</v>
      </c>
      <c r="H58" s="11">
        <f>+Tabla1103453454455456479108134141184[[#This Row],[Costo]]*Tabla1103453454455456479108134141184[[#This Row],[Unidades]]</f>
        <v>907.87047600000005</v>
      </c>
    </row>
    <row r="59" spans="2:11" x14ac:dyDescent="0.3">
      <c r="B59" s="7" t="s">
        <v>345</v>
      </c>
      <c r="C59" s="8" t="s">
        <v>570</v>
      </c>
      <c r="D59" s="9">
        <v>1</v>
      </c>
      <c r="E59" s="9">
        <v>0</v>
      </c>
      <c r="F59" s="9">
        <v>1</v>
      </c>
      <c r="G59" s="10">
        <f>+VLOOKUP(Tabla1103453454455456479108134141184[[#This Row],[Ingrediente]],Tabla34[#All],3,0)</f>
        <v>447.88979601</v>
      </c>
      <c r="H59" s="11">
        <f>+Tabla1103453454455456479108134141184[[#This Row],[Costo]]*Tabla1103453454455456479108134141184[[#This Row],[Unidades]]</f>
        <v>447.88979601</v>
      </c>
    </row>
    <row r="60" spans="2:11" x14ac:dyDescent="0.3">
      <c r="B60" s="7" t="s">
        <v>533</v>
      </c>
      <c r="C60" s="8" t="s">
        <v>570</v>
      </c>
      <c r="D60" s="9">
        <v>1</v>
      </c>
      <c r="E60" s="9">
        <v>0</v>
      </c>
      <c r="F60" s="9">
        <v>1</v>
      </c>
      <c r="G60" s="10">
        <f>+VLOOKUP(Tabla1103453454455456479108134141184[[#This Row],[Ingrediente]],Tabla34[#All],3,0)</f>
        <v>4002.0382164999996</v>
      </c>
      <c r="H60" s="11">
        <f>+Tabla1103453454455456479108134141184[[#This Row],[Costo]]*Tabla1103453454455456479108134141184[[#This Row],[Unidades]]</f>
        <v>4002.0382164999996</v>
      </c>
    </row>
    <row r="61" spans="2:11" x14ac:dyDescent="0.3">
      <c r="B61" s="13"/>
      <c r="C61" s="14"/>
      <c r="D61" s="14"/>
      <c r="E61" s="14"/>
      <c r="F61" s="14"/>
      <c r="G61" s="15"/>
      <c r="H61" s="15">
        <f>SUBTOTAL(109,Tabla1103453454455456479108134141184[Total costo])</f>
        <v>16212.31380989</v>
      </c>
    </row>
  </sheetData>
  <mergeCells count="2">
    <mergeCell ref="J40:K40"/>
    <mergeCell ref="J7:K7"/>
  </mergeCells>
  <conditionalFormatting sqref="K14">
    <cfRule type="cellIs" dxfId="437" priority="3" operator="lessThan">
      <formula>0.3</formula>
    </cfRule>
    <cfRule type="cellIs" dxfId="436" priority="4" operator="greaterThan">
      <formula>0.3</formula>
    </cfRule>
  </conditionalFormatting>
  <conditionalFormatting sqref="K47">
    <cfRule type="cellIs" dxfId="435" priority="1" operator="lessThan">
      <formula>0.3</formula>
    </cfRule>
    <cfRule type="cellIs" dxfId="434" priority="2" operator="greaterThan">
      <formula>0.3</formula>
    </cfRule>
  </conditionalFormatting>
  <pageMargins left="0.7" right="0.7" top="0.75" bottom="0.75" header="0.3" footer="0.3"/>
  <pageSetup orientation="portrait" horizontalDpi="360" verticalDpi="360" r:id="rId1"/>
  <drawing r:id="rId2"/>
  <tableParts count="2">
    <tablePart r:id="rId3"/>
    <tablePart r:id="rId4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EE5BA-0D2E-46F9-B350-C702FB09354E}">
  <dimension ref="B6:K87"/>
  <sheetViews>
    <sheetView showGridLines="0" topLeftCell="A72" workbookViewId="0">
      <selection activeCell="J85" sqref="J85"/>
    </sheetView>
  </sheetViews>
  <sheetFormatPr baseColWidth="10" defaultRowHeight="14.4" x14ac:dyDescent="0.3"/>
  <cols>
    <col min="1" max="1" width="2.6640625" customWidth="1"/>
    <col min="2" max="2" width="40.109375" bestFit="1" customWidth="1"/>
    <col min="3" max="3" width="7.77734375" customWidth="1"/>
    <col min="4" max="4" width="12.5546875" bestFit="1" customWidth="1"/>
    <col min="5" max="5" width="7.77734375" customWidth="1"/>
    <col min="6" max="6" width="11.5546875" bestFit="1" customWidth="1"/>
    <col min="7" max="8" width="10.77734375" customWidth="1"/>
    <col min="9" max="9" width="3.77734375" customWidth="1"/>
    <col min="10" max="10" width="26.109375" bestFit="1" customWidth="1"/>
  </cols>
  <sheetData>
    <row r="6" spans="2:11" s="26" customFormat="1" x14ac:dyDescent="0.3">
      <c r="B6" s="89" t="s">
        <v>1266</v>
      </c>
      <c r="C6" s="90"/>
      <c r="D6" s="90"/>
      <c r="E6" s="90"/>
      <c r="F6" s="90"/>
      <c r="G6" s="90"/>
      <c r="H6" s="90"/>
      <c r="I6"/>
      <c r="J6" s="277" t="s">
        <v>0</v>
      </c>
      <c r="K6" s="277"/>
    </row>
    <row r="7" spans="2:11" s="26" customFormat="1" ht="26.4" x14ac:dyDescent="0.3">
      <c r="B7" s="91" t="s">
        <v>1</v>
      </c>
      <c r="C7" s="14" t="s">
        <v>2</v>
      </c>
      <c r="D7" s="87" t="s">
        <v>571</v>
      </c>
      <c r="E7" s="87" t="s">
        <v>572</v>
      </c>
      <c r="F7" s="87" t="s">
        <v>573</v>
      </c>
      <c r="G7" s="92" t="s">
        <v>4</v>
      </c>
      <c r="H7" s="92" t="s">
        <v>5</v>
      </c>
      <c r="I7"/>
      <c r="J7" s="5" t="s">
        <v>6</v>
      </c>
      <c r="K7" s="6" t="e">
        <f>SUM(Tabla1103453454455456479108109112209[Total costo])</f>
        <v>#N/A</v>
      </c>
    </row>
    <row r="8" spans="2:11" s="26" customFormat="1" x14ac:dyDescent="0.3">
      <c r="B8" s="7" t="s">
        <v>373</v>
      </c>
      <c r="C8" s="8" t="s">
        <v>570</v>
      </c>
      <c r="D8" s="9">
        <v>7</v>
      </c>
      <c r="E8" s="9">
        <v>0</v>
      </c>
      <c r="F8" s="9">
        <v>7</v>
      </c>
      <c r="G8" s="10">
        <f>+VLOOKUP(Tabla1103453454455456479108109112209[[#This Row],[Ingrediente]],Tabla34[#All],3,0)</f>
        <v>485.71428571000001</v>
      </c>
      <c r="H8" s="11">
        <f>+Tabla1103453454455456479108109112209[[#This Row],[Costo]]*Tabla1103453454455456479108109112209[[#This Row],[Unidades]]</f>
        <v>3399.9999999700003</v>
      </c>
      <c r="I8"/>
      <c r="J8" s="5" t="s">
        <v>113</v>
      </c>
      <c r="K8" s="12" t="e">
        <f>+K7*5%</f>
        <v>#N/A</v>
      </c>
    </row>
    <row r="9" spans="2:11" s="26" customFormat="1" x14ac:dyDescent="0.3">
      <c r="B9" s="7" t="s">
        <v>398</v>
      </c>
      <c r="C9" s="8" t="s">
        <v>188</v>
      </c>
      <c r="D9" s="9">
        <v>10</v>
      </c>
      <c r="E9" s="9">
        <v>0</v>
      </c>
      <c r="F9" s="9">
        <v>10</v>
      </c>
      <c r="G9" s="10">
        <f>+VLOOKUP(Tabla1103453454455456479108109112209[[#This Row],[Ingrediente]],Tabla34[#All],3,0)</f>
        <v>3.7999999999999994</v>
      </c>
      <c r="H9" s="11">
        <f>+Tabla1103453454455456479108109112209[[#This Row],[Costo]]*Tabla1103453454455456479108109112209[[#This Row],[Unidades]]</f>
        <v>37.999999999999993</v>
      </c>
      <c r="I9"/>
      <c r="J9" s="5" t="s">
        <v>9</v>
      </c>
      <c r="K9" s="12" t="e">
        <f>+K7+K8</f>
        <v>#N/A</v>
      </c>
    </row>
    <row r="10" spans="2:11" s="26" customFormat="1" x14ac:dyDescent="0.3">
      <c r="B10" s="7" t="s">
        <v>446</v>
      </c>
      <c r="C10" s="8" t="s">
        <v>188</v>
      </c>
      <c r="D10" s="9">
        <v>2</v>
      </c>
      <c r="E10" s="9">
        <v>40</v>
      </c>
      <c r="F10" s="9">
        <v>3.3330000000000002</v>
      </c>
      <c r="G10" s="10">
        <f>+VLOOKUP(Tabla1103453454455456479108109112209[[#This Row],[Ingrediente]],Tabla34[#All],3,0)</f>
        <v>5.5</v>
      </c>
      <c r="H10" s="11">
        <f>+Tabla1103453454455456479108109112209[[#This Row],[Costo]]*Tabla1103453454455456479108109112209[[#This Row],[Unidades]]</f>
        <v>18.331500000000002</v>
      </c>
      <c r="I10"/>
      <c r="J10" s="17" t="s">
        <v>10</v>
      </c>
      <c r="K10" s="18">
        <v>99000</v>
      </c>
    </row>
    <row r="11" spans="2:11" s="26" customFormat="1" x14ac:dyDescent="0.3">
      <c r="B11" s="7" t="s">
        <v>368</v>
      </c>
      <c r="C11" s="8" t="s">
        <v>188</v>
      </c>
      <c r="D11" s="9">
        <v>120</v>
      </c>
      <c r="E11" s="9">
        <v>10</v>
      </c>
      <c r="F11" s="9">
        <v>133.333</v>
      </c>
      <c r="G11" s="10">
        <f>+VLOOKUP(Tabla1103453454455456479108109112209[[#This Row],[Ingrediente]],Tabla34[#All],3,0)</f>
        <v>37</v>
      </c>
      <c r="H11" s="11">
        <f>+Tabla1103453454455456479108109112209[[#This Row],[Costo]]*Tabla1103453454455456479108109112209[[#This Row],[Unidades]]</f>
        <v>4933.3209999999999</v>
      </c>
      <c r="I11"/>
      <c r="J11" s="5" t="s">
        <v>11</v>
      </c>
      <c r="K11" s="12">
        <f>+K10/1.08*0.08</f>
        <v>7333.333333333333</v>
      </c>
    </row>
    <row r="12" spans="2:11" s="26" customFormat="1" x14ac:dyDescent="0.3">
      <c r="B12" s="21" t="s">
        <v>35</v>
      </c>
      <c r="C12" s="8" t="s">
        <v>188</v>
      </c>
      <c r="D12" s="9">
        <v>50</v>
      </c>
      <c r="E12" s="9">
        <v>0</v>
      </c>
      <c r="F12" s="9">
        <v>50</v>
      </c>
      <c r="G12" s="10">
        <f>+VLOOKUP(Tabla1103453454455456479108109112209[[#This Row],[Ingrediente]],Tabla34[#All],3,0)</f>
        <v>4.7460000000000004</v>
      </c>
      <c r="H12" s="11">
        <f>+Tabla1103453454455456479108109112209[[#This Row],[Costo]]*Tabla1103453454455456479108109112209[[#This Row],[Unidades]]</f>
        <v>237.3</v>
      </c>
      <c r="I12"/>
      <c r="J12" s="5" t="s">
        <v>12</v>
      </c>
      <c r="K12" s="12">
        <f>+K10-K11</f>
        <v>91666.666666666672</v>
      </c>
    </row>
    <row r="13" spans="2:11" s="26" customFormat="1" x14ac:dyDescent="0.3">
      <c r="B13" s="7" t="s">
        <v>226</v>
      </c>
      <c r="C13" s="8" t="s">
        <v>188</v>
      </c>
      <c r="D13" s="9">
        <v>10</v>
      </c>
      <c r="E13" s="9">
        <v>0</v>
      </c>
      <c r="F13" s="9">
        <v>10</v>
      </c>
      <c r="G13" s="10">
        <f>+VLOOKUP(Tabla1103453454455456479108109112209[[#This Row],[Ingrediente]],Tabla34[#All],3,0)</f>
        <v>10.179495380000001</v>
      </c>
      <c r="H13" s="11">
        <f>+Tabla1103453454455456479108109112209[[#This Row],[Costo]]*Tabla1103453454455456479108109112209[[#This Row],[Unidades]]</f>
        <v>101.7949538</v>
      </c>
      <c r="I13" s="4"/>
      <c r="J13" s="5" t="s">
        <v>13</v>
      </c>
      <c r="K13" s="19" t="e">
        <f>+K9/K12</f>
        <v>#N/A</v>
      </c>
    </row>
    <row r="14" spans="2:11" s="26" customFormat="1" x14ac:dyDescent="0.3">
      <c r="B14" s="21" t="s">
        <v>512</v>
      </c>
      <c r="C14" s="8" t="s">
        <v>188</v>
      </c>
      <c r="D14" s="9">
        <v>40</v>
      </c>
      <c r="E14" s="9">
        <v>0</v>
      </c>
      <c r="F14" s="9">
        <v>40</v>
      </c>
      <c r="G14" s="10">
        <f>+VLOOKUP(Tabla1103453454455456479108109112209[[#This Row],[Ingrediente]],Tabla34[#All],3,0)</f>
        <v>9.7905400900000004</v>
      </c>
      <c r="H14" s="11">
        <f>+Tabla1103453454455456479108109112209[[#This Row],[Costo]]*Tabla1103453454455456479108109112209[[#This Row],[Unidades]]</f>
        <v>391.62160360000001</v>
      </c>
      <c r="I14" s="4"/>
      <c r="J14" s="5" t="s">
        <v>14</v>
      </c>
      <c r="K14" s="20" t="e">
        <f>+K12-K9</f>
        <v>#N/A</v>
      </c>
    </row>
    <row r="15" spans="2:11" s="26" customFormat="1" x14ac:dyDescent="0.3">
      <c r="B15" s="7" t="s">
        <v>74</v>
      </c>
      <c r="C15" s="8" t="s">
        <v>188</v>
      </c>
      <c r="D15" s="9">
        <v>30</v>
      </c>
      <c r="E15" s="9">
        <v>0</v>
      </c>
      <c r="F15" s="9">
        <v>30</v>
      </c>
      <c r="G15" s="10">
        <f>+VLOOKUP(Tabla1103453454455456479108109112209[[#This Row],[Ingrediente]],Tabla34[#All],3,0)</f>
        <v>12.25316591</v>
      </c>
      <c r="H15" s="11">
        <f>+Tabla1103453454455456479108109112209[[#This Row],[Costo]]*Tabla1103453454455456479108109112209[[#This Row],[Unidades]]</f>
        <v>367.59497729999998</v>
      </c>
      <c r="I15" s="4"/>
      <c r="J15" s="5" t="s">
        <v>15</v>
      </c>
      <c r="K15" s="22" t="e">
        <f>+K14/K9</f>
        <v>#N/A</v>
      </c>
    </row>
    <row r="16" spans="2:11" s="26" customFormat="1" x14ac:dyDescent="0.3">
      <c r="B16" s="21" t="s">
        <v>526</v>
      </c>
      <c r="C16" s="8" t="s">
        <v>188</v>
      </c>
      <c r="D16" s="9">
        <v>20</v>
      </c>
      <c r="E16" s="9">
        <v>0</v>
      </c>
      <c r="F16" s="9">
        <v>20</v>
      </c>
      <c r="G16" s="10">
        <f>+VLOOKUP(Tabla1103453454455456479108109112209[[#This Row],[Ingrediente]],Tabla34[#All],3,0)</f>
        <v>23.747277729999997</v>
      </c>
      <c r="H16" s="11">
        <f>+Tabla1103453454455456479108109112209[[#This Row],[Costo]]*Tabla1103453454455456479108109112209[[#This Row],[Unidades]]</f>
        <v>474.94555459999992</v>
      </c>
      <c r="I16" s="4"/>
      <c r="J16" s="4"/>
      <c r="K16" s="23"/>
    </row>
    <row r="17" spans="2:11" s="26" customFormat="1" x14ac:dyDescent="0.3">
      <c r="B17" s="7" t="s">
        <v>441</v>
      </c>
      <c r="C17" s="8" t="s">
        <v>570</v>
      </c>
      <c r="D17" s="9">
        <v>2</v>
      </c>
      <c r="E17" s="9">
        <v>0</v>
      </c>
      <c r="F17" s="9">
        <v>2</v>
      </c>
      <c r="G17" s="10">
        <f>+VLOOKUP(Tabla1103453454455456479108109112209[[#This Row],[Ingrediente]],Tabla34[#All],3,0)</f>
        <v>7157.0970217900003</v>
      </c>
      <c r="H17" s="11">
        <f>+Tabla1103453454455456479108109112209[[#This Row],[Costo]]*Tabla1103453454455456479108109112209[[#This Row],[Unidades]]</f>
        <v>14314.194043580001</v>
      </c>
      <c r="I17" s="4"/>
      <c r="J17" s="24"/>
      <c r="K17" s="24"/>
    </row>
    <row r="18" spans="2:11" s="26" customFormat="1" x14ac:dyDescent="0.3">
      <c r="B18" s="85" t="s">
        <v>995</v>
      </c>
      <c r="C18" s="8" t="s">
        <v>188</v>
      </c>
      <c r="D18" s="9">
        <v>25</v>
      </c>
      <c r="E18" s="9">
        <v>0</v>
      </c>
      <c r="F18" s="9">
        <v>25</v>
      </c>
      <c r="G18" s="10">
        <f>+VLOOKUP(Tabla1103453454455456479108109112209[[#This Row],[Ingrediente]],Tabla34[#All],3,0)</f>
        <v>27.452214089999998</v>
      </c>
      <c r="H18" s="11">
        <f>+Tabla1103453454455456479108109112209[[#This Row],[Costo]]*Tabla1103453454455456479108109112209[[#This Row],[Unidades]]</f>
        <v>686.30535224999994</v>
      </c>
      <c r="I18" s="4"/>
      <c r="J18"/>
      <c r="K18"/>
    </row>
    <row r="19" spans="2:11" s="26" customFormat="1" x14ac:dyDescent="0.3">
      <c r="B19" s="7" t="s">
        <v>533</v>
      </c>
      <c r="C19" s="8" t="s">
        <v>570</v>
      </c>
      <c r="D19" s="9">
        <v>1</v>
      </c>
      <c r="E19" s="9">
        <v>0</v>
      </c>
      <c r="F19" s="9">
        <v>1</v>
      </c>
      <c r="G19" s="10">
        <f>+VLOOKUP(Tabla1103453454455456479108109112209[[#This Row],[Ingrediente]],Tabla34[#All],3,0)</f>
        <v>4002.0382164999996</v>
      </c>
      <c r="H19" s="11">
        <f>+Tabla1103453454455456479108109112209[[#This Row],[Costo]]*Tabla1103453454455456479108109112209[[#This Row],[Unidades]]</f>
        <v>4002.0382164999996</v>
      </c>
    </row>
    <row r="20" spans="2:11" s="26" customFormat="1" x14ac:dyDescent="0.3">
      <c r="B20" s="7" t="s">
        <v>1307</v>
      </c>
      <c r="C20" s="8" t="s">
        <v>570</v>
      </c>
      <c r="D20" s="9">
        <v>2</v>
      </c>
      <c r="E20" s="9">
        <v>0</v>
      </c>
      <c r="F20" s="9">
        <v>2</v>
      </c>
      <c r="G20" s="10" t="e">
        <f>+VLOOKUP(Tabla1103453454455456479108109112209[[#This Row],[Ingrediente]],Tabla34[#All],3,0)</f>
        <v>#N/A</v>
      </c>
      <c r="H20" s="11" t="e">
        <f>+Tabla1103453454455456479108109112209[[#This Row],[Costo]]*Tabla1103453454455456479108109112209[[#This Row],[Unidades]]</f>
        <v>#N/A</v>
      </c>
    </row>
    <row r="21" spans="2:11" s="26" customFormat="1" x14ac:dyDescent="0.3">
      <c r="B21" s="7" t="s">
        <v>476</v>
      </c>
      <c r="C21" s="8" t="s">
        <v>188</v>
      </c>
      <c r="D21" s="9">
        <v>30</v>
      </c>
      <c r="E21" s="9">
        <v>30</v>
      </c>
      <c r="F21" s="9">
        <v>42.856999999999999</v>
      </c>
      <c r="G21" s="10">
        <f>+VLOOKUP(Tabla1103453454455456479108109112209[[#This Row],[Ingrediente]],Tabla34[#All],3,0)</f>
        <v>2.5</v>
      </c>
      <c r="H21" s="11">
        <f>+Tabla1103453454455456479108109112209[[#This Row],[Costo]]*Tabla1103453454455456479108109112209[[#This Row],[Unidades]]</f>
        <v>107.1425</v>
      </c>
    </row>
    <row r="22" spans="2:11" s="26" customFormat="1" x14ac:dyDescent="0.3">
      <c r="B22" s="13"/>
      <c r="C22" s="14"/>
      <c r="D22" s="14"/>
      <c r="E22" s="14"/>
      <c r="F22" s="14"/>
      <c r="G22" s="15"/>
      <c r="H22" s="15" t="e">
        <f>SUBTOTAL(109,Tabla1103453454455456479108109112209[Total costo])</f>
        <v>#N/A</v>
      </c>
    </row>
    <row r="23" spans="2:11" x14ac:dyDescent="0.3">
      <c r="G23" s="26"/>
      <c r="H23" s="26"/>
      <c r="J23" s="277" t="s">
        <v>0</v>
      </c>
      <c r="K23" s="277"/>
    </row>
    <row r="24" spans="2:11" x14ac:dyDescent="0.3">
      <c r="B24" s="196" t="s">
        <v>887</v>
      </c>
      <c r="C24" s="90"/>
      <c r="D24" s="90"/>
      <c r="E24" s="90"/>
      <c r="F24" s="90"/>
      <c r="G24" s="90"/>
      <c r="H24" s="90"/>
      <c r="I24" s="4"/>
      <c r="J24" s="5" t="s">
        <v>6</v>
      </c>
      <c r="K24" s="6">
        <f>SUM(Tabla1103453454455456479108109117119120123124126127210[Total costo])</f>
        <v>19793.118978139999</v>
      </c>
    </row>
    <row r="25" spans="2:11" ht="26.4" x14ac:dyDescent="0.3">
      <c r="B25" s="91" t="s">
        <v>1</v>
      </c>
      <c r="C25" s="14" t="s">
        <v>2</v>
      </c>
      <c r="D25" s="87" t="s">
        <v>571</v>
      </c>
      <c r="E25" s="87" t="s">
        <v>572</v>
      </c>
      <c r="F25" s="87" t="s">
        <v>573</v>
      </c>
      <c r="G25" s="92" t="s">
        <v>4</v>
      </c>
      <c r="H25" s="92" t="s">
        <v>5</v>
      </c>
      <c r="I25" s="4"/>
      <c r="J25" s="5" t="s">
        <v>113</v>
      </c>
      <c r="K25" s="12">
        <f>+K24*5%</f>
        <v>989.65594890700004</v>
      </c>
    </row>
    <row r="26" spans="2:11" x14ac:dyDescent="0.3">
      <c r="B26" s="219" t="s">
        <v>406</v>
      </c>
      <c r="C26" s="217" t="s">
        <v>188</v>
      </c>
      <c r="D26" s="218">
        <v>60</v>
      </c>
      <c r="E26" s="9">
        <v>25</v>
      </c>
      <c r="F26" s="9">
        <v>80</v>
      </c>
      <c r="G26" s="10">
        <f>+VLOOKUP(Tabla1103453454455456479108109117119120123124126127210[[#This Row],[Ingrediente]],Tabla34[#All],3,0)</f>
        <v>14</v>
      </c>
      <c r="H26" s="11">
        <f>+Tabla1103453454455456479108109117119120123124126127210[[#This Row],[Costo]]*Tabla1103453454455456479108109117119120123124126127210[[#This Row],[Unidades]]</f>
        <v>1120</v>
      </c>
      <c r="I26" s="4"/>
      <c r="J26" s="5" t="s">
        <v>9</v>
      </c>
      <c r="K26" s="12">
        <f>+K24+K25</f>
        <v>20782.774927046998</v>
      </c>
    </row>
    <row r="27" spans="2:11" x14ac:dyDescent="0.3">
      <c r="B27" s="220" t="s">
        <v>470</v>
      </c>
      <c r="C27" s="217" t="s">
        <v>188</v>
      </c>
      <c r="D27" s="218">
        <v>3</v>
      </c>
      <c r="E27" s="9">
        <v>33</v>
      </c>
      <c r="F27" s="9">
        <v>4.4779999999999998</v>
      </c>
      <c r="G27" s="10">
        <f>+VLOOKUP(Tabla1103453454455456479108109117119120123124126127210[[#This Row],[Ingrediente]],Tabla34[#All],3,0)</f>
        <v>8</v>
      </c>
      <c r="H27" s="11">
        <f>+Tabla1103453454455456479108109117119120123124126127210[[#This Row],[Costo]]*Tabla1103453454455456479108109117119120123124126127210[[#This Row],[Unidades]]</f>
        <v>35.823999999999998</v>
      </c>
      <c r="I27" s="4"/>
      <c r="J27" s="17" t="s">
        <v>10</v>
      </c>
      <c r="K27" s="18">
        <v>85000</v>
      </c>
    </row>
    <row r="28" spans="2:11" x14ac:dyDescent="0.3">
      <c r="B28" s="220" t="s">
        <v>480</v>
      </c>
      <c r="C28" s="217" t="s">
        <v>188</v>
      </c>
      <c r="D28" s="218">
        <v>1</v>
      </c>
      <c r="E28" s="9">
        <v>0</v>
      </c>
      <c r="F28" s="9">
        <v>1</v>
      </c>
      <c r="G28" s="10">
        <f>+VLOOKUP(Tabla1103453454455456479108109117119120123124126127210[[#This Row],[Ingrediente]],Tabla34[#All],3,0)</f>
        <v>328.34</v>
      </c>
      <c r="H28" s="11">
        <f>+Tabla1103453454455456479108109117119120123124126127210[[#This Row],[Costo]]*Tabla1103453454455456479108109117119120123124126127210[[#This Row],[Unidades]]</f>
        <v>328.34</v>
      </c>
      <c r="J28" s="5" t="s">
        <v>11</v>
      </c>
      <c r="K28" s="12">
        <f>+K27/1.08*0.08</f>
        <v>6296.2962962962956</v>
      </c>
    </row>
    <row r="29" spans="2:11" x14ac:dyDescent="0.3">
      <c r="B29" s="219" t="s">
        <v>373</v>
      </c>
      <c r="C29" s="217" t="s">
        <v>570</v>
      </c>
      <c r="D29" s="218">
        <v>7</v>
      </c>
      <c r="E29" s="9">
        <v>0</v>
      </c>
      <c r="F29" s="9">
        <v>7</v>
      </c>
      <c r="G29" s="10">
        <f>+VLOOKUP(Tabla1103453454455456479108109117119120123124126127210[[#This Row],[Ingrediente]],Tabla34[#All],3,0)</f>
        <v>485.71428571000001</v>
      </c>
      <c r="H29" s="11">
        <f>+Tabla1103453454455456479108109117119120123124126127210[[#This Row],[Costo]]*Tabla1103453454455456479108109117119120123124126127210[[#This Row],[Unidades]]</f>
        <v>3399.9999999700003</v>
      </c>
      <c r="I29" s="24"/>
      <c r="J29" s="5" t="s">
        <v>12</v>
      </c>
      <c r="K29" s="12">
        <f>+K27-K28</f>
        <v>78703.703703703708</v>
      </c>
    </row>
    <row r="30" spans="2:11" x14ac:dyDescent="0.3">
      <c r="B30" s="220" t="s">
        <v>398</v>
      </c>
      <c r="C30" s="217" t="s">
        <v>188</v>
      </c>
      <c r="D30" s="218">
        <v>20</v>
      </c>
      <c r="E30" s="9">
        <v>27</v>
      </c>
      <c r="F30" s="9">
        <v>27.396999999999998</v>
      </c>
      <c r="G30" s="10">
        <f>+VLOOKUP(Tabla1103453454455456479108109117119120123124126127210[[#This Row],[Ingrediente]],Tabla34[#All],3,0)</f>
        <v>3.7999999999999994</v>
      </c>
      <c r="H30" s="11">
        <f>+Tabla1103453454455456479108109117119120123124126127210[[#This Row],[Costo]]*Tabla1103453454455456479108109117119120123124126127210[[#This Row],[Unidades]]</f>
        <v>104.10859999999998</v>
      </c>
      <c r="J30" s="5" t="s">
        <v>13</v>
      </c>
      <c r="K30" s="19">
        <f>+K26/K29</f>
        <v>0.26406349319071476</v>
      </c>
    </row>
    <row r="31" spans="2:11" x14ac:dyDescent="0.3">
      <c r="B31" s="220" t="s">
        <v>446</v>
      </c>
      <c r="C31" s="217" t="s">
        <v>188</v>
      </c>
      <c r="D31" s="218">
        <v>3</v>
      </c>
      <c r="E31" s="9">
        <v>40</v>
      </c>
      <c r="F31" s="9">
        <v>5</v>
      </c>
      <c r="G31" s="10">
        <f>+VLOOKUP(Tabla1103453454455456479108109117119120123124126127210[[#This Row],[Ingrediente]],Tabla34[#All],3,0)</f>
        <v>5.5</v>
      </c>
      <c r="H31" s="11">
        <f>+Tabla1103453454455456479108109117119120123124126127210[[#This Row],[Costo]]*Tabla1103453454455456479108109117119120123124126127210[[#This Row],[Unidades]]</f>
        <v>27.5</v>
      </c>
      <c r="J31" s="5" t="s">
        <v>14</v>
      </c>
      <c r="K31" s="20">
        <f>+K29-K26</f>
        <v>57920.928776656714</v>
      </c>
    </row>
    <row r="32" spans="2:11" x14ac:dyDescent="0.3">
      <c r="B32" s="219" t="s">
        <v>368</v>
      </c>
      <c r="C32" s="217" t="s">
        <v>188</v>
      </c>
      <c r="D32" s="218">
        <v>60</v>
      </c>
      <c r="E32" s="9">
        <v>10</v>
      </c>
      <c r="F32" s="9">
        <v>66.667000000000002</v>
      </c>
      <c r="G32" s="10">
        <f>+VLOOKUP(Tabla1103453454455456479108109117119120123124126127210[[#This Row],[Ingrediente]],Tabla34[#All],3,0)</f>
        <v>37</v>
      </c>
      <c r="H32" s="11">
        <f>+Tabla1103453454455456479108109117119120123124126127210[[#This Row],[Costo]]*Tabla1103453454455456479108109117119120123124126127210[[#This Row],[Unidades]]</f>
        <v>2466.6790000000001</v>
      </c>
      <c r="J32" s="5" t="s">
        <v>15</v>
      </c>
      <c r="K32" s="22">
        <f>+K31/K26</f>
        <v>2.7869680049932888</v>
      </c>
    </row>
    <row r="33" spans="2:9" x14ac:dyDescent="0.3">
      <c r="B33" s="219" t="s">
        <v>558</v>
      </c>
      <c r="C33" s="217" t="s">
        <v>570</v>
      </c>
      <c r="D33" s="218">
        <v>1</v>
      </c>
      <c r="E33" s="9">
        <v>0</v>
      </c>
      <c r="F33" s="9">
        <v>1</v>
      </c>
      <c r="G33" s="10">
        <f>+VLOOKUP(Tabla1103453454455456479108109117119120123124126127210[[#This Row],[Ingrediente]],Tabla34[#All],3,0)</f>
        <v>354.16666666999998</v>
      </c>
      <c r="H33" s="11">
        <f>+Tabla1103453454455456479108109117119120123124126127210[[#This Row],[Costo]]*Tabla1103453454455456479108109117119120123124126127210[[#This Row],[Unidades]]</f>
        <v>354.16666666999998</v>
      </c>
      <c r="I33" s="4"/>
    </row>
    <row r="34" spans="2:9" x14ac:dyDescent="0.3">
      <c r="B34" s="219" t="s">
        <v>394</v>
      </c>
      <c r="C34" s="217" t="s">
        <v>188</v>
      </c>
      <c r="D34" s="218">
        <v>40</v>
      </c>
      <c r="E34" s="9">
        <v>78</v>
      </c>
      <c r="F34" s="9">
        <v>181.81800000000001</v>
      </c>
      <c r="G34" s="10">
        <f>+VLOOKUP(Tabla1103453454455456479108109117119120123124126127210[[#This Row],[Ingrediente]],Tabla34[#All],3,0)</f>
        <v>4.5</v>
      </c>
      <c r="H34" s="11">
        <f>+Tabla1103453454455456479108109117119120123124126127210[[#This Row],[Costo]]*Tabla1103453454455456479108109117119120123124126127210[[#This Row],[Unidades]]</f>
        <v>818.18100000000004</v>
      </c>
      <c r="I34" s="4"/>
    </row>
    <row r="35" spans="2:9" x14ac:dyDescent="0.3">
      <c r="B35" s="220" t="s">
        <v>376</v>
      </c>
      <c r="C35" s="217" t="s">
        <v>188</v>
      </c>
      <c r="D35" s="218">
        <v>4</v>
      </c>
      <c r="E35" s="9">
        <v>0</v>
      </c>
      <c r="F35" s="9">
        <v>4</v>
      </c>
      <c r="G35" s="10">
        <f>+VLOOKUP(Tabla1103453454455456479108109117119120123124126127210[[#This Row],[Ingrediente]],Tabla34[#All],3,0)</f>
        <v>60.98749999999999</v>
      </c>
      <c r="H35" s="11">
        <f>+Tabla1103453454455456479108109117119120123124126127210[[#This Row],[Costo]]*Tabla1103453454455456479108109117119120123124126127210[[#This Row],[Unidades]]</f>
        <v>243.94999999999996</v>
      </c>
    </row>
    <row r="36" spans="2:9" x14ac:dyDescent="0.3">
      <c r="B36" s="219" t="s">
        <v>226</v>
      </c>
      <c r="C36" s="217" t="s">
        <v>188</v>
      </c>
      <c r="D36" s="218">
        <v>60</v>
      </c>
      <c r="E36" s="9">
        <v>0</v>
      </c>
      <c r="F36" s="9">
        <v>60</v>
      </c>
      <c r="G36" s="10">
        <f>+VLOOKUP(Tabla1103453454455456479108109117119120123124126127210[[#This Row],[Ingrediente]],Tabla34[#All],3,0)</f>
        <v>10.179495380000001</v>
      </c>
      <c r="H36" s="11">
        <f>+Tabla1103453454455456479108109117119120123124126127210[[#This Row],[Costo]]*Tabla1103453454455456479108109117119120123124126127210[[#This Row],[Unidades]]</f>
        <v>610.76972280000007</v>
      </c>
    </row>
    <row r="37" spans="2:9" x14ac:dyDescent="0.3">
      <c r="B37" s="220" t="s">
        <v>662</v>
      </c>
      <c r="C37" s="217" t="s">
        <v>188</v>
      </c>
      <c r="D37" s="218">
        <v>10</v>
      </c>
      <c r="E37" s="9">
        <v>0</v>
      </c>
      <c r="F37" s="9">
        <v>10</v>
      </c>
      <c r="G37" s="10">
        <f>+VLOOKUP(Tabla1103453454455456479108109117119120123124126127210[[#This Row],[Ingrediente]],Tabla34[#All],3,0)</f>
        <v>11.90893019</v>
      </c>
      <c r="H37" s="11">
        <f>+Tabla1103453454455456479108109117119120123124126127210[[#This Row],[Costo]]*Tabla1103453454455456479108109117119120123124126127210[[#This Row],[Unidades]]</f>
        <v>119.0893019</v>
      </c>
    </row>
    <row r="38" spans="2:9" x14ac:dyDescent="0.3">
      <c r="B38" s="220" t="s">
        <v>593</v>
      </c>
      <c r="C38" s="217" t="s">
        <v>188</v>
      </c>
      <c r="D38" s="218">
        <v>20</v>
      </c>
      <c r="E38" s="9">
        <v>0</v>
      </c>
      <c r="F38" s="9">
        <v>20</v>
      </c>
      <c r="G38" s="10">
        <f>+VLOOKUP(Tabla1103453454455456479108109117119120123124126127210[[#This Row],[Ingrediente]],Tabla34[#All],3,0)</f>
        <v>16.682470179999999</v>
      </c>
      <c r="H38" s="11">
        <f>+Tabla1103453454455456479108109117119120123124126127210[[#This Row],[Costo]]*Tabla1103453454455456479108109117119120123124126127210[[#This Row],[Unidades]]</f>
        <v>333.64940359999997</v>
      </c>
    </row>
    <row r="39" spans="2:9" x14ac:dyDescent="0.3">
      <c r="B39" s="220" t="s">
        <v>93</v>
      </c>
      <c r="C39" s="217" t="s">
        <v>188</v>
      </c>
      <c r="D39" s="218">
        <v>100</v>
      </c>
      <c r="E39" s="9">
        <v>0</v>
      </c>
      <c r="F39" s="9">
        <v>100</v>
      </c>
      <c r="G39" s="10">
        <f>+VLOOKUP(Tabla1103453454455456479108109117119120123124126127210[[#This Row],[Ingrediente]],Tabla34[#All],3,0)</f>
        <v>1.25441665</v>
      </c>
      <c r="H39" s="11">
        <f>+Tabla1103453454455456479108109117119120123124126127210[[#This Row],[Costo]]*Tabla1103453454455456479108109117119120123124126127210[[#This Row],[Unidades]]</f>
        <v>125.441665</v>
      </c>
    </row>
    <row r="40" spans="2:9" x14ac:dyDescent="0.3">
      <c r="B40" s="220" t="s">
        <v>962</v>
      </c>
      <c r="C40" s="217" t="s">
        <v>188</v>
      </c>
      <c r="D40" s="218">
        <v>80</v>
      </c>
      <c r="E40" s="9">
        <v>0</v>
      </c>
      <c r="F40" s="9">
        <v>80</v>
      </c>
      <c r="G40" s="10">
        <f>+VLOOKUP(Tabla1103453454455456479108109117119120123124126127210[[#This Row],[Ingrediente]],Tabla34[#All],3,0)</f>
        <v>32.346780520000003</v>
      </c>
      <c r="H40" s="11">
        <f>+Tabla1103453454455456479108109117119120123124126127210[[#This Row],[Costo]]*Tabla1103453454455456479108109117119120123124126127210[[#This Row],[Unidades]]</f>
        <v>2587.7424416000003</v>
      </c>
    </row>
    <row r="41" spans="2:9" x14ac:dyDescent="0.3">
      <c r="B41" s="219" t="s">
        <v>448</v>
      </c>
      <c r="C41" s="217" t="s">
        <v>570</v>
      </c>
      <c r="D41" s="218">
        <v>4</v>
      </c>
      <c r="E41" s="9">
        <v>0</v>
      </c>
      <c r="F41" s="9">
        <v>4</v>
      </c>
      <c r="G41" s="10">
        <f>+VLOOKUP(Tabla1103453454455456479108109117119120123124126127210[[#This Row],[Ingrediente]],Tabla34[#All],3,0)</f>
        <v>1511.9012266699999</v>
      </c>
      <c r="H41" s="11">
        <f>+Tabla1103453454455456479108109117119120123124126127210[[#This Row],[Costo]]*Tabla1103453454455456479108109117119120123124126127210[[#This Row],[Unidades]]</f>
        <v>6047.6049066799997</v>
      </c>
    </row>
    <row r="42" spans="2:9" x14ac:dyDescent="0.3">
      <c r="B42" s="220" t="s">
        <v>681</v>
      </c>
      <c r="C42" s="217" t="s">
        <v>188</v>
      </c>
      <c r="D42" s="218">
        <v>10</v>
      </c>
      <c r="E42" s="9">
        <v>0</v>
      </c>
      <c r="F42" s="9">
        <v>10</v>
      </c>
      <c r="G42" s="10">
        <f>+VLOOKUP(Tabla1103453454455456479108109117119120123124126127210[[#This Row],[Ingrediente]],Tabla34[#All],3,0)</f>
        <v>22.545488500000001</v>
      </c>
      <c r="H42" s="11">
        <f>+Tabla1103453454455456479108109117119120123124126127210[[#This Row],[Costo]]*Tabla1103453454455456479108109117119120123124126127210[[#This Row],[Unidades]]</f>
        <v>225.45488500000002</v>
      </c>
    </row>
    <row r="43" spans="2:9" x14ac:dyDescent="0.3">
      <c r="B43" s="219" t="s">
        <v>535</v>
      </c>
      <c r="C43" s="217" t="s">
        <v>188</v>
      </c>
      <c r="D43" s="218">
        <v>30</v>
      </c>
      <c r="E43" s="9">
        <v>0</v>
      </c>
      <c r="F43" s="9">
        <v>30</v>
      </c>
      <c r="G43" s="10">
        <f>+VLOOKUP(Tabla1103453454455456479108109117119120123124126127210[[#This Row],[Ingrediente]],Tabla34[#All],3,0)</f>
        <v>4.6491312499999999</v>
      </c>
      <c r="H43" s="11">
        <f>+Tabla1103453454455456479108109117119120123124126127210[[#This Row],[Costo]]*Tabla1103453454455456479108109117119120123124126127210[[#This Row],[Unidades]]</f>
        <v>139.47393750000001</v>
      </c>
    </row>
    <row r="44" spans="2:9" x14ac:dyDescent="0.3">
      <c r="B44" s="220" t="s">
        <v>964</v>
      </c>
      <c r="C44" s="217" t="s">
        <v>188</v>
      </c>
      <c r="D44" s="218">
        <v>2</v>
      </c>
      <c r="E44" s="9">
        <v>0</v>
      </c>
      <c r="F44" s="9">
        <v>2</v>
      </c>
      <c r="G44" s="10">
        <f>+VLOOKUP(Tabla1103453454455456479108109117119120123124126127210[[#This Row],[Ingrediente]],Tabla34[#All],3,0)</f>
        <v>5.9757462099999996</v>
      </c>
      <c r="H44" s="11">
        <f>+Tabla1103453454455456479108109117119120123124126127210[[#This Row],[Costo]]*Tabla1103453454455456479108109117119120123124126127210[[#This Row],[Unidades]]</f>
        <v>11.951492419999999</v>
      </c>
    </row>
    <row r="45" spans="2:9" x14ac:dyDescent="0.3">
      <c r="B45" s="219" t="s">
        <v>529</v>
      </c>
      <c r="C45" s="217" t="s">
        <v>188</v>
      </c>
      <c r="D45" s="218">
        <v>20</v>
      </c>
      <c r="E45" s="9">
        <v>0</v>
      </c>
      <c r="F45" s="9">
        <v>20</v>
      </c>
      <c r="G45" s="10">
        <f>+VLOOKUP(Tabla1103453454455456479108109117119120123124126127210[[#This Row],[Ingrediente]],Tabla34[#All],3,0)</f>
        <v>11.633897749999997</v>
      </c>
      <c r="H45" s="11">
        <f>+Tabla1103453454455456479108109117119120123124126127210[[#This Row],[Costo]]*Tabla1103453454455456479108109117119120123124126127210[[#This Row],[Unidades]]</f>
        <v>232.67795499999994</v>
      </c>
    </row>
    <row r="46" spans="2:9" x14ac:dyDescent="0.3">
      <c r="B46" s="219" t="s">
        <v>458</v>
      </c>
      <c r="C46" s="217" t="s">
        <v>188</v>
      </c>
      <c r="D46" s="218">
        <v>10</v>
      </c>
      <c r="E46" s="9">
        <v>0</v>
      </c>
      <c r="F46" s="9">
        <v>10</v>
      </c>
      <c r="G46" s="10">
        <f>+VLOOKUP(Tabla1103453454455456479108109117119120123124126127210[[#This Row],[Ingrediente]],Tabla34[#All],3,0)</f>
        <v>5</v>
      </c>
      <c r="H46" s="11">
        <f>+Tabla1103453454455456479108109117119120123124126127210[[#This Row],[Costo]]*Tabla1103453454455456479108109117119120123124126127210[[#This Row],[Unidades]]</f>
        <v>50</v>
      </c>
    </row>
    <row r="47" spans="2:9" x14ac:dyDescent="0.3">
      <c r="B47" s="219" t="s">
        <v>444</v>
      </c>
      <c r="C47" s="217" t="s">
        <v>188</v>
      </c>
      <c r="D47" s="218">
        <v>10</v>
      </c>
      <c r="E47" s="9">
        <v>5</v>
      </c>
      <c r="F47" s="9">
        <v>10.526</v>
      </c>
      <c r="G47" s="10">
        <f>+VLOOKUP(Tabla1103453454455456479108109117119120123124126127210[[#This Row],[Ingrediente]],Tabla34[#All],3,0)</f>
        <v>39</v>
      </c>
      <c r="H47" s="11">
        <f>+Tabla1103453454455456479108109117119120123124126127210[[#This Row],[Costo]]*Tabla1103453454455456479108109117119120123124126127210[[#This Row],[Unidades]]</f>
        <v>410.51400000000001</v>
      </c>
    </row>
    <row r="48" spans="2:9" x14ac:dyDescent="0.3">
      <c r="B48" s="13"/>
      <c r="C48" s="14"/>
      <c r="D48" s="14"/>
      <c r="E48" s="14"/>
      <c r="F48" s="14"/>
      <c r="G48" s="15"/>
      <c r="H48" s="15">
        <f>SUBTOTAL(109,Tabla1103453454455456479108109117119120123124126127210[Total costo])</f>
        <v>19793.118978139999</v>
      </c>
    </row>
    <row r="49" spans="2:11" s="26" customFormat="1" x14ac:dyDescent="0.3">
      <c r="B49" s="222"/>
      <c r="C49" s="223"/>
      <c r="D49" s="223"/>
      <c r="E49" s="223"/>
      <c r="F49" s="223"/>
      <c r="G49" s="268"/>
      <c r="H49" s="268"/>
    </row>
    <row r="50" spans="2:11" x14ac:dyDescent="0.3">
      <c r="B50" s="89" t="s">
        <v>779</v>
      </c>
      <c r="C50" s="90"/>
      <c r="D50" s="90"/>
      <c r="E50" s="90"/>
      <c r="F50" s="90"/>
      <c r="G50" s="90"/>
      <c r="H50" s="90"/>
      <c r="J50" s="277" t="s">
        <v>0</v>
      </c>
      <c r="K50" s="277"/>
    </row>
    <row r="51" spans="2:11" ht="26.4" x14ac:dyDescent="0.3">
      <c r="B51" s="91" t="s">
        <v>1</v>
      </c>
      <c r="C51" s="14" t="s">
        <v>2</v>
      </c>
      <c r="D51" s="87" t="s">
        <v>571</v>
      </c>
      <c r="E51" s="87" t="s">
        <v>572</v>
      </c>
      <c r="F51" s="87" t="s">
        <v>573</v>
      </c>
      <c r="G51" s="92" t="s">
        <v>4</v>
      </c>
      <c r="H51" s="92" t="s">
        <v>5</v>
      </c>
      <c r="I51" s="4"/>
      <c r="J51" s="5" t="s">
        <v>6</v>
      </c>
      <c r="K51" s="6">
        <f>SUM(Tabla11034534544554564791081091171191201231241261272107276[Total costo])</f>
        <v>84415.20636478001</v>
      </c>
    </row>
    <row r="52" spans="2:11" x14ac:dyDescent="0.3">
      <c r="B52" s="7" t="s">
        <v>38</v>
      </c>
      <c r="C52" s="8" t="s">
        <v>188</v>
      </c>
      <c r="D52" s="9">
        <v>50</v>
      </c>
      <c r="E52" s="9">
        <v>0</v>
      </c>
      <c r="F52" s="9">
        <v>50</v>
      </c>
      <c r="G52" s="10">
        <f>+VLOOKUP(Tabla11034534544554564791081091171191201231241261272107276[[#This Row],[Ingrediente]],Tabla34[#All],3,0)</f>
        <v>18.859000000000002</v>
      </c>
      <c r="H52" s="11">
        <f>+Tabla11034534544554564791081091171191201231241261272107276[[#This Row],[Costo]]*Tabla11034534544554564791081091171191201231241261272107276[[#This Row],[Unidades]]</f>
        <v>942.95</v>
      </c>
      <c r="I52" s="4"/>
      <c r="J52" s="5" t="s">
        <v>113</v>
      </c>
      <c r="K52" s="12">
        <f>+K51*5%</f>
        <v>4220.7603182390003</v>
      </c>
    </row>
    <row r="53" spans="2:11" x14ac:dyDescent="0.3">
      <c r="B53" s="7" t="s">
        <v>480</v>
      </c>
      <c r="C53" s="8" t="s">
        <v>188</v>
      </c>
      <c r="D53" s="9">
        <v>1</v>
      </c>
      <c r="E53" s="9">
        <v>0</v>
      </c>
      <c r="F53" s="9">
        <v>1</v>
      </c>
      <c r="G53" s="10">
        <f>+VLOOKUP(Tabla11034534544554564791081091171191201231241261272107276[[#This Row],[Ingrediente]],Tabla34[#All],3,0)</f>
        <v>328.34</v>
      </c>
      <c r="H53" s="11">
        <f>+Tabla11034534544554564791081091171191201231241261272107276[[#This Row],[Costo]]*Tabla11034534544554564791081091171191201231241261272107276[[#This Row],[Unidades]]</f>
        <v>328.34</v>
      </c>
      <c r="I53" s="4"/>
      <c r="J53" s="5" t="s">
        <v>9</v>
      </c>
      <c r="K53" s="12">
        <f>+K51+K52</f>
        <v>88635.966683019011</v>
      </c>
    </row>
    <row r="54" spans="2:11" x14ac:dyDescent="0.3">
      <c r="B54" s="7" t="s">
        <v>370</v>
      </c>
      <c r="C54" s="8" t="s">
        <v>570</v>
      </c>
      <c r="D54" s="9">
        <v>2</v>
      </c>
      <c r="E54" s="9">
        <v>0</v>
      </c>
      <c r="F54" s="9">
        <v>2</v>
      </c>
      <c r="G54" s="10">
        <f>+VLOOKUP(Tabla11034534544554564791081091171191201231241261272107276[[#This Row],[Ingrediente]],Tabla34[#All],3,0)</f>
        <v>17250</v>
      </c>
      <c r="H54" s="11">
        <f>+Tabla11034534544554564791081091171191201231241261272107276[[#This Row],[Costo]]*Tabla11034534544554564791081091171191201231241261272107276[[#This Row],[Unidades]]</f>
        <v>34500</v>
      </c>
      <c r="I54" s="4"/>
      <c r="J54" s="17" t="s">
        <v>10</v>
      </c>
      <c r="K54" s="18">
        <v>299000</v>
      </c>
    </row>
    <row r="55" spans="2:11" x14ac:dyDescent="0.3">
      <c r="B55" s="7" t="s">
        <v>388</v>
      </c>
      <c r="C55" s="8" t="s">
        <v>570</v>
      </c>
      <c r="D55" s="9">
        <v>5</v>
      </c>
      <c r="E55" s="9">
        <v>0</v>
      </c>
      <c r="F55" s="9">
        <v>5</v>
      </c>
      <c r="G55" s="10">
        <f>+VLOOKUP(Tabla11034534544554564791081091171191201231241261272107276[[#This Row],[Ingrediente]],Tabla34[#All],3,0)</f>
        <v>1300</v>
      </c>
      <c r="H55" s="11">
        <f>+Tabla11034534544554564791081091171191201231241261272107276[[#This Row],[Costo]]*Tabla11034534544554564791081091171191201231241261272107276[[#This Row],[Unidades]]</f>
        <v>6500</v>
      </c>
      <c r="J55" s="5" t="s">
        <v>11</v>
      </c>
      <c r="K55" s="12">
        <f>+K54/1.08*0.08</f>
        <v>22148.14814814815</v>
      </c>
    </row>
    <row r="56" spans="2:11" x14ac:dyDescent="0.3">
      <c r="B56" s="7" t="s">
        <v>514</v>
      </c>
      <c r="C56" s="8" t="s">
        <v>188</v>
      </c>
      <c r="D56" s="9">
        <v>80</v>
      </c>
      <c r="E56" s="9">
        <v>0</v>
      </c>
      <c r="F56" s="9">
        <v>80</v>
      </c>
      <c r="G56" s="10">
        <f>+VLOOKUP(Tabla11034534544554564791081091171191201231241261272107276[[#This Row],[Ingrediente]],Tabla34[#All],3,0)</f>
        <v>7.5</v>
      </c>
      <c r="H56" s="11">
        <f>+Tabla11034534544554564791081091171191201231241261272107276[[#This Row],[Costo]]*Tabla11034534544554564791081091171191201231241261272107276[[#This Row],[Unidades]]</f>
        <v>600</v>
      </c>
      <c r="I56" s="24"/>
      <c r="J56" s="5" t="s">
        <v>12</v>
      </c>
      <c r="K56" s="12">
        <f>+K54-K55</f>
        <v>276851.85185185185</v>
      </c>
    </row>
    <row r="57" spans="2:11" x14ac:dyDescent="0.3">
      <c r="B57" s="21" t="s">
        <v>384</v>
      </c>
      <c r="C57" s="8" t="s">
        <v>188</v>
      </c>
      <c r="D57" s="9">
        <v>79.999996499999995</v>
      </c>
      <c r="E57" s="9">
        <v>10</v>
      </c>
      <c r="F57" s="9">
        <v>88.888885000000002</v>
      </c>
      <c r="G57" s="10">
        <f>+VLOOKUP(Tabla11034534544554564791081091171191201231241261272107276[[#This Row],[Ingrediente]],Tabla34[#All],3,0)</f>
        <v>4.5</v>
      </c>
      <c r="H57" s="11">
        <f>+Tabla11034534544554564791081091171191201231241261272107276[[#This Row],[Costo]]*Tabla11034534544554564791081091171191201231241261272107276[[#This Row],[Unidades]]</f>
        <v>399.99998249999999</v>
      </c>
      <c r="J57" s="5" t="s">
        <v>13</v>
      </c>
      <c r="K57" s="19">
        <f>+K53/K56</f>
        <v>0.32015666895538641</v>
      </c>
    </row>
    <row r="58" spans="2:11" x14ac:dyDescent="0.3">
      <c r="B58" s="7" t="s">
        <v>363</v>
      </c>
      <c r="C58" s="8" t="s">
        <v>570</v>
      </c>
      <c r="D58" s="9">
        <v>1</v>
      </c>
      <c r="E58" s="9">
        <v>0</v>
      </c>
      <c r="F58" s="9">
        <v>1</v>
      </c>
      <c r="G58" s="10">
        <f>+VLOOKUP(Tabla11034534544554564791081091171191201231241261272107276[[#This Row],[Ingrediente]],Tabla34[#All],3,0)</f>
        <v>20955.187312270002</v>
      </c>
      <c r="H58" s="11">
        <f>+Tabla11034534544554564791081091171191201231241261272107276[[#This Row],[Costo]]*Tabla11034534544554564791081091171191201231241261272107276[[#This Row],[Unidades]]</f>
        <v>20955.187312270002</v>
      </c>
      <c r="J58" s="5" t="s">
        <v>14</v>
      </c>
      <c r="K58" s="20">
        <f>+K56-K53</f>
        <v>188215.88516883284</v>
      </c>
    </row>
    <row r="59" spans="2:11" x14ac:dyDescent="0.3">
      <c r="B59" s="21" t="s">
        <v>420</v>
      </c>
      <c r="C59" s="8" t="s">
        <v>188</v>
      </c>
      <c r="D59" s="9">
        <v>40</v>
      </c>
      <c r="E59" s="9">
        <v>0</v>
      </c>
      <c r="F59" s="9">
        <v>40</v>
      </c>
      <c r="G59" s="10">
        <f>+VLOOKUP(Tabla11034534544554564791081091171191201231241261272107276[[#This Row],[Ingrediente]],Tabla34[#All],3,0)</f>
        <v>8.9250000000000007</v>
      </c>
      <c r="H59" s="11">
        <f>+Tabla11034534544554564791081091171191201231241261272107276[[#This Row],[Costo]]*Tabla11034534544554564791081091171191201231241261272107276[[#This Row],[Unidades]]</f>
        <v>357</v>
      </c>
      <c r="J59" s="5" t="s">
        <v>15</v>
      </c>
      <c r="K59" s="22">
        <f>+K58/K53</f>
        <v>2.1234707784248883</v>
      </c>
    </row>
    <row r="60" spans="2:11" x14ac:dyDescent="0.3">
      <c r="B60" s="21" t="s">
        <v>366</v>
      </c>
      <c r="C60" s="8" t="s">
        <v>570</v>
      </c>
      <c r="D60" s="9">
        <v>1</v>
      </c>
      <c r="E60" s="9">
        <v>0</v>
      </c>
      <c r="F60" s="9">
        <v>1</v>
      </c>
      <c r="G60" s="10">
        <f>+VLOOKUP(Tabla11034534544554564791081091171191201231241261272107276[[#This Row],[Ingrediente]],Tabla34[#All],3,0)</f>
        <v>12280</v>
      </c>
      <c r="H60" s="11">
        <f>+Tabla11034534544554564791081091171191201231241261272107276[[#This Row],[Costo]]*Tabla11034534544554564791081091171191201231241261272107276[[#This Row],[Unidades]]</f>
        <v>12280</v>
      </c>
      <c r="I60" s="4"/>
    </row>
    <row r="61" spans="2:11" x14ac:dyDescent="0.3">
      <c r="B61" s="21" t="s">
        <v>228</v>
      </c>
      <c r="C61" s="8" t="s">
        <v>188</v>
      </c>
      <c r="D61" s="9">
        <v>1</v>
      </c>
      <c r="E61" s="9">
        <v>0</v>
      </c>
      <c r="F61" s="9">
        <v>1</v>
      </c>
      <c r="G61" s="10">
        <f>+VLOOKUP(Tabla11034534544554564791081091171191201231241261272107276[[#This Row],[Ingrediente]],Tabla34[#All],3,0)</f>
        <v>16.11097131</v>
      </c>
      <c r="H61" s="11">
        <f>+Tabla11034534544554564791081091171191201231241261272107276[[#This Row],[Costo]]*Tabla11034534544554564791081091171191201231241261272107276[[#This Row],[Unidades]]</f>
        <v>16.11097131</v>
      </c>
      <c r="I61" s="4"/>
    </row>
    <row r="62" spans="2:11" x14ac:dyDescent="0.3">
      <c r="B62" s="7" t="s">
        <v>137</v>
      </c>
      <c r="C62" s="8" t="s">
        <v>188</v>
      </c>
      <c r="D62" s="9">
        <v>80</v>
      </c>
      <c r="E62" s="9">
        <v>0</v>
      </c>
      <c r="F62" s="9">
        <v>80</v>
      </c>
      <c r="G62" s="10">
        <f>+VLOOKUP(Tabla11034534544554564791081091171191201231241261272107276[[#This Row],[Ingrediente]],Tabla34[#All],3,0)</f>
        <v>11.13267572</v>
      </c>
      <c r="H62" s="11">
        <f>+Tabla11034534544554564791081091171191201231241261272107276[[#This Row],[Costo]]*Tabla11034534544554564791081091171191201231241261272107276[[#This Row],[Unidades]]</f>
        <v>890.61405760000002</v>
      </c>
    </row>
    <row r="63" spans="2:11" x14ac:dyDescent="0.3">
      <c r="B63" s="21" t="s">
        <v>565</v>
      </c>
      <c r="C63" s="8" t="s">
        <v>188</v>
      </c>
      <c r="D63" s="9">
        <v>50</v>
      </c>
      <c r="E63" s="9">
        <v>0</v>
      </c>
      <c r="F63" s="9">
        <v>50</v>
      </c>
      <c r="G63" s="10">
        <f>+VLOOKUP(Tabla11034534544554564791081091171191201231241261272107276[[#This Row],[Ingrediente]],Tabla34[#All],3,0)</f>
        <v>64.196281729999995</v>
      </c>
      <c r="H63" s="11">
        <f>+Tabla11034534544554564791081091171191201231241261272107276[[#This Row],[Costo]]*Tabla11034534544554564791081091171191201231241261272107276[[#This Row],[Unidades]]</f>
        <v>3209.8140864999996</v>
      </c>
    </row>
    <row r="64" spans="2:11" x14ac:dyDescent="0.3">
      <c r="B64" s="7" t="s">
        <v>74</v>
      </c>
      <c r="C64" s="8" t="s">
        <v>188</v>
      </c>
      <c r="D64" s="9">
        <v>60</v>
      </c>
      <c r="E64" s="9">
        <v>0</v>
      </c>
      <c r="F64" s="9">
        <v>60</v>
      </c>
      <c r="G64" s="10">
        <f>+VLOOKUP(Tabla11034534544554564791081091171191201231241261272107276[[#This Row],[Ingrediente]],Tabla34[#All],3,0)</f>
        <v>12.25316591</v>
      </c>
      <c r="H64" s="11">
        <f>+Tabla11034534544554564791081091171191201231241261272107276[[#This Row],[Costo]]*Tabla11034534544554564791081091171191201231241261272107276[[#This Row],[Unidades]]</f>
        <v>735.18995459999996</v>
      </c>
    </row>
    <row r="65" spans="2:11" x14ac:dyDescent="0.3">
      <c r="B65" s="7" t="s">
        <v>80</v>
      </c>
      <c r="C65" s="8" t="s">
        <v>188</v>
      </c>
      <c r="D65" s="9">
        <v>150</v>
      </c>
      <c r="E65" s="9">
        <v>0</v>
      </c>
      <c r="F65" s="9">
        <v>150</v>
      </c>
      <c r="G65" s="10">
        <f>+VLOOKUP(Tabla11034534544554564791081091171191201231241261272107276[[#This Row],[Ingrediente]],Tabla34[#All],3,0)</f>
        <v>18</v>
      </c>
      <c r="H65" s="11">
        <f>+Tabla11034534544554564791081091171191201231241261272107276[[#This Row],[Costo]]*Tabla11034534544554564791081091171191201231241261272107276[[#This Row],[Unidades]]</f>
        <v>2700</v>
      </c>
    </row>
    <row r="66" spans="2:11" x14ac:dyDescent="0.3">
      <c r="B66" s="13"/>
      <c r="C66" s="14"/>
      <c r="D66" s="14"/>
      <c r="E66" s="14"/>
      <c r="F66" s="14"/>
      <c r="G66" s="15"/>
      <c r="H66" s="15">
        <f>SUBTOTAL(109,Tabla11034534544554564791081091171191201231241261272107276[Total costo])</f>
        <v>84415.20636478001</v>
      </c>
    </row>
    <row r="69" spans="2:11" x14ac:dyDescent="0.3">
      <c r="B69" s="89" t="s">
        <v>539</v>
      </c>
      <c r="C69" s="90"/>
      <c r="D69" s="90"/>
      <c r="E69" s="90"/>
      <c r="F69" s="90"/>
      <c r="G69" s="90"/>
      <c r="H69" s="90"/>
      <c r="J69" s="277" t="s">
        <v>0</v>
      </c>
      <c r="K69" s="277"/>
    </row>
    <row r="70" spans="2:11" ht="26.4" x14ac:dyDescent="0.3">
      <c r="B70" s="91" t="s">
        <v>1</v>
      </c>
      <c r="C70" s="14" t="s">
        <v>2</v>
      </c>
      <c r="D70" s="87" t="s">
        <v>571</v>
      </c>
      <c r="E70" s="87" t="s">
        <v>572</v>
      </c>
      <c r="F70" s="87" t="s">
        <v>573</v>
      </c>
      <c r="G70" s="92" t="s">
        <v>4</v>
      </c>
      <c r="H70" s="92" t="s">
        <v>5</v>
      </c>
      <c r="I70" s="4"/>
      <c r="J70" s="5" t="s">
        <v>6</v>
      </c>
      <c r="K70" s="6" t="e">
        <f>SUM(Tabla11034534544554564791081091171191201231241261272107276214[Total costo])</f>
        <v>#N/A</v>
      </c>
    </row>
    <row r="71" spans="2:11" x14ac:dyDescent="0.3">
      <c r="B71" s="7" t="s">
        <v>470</v>
      </c>
      <c r="C71" s="8" t="s">
        <v>188</v>
      </c>
      <c r="D71" s="9">
        <v>2</v>
      </c>
      <c r="E71" s="9">
        <v>10</v>
      </c>
      <c r="F71" s="9">
        <v>2.222</v>
      </c>
      <c r="G71" s="10">
        <f>+VLOOKUP(Tabla11034534544554564791081091171191201231241261272107276214[[#This Row],[Ingrediente]],Tabla34[#All],3,0)</f>
        <v>8</v>
      </c>
      <c r="H71" s="11">
        <f>+Tabla11034534544554564791081091171191201231241261272107276214[[#This Row],[Costo]]*Tabla11034534544554564791081091171191201231241261272107276214[[#This Row],[Unidades]]</f>
        <v>17.776</v>
      </c>
      <c r="I71" s="4"/>
      <c r="J71" s="5" t="s">
        <v>113</v>
      </c>
      <c r="K71" s="12" t="e">
        <f>+K70*5%</f>
        <v>#N/A</v>
      </c>
    </row>
    <row r="72" spans="2:11" x14ac:dyDescent="0.3">
      <c r="B72" s="7" t="s">
        <v>430</v>
      </c>
      <c r="C72" s="8" t="s">
        <v>188</v>
      </c>
      <c r="D72" s="9">
        <v>10</v>
      </c>
      <c r="E72" s="9">
        <v>10</v>
      </c>
      <c r="F72" s="9">
        <v>11.111000000000001</v>
      </c>
      <c r="G72" s="10">
        <f>+VLOOKUP(Tabla11034534544554564791081091171191201231241261272107276214[[#This Row],[Ingrediente]],Tabla34[#All],3,0)</f>
        <v>4.8</v>
      </c>
      <c r="H72" s="11">
        <f>+Tabla11034534544554564791081091171191201231241261272107276214[[#This Row],[Costo]]*Tabla11034534544554564791081091171191201231241261272107276214[[#This Row],[Unidades]]</f>
        <v>53.332799999999999</v>
      </c>
      <c r="I72" s="4"/>
      <c r="J72" s="5" t="s">
        <v>9</v>
      </c>
      <c r="K72" s="12" t="e">
        <f>+K70+K71</f>
        <v>#N/A</v>
      </c>
    </row>
    <row r="73" spans="2:11" x14ac:dyDescent="0.3">
      <c r="B73" s="7" t="s">
        <v>398</v>
      </c>
      <c r="C73" s="8" t="s">
        <v>188</v>
      </c>
      <c r="D73" s="9">
        <v>25</v>
      </c>
      <c r="E73" s="9">
        <v>15</v>
      </c>
      <c r="F73" s="9">
        <v>29.411999999999999</v>
      </c>
      <c r="G73" s="10">
        <f>+VLOOKUP(Tabla11034534544554564791081091171191201231241261272107276214[[#This Row],[Ingrediente]],Tabla34[#All],3,0)</f>
        <v>3.7999999999999994</v>
      </c>
      <c r="H73" s="11">
        <f>+Tabla11034534544554564791081091171191201231241261272107276214[[#This Row],[Costo]]*Tabla11034534544554564791081091171191201231241261272107276214[[#This Row],[Unidades]]</f>
        <v>111.76559999999998</v>
      </c>
      <c r="I73" s="4"/>
      <c r="J73" s="17" t="s">
        <v>10</v>
      </c>
      <c r="K73" s="18">
        <v>299000</v>
      </c>
    </row>
    <row r="74" spans="2:11" x14ac:dyDescent="0.3">
      <c r="B74" s="7" t="s">
        <v>446</v>
      </c>
      <c r="C74" s="8" t="s">
        <v>188</v>
      </c>
      <c r="D74" s="9">
        <v>1</v>
      </c>
      <c r="E74" s="9">
        <v>40</v>
      </c>
      <c r="F74" s="9">
        <v>1.667</v>
      </c>
      <c r="G74" s="10">
        <f>+VLOOKUP(Tabla11034534544554564791081091171191201231241261272107276214[[#This Row],[Ingrediente]],Tabla34[#All],3,0)</f>
        <v>5.5</v>
      </c>
      <c r="H74" s="11">
        <f>+Tabla11034534544554564791081091171191201231241261272107276214[[#This Row],[Costo]]*Tabla11034534544554564791081091171191201231241261272107276214[[#This Row],[Unidades]]</f>
        <v>9.1684999999999999</v>
      </c>
      <c r="J74" s="5" t="s">
        <v>11</v>
      </c>
      <c r="K74" s="12">
        <f>+K73/1.08*0.08</f>
        <v>22148.14814814815</v>
      </c>
    </row>
    <row r="75" spans="2:11" x14ac:dyDescent="0.3">
      <c r="B75" s="7" t="s">
        <v>226</v>
      </c>
      <c r="C75" s="8" t="s">
        <v>188</v>
      </c>
      <c r="D75" s="9">
        <v>40</v>
      </c>
      <c r="E75" s="9">
        <v>0</v>
      </c>
      <c r="F75" s="9">
        <v>40</v>
      </c>
      <c r="G75" s="10">
        <f>+VLOOKUP(Tabla11034534544554564791081091171191201231241261272107276214[[#This Row],[Ingrediente]],Tabla34[#All],3,0)</f>
        <v>10.179495380000001</v>
      </c>
      <c r="H75" s="11">
        <f>+Tabla11034534544554564791081091171191201231241261272107276214[[#This Row],[Costo]]*Tabla11034534544554564791081091171191201231241261272107276214[[#This Row],[Unidades]]</f>
        <v>407.17981520000001</v>
      </c>
      <c r="I75" s="24"/>
      <c r="J75" s="5" t="s">
        <v>12</v>
      </c>
      <c r="K75" s="12">
        <f>+K73-K74</f>
        <v>276851.85185185185</v>
      </c>
    </row>
    <row r="76" spans="2:11" x14ac:dyDescent="0.3">
      <c r="B76" s="21" t="s">
        <v>74</v>
      </c>
      <c r="C76" s="8" t="s">
        <v>188</v>
      </c>
      <c r="D76" s="9">
        <v>70</v>
      </c>
      <c r="E76" s="9">
        <v>0</v>
      </c>
      <c r="F76" s="9">
        <v>70</v>
      </c>
      <c r="G76" s="10">
        <f>+VLOOKUP(Tabla11034534544554564791081091171191201231241261272107276214[[#This Row],[Ingrediente]],Tabla34[#All],3,0)</f>
        <v>12.25316591</v>
      </c>
      <c r="H76" s="11">
        <f>+Tabla11034534544554564791081091171191201231241261272107276214[[#This Row],[Costo]]*Tabla11034534544554564791081091171191201231241261272107276214[[#This Row],[Unidades]]</f>
        <v>857.72161370000003</v>
      </c>
      <c r="J76" s="5" t="s">
        <v>13</v>
      </c>
      <c r="K76" s="19" t="e">
        <f>+K72/K75</f>
        <v>#N/A</v>
      </c>
    </row>
    <row r="77" spans="2:11" x14ac:dyDescent="0.3">
      <c r="B77" s="7" t="s">
        <v>80</v>
      </c>
      <c r="C77" s="8" t="s">
        <v>188</v>
      </c>
      <c r="D77" s="9">
        <v>60</v>
      </c>
      <c r="E77" s="9">
        <v>0</v>
      </c>
      <c r="F77" s="9">
        <v>60</v>
      </c>
      <c r="G77" s="10">
        <f>+VLOOKUP(Tabla11034534544554564791081091171191201231241261272107276214[[#This Row],[Ingrediente]],Tabla34[#All],3,0)</f>
        <v>18</v>
      </c>
      <c r="H77" s="11">
        <f>+Tabla11034534544554564791081091171191201231241261272107276214[[#This Row],[Costo]]*Tabla11034534544554564791081091171191201231241261272107276214[[#This Row],[Unidades]]</f>
        <v>1080</v>
      </c>
      <c r="J77" s="5" t="s">
        <v>14</v>
      </c>
      <c r="K77" s="20" t="e">
        <f>+K75-K72</f>
        <v>#N/A</v>
      </c>
    </row>
    <row r="78" spans="2:11" x14ac:dyDescent="0.3">
      <c r="B78" s="21" t="s">
        <v>103</v>
      </c>
      <c r="C78" s="8" t="s">
        <v>570</v>
      </c>
      <c r="D78" s="9">
        <v>1</v>
      </c>
      <c r="E78" s="9">
        <v>0</v>
      </c>
      <c r="F78" s="9">
        <v>1</v>
      </c>
      <c r="G78" s="10">
        <f>+VLOOKUP(Tabla11034534544554564791081091171191201231241261272107276214[[#This Row],[Ingrediente]],Tabla34[#All],3,0)</f>
        <v>4920.8029999999999</v>
      </c>
      <c r="H78" s="11">
        <f>+Tabla11034534544554564791081091171191201231241261272107276214[[#This Row],[Costo]]*Tabla11034534544554564791081091171191201231241261272107276214[[#This Row],[Unidades]]</f>
        <v>4920.8029999999999</v>
      </c>
      <c r="J78" s="5" t="s">
        <v>15</v>
      </c>
      <c r="K78" s="22" t="e">
        <f>+K77/K72</f>
        <v>#N/A</v>
      </c>
    </row>
    <row r="79" spans="2:11" x14ac:dyDescent="0.3">
      <c r="B79" s="21" t="s">
        <v>1005</v>
      </c>
      <c r="C79" s="8" t="s">
        <v>570</v>
      </c>
      <c r="D79" s="9">
        <v>1</v>
      </c>
      <c r="E79" s="9">
        <v>0</v>
      </c>
      <c r="F79" s="9">
        <v>1</v>
      </c>
      <c r="G79" s="10">
        <f>+VLOOKUP(Tabla11034534544554564791081091171191201231241261272107276214[[#This Row],[Ingrediente]],Tabla34[#All],3,0)</f>
        <v>4680</v>
      </c>
      <c r="H79" s="11">
        <f>+Tabla11034534544554564791081091171191201231241261272107276214[[#This Row],[Costo]]*Tabla11034534544554564791081091171191201231241261272107276214[[#This Row],[Unidades]]</f>
        <v>4680</v>
      </c>
      <c r="I79" s="4"/>
    </row>
    <row r="80" spans="2:11" x14ac:dyDescent="0.3">
      <c r="B80" s="21" t="s">
        <v>1182</v>
      </c>
      <c r="C80" s="8" t="s">
        <v>570</v>
      </c>
      <c r="D80" s="9">
        <v>2</v>
      </c>
      <c r="E80" s="9">
        <v>0</v>
      </c>
      <c r="F80" s="9">
        <v>2</v>
      </c>
      <c r="G80" s="10">
        <f>+VLOOKUP(Tabla11034534544554564791081091171191201231241261272107276214[[#This Row],[Ingrediente]],Tabla34[#All],3,0)</f>
        <v>2003.7166315000002</v>
      </c>
      <c r="H80" s="11">
        <f>+Tabla11034534544554564791081091171191201231241261272107276214[[#This Row],[Costo]]*Tabla11034534544554564791081091171191201231241261272107276214[[#This Row],[Unidades]]</f>
        <v>4007.4332630000004</v>
      </c>
      <c r="I80" s="4"/>
    </row>
    <row r="81" spans="2:8" x14ac:dyDescent="0.3">
      <c r="B81" s="7" t="s">
        <v>565</v>
      </c>
      <c r="C81" s="8" t="s">
        <v>188</v>
      </c>
      <c r="D81" s="9">
        <v>20</v>
      </c>
      <c r="E81" s="9">
        <v>0</v>
      </c>
      <c r="F81" s="9">
        <v>20</v>
      </c>
      <c r="G81" s="10">
        <f>+VLOOKUP(Tabla11034534544554564791081091171191201231241261272107276214[[#This Row],[Ingrediente]],Tabla34[#All],3,0)</f>
        <v>64.196281729999995</v>
      </c>
      <c r="H81" s="11">
        <f>+Tabla11034534544554564791081091171191201231241261272107276214[[#This Row],[Costo]]*Tabla11034534544554564791081091171191201231241261272107276214[[#This Row],[Unidades]]</f>
        <v>1283.9256346</v>
      </c>
    </row>
    <row r="82" spans="2:8" x14ac:dyDescent="0.3">
      <c r="B82" s="21" t="s">
        <v>560</v>
      </c>
      <c r="C82" s="8" t="s">
        <v>188</v>
      </c>
      <c r="D82" s="9">
        <v>30</v>
      </c>
      <c r="E82" s="9">
        <v>0</v>
      </c>
      <c r="F82" s="9">
        <v>30</v>
      </c>
      <c r="G82" s="10">
        <f>+VLOOKUP(Tabla11034534544554564791081091171191201231241261272107276214[[#This Row],[Ingrediente]],Tabla34[#All],3,0)</f>
        <v>24.804270519999999</v>
      </c>
      <c r="H82" s="11">
        <f>+Tabla11034534544554564791081091171191201231241261272107276214[[#This Row],[Costo]]*Tabla11034534544554564791081091171191201231241261272107276214[[#This Row],[Unidades]]</f>
        <v>744.1281156</v>
      </c>
    </row>
    <row r="83" spans="2:8" x14ac:dyDescent="0.3">
      <c r="B83" s="7" t="s">
        <v>1308</v>
      </c>
      <c r="C83" s="8" t="s">
        <v>188</v>
      </c>
      <c r="D83" s="9">
        <v>100</v>
      </c>
      <c r="E83" s="9">
        <v>0</v>
      </c>
      <c r="F83" s="9">
        <v>100</v>
      </c>
      <c r="G83" s="10" t="e">
        <f>+VLOOKUP(Tabla11034534544554564791081091171191201231241261272107276214[[#This Row],[Ingrediente]],Tabla34[#All],3,0)</f>
        <v>#N/A</v>
      </c>
      <c r="H83" s="11" t="e">
        <f>+Tabla11034534544554564791081091171191201231241261272107276214[[#This Row],[Costo]]*Tabla11034534544554564791081091171191201231241261272107276214[[#This Row],[Unidades]]</f>
        <v>#N/A</v>
      </c>
    </row>
    <row r="84" spans="2:8" x14ac:dyDescent="0.3">
      <c r="B84" s="7" t="s">
        <v>558</v>
      </c>
      <c r="C84" s="8" t="s">
        <v>570</v>
      </c>
      <c r="D84" s="9">
        <v>1</v>
      </c>
      <c r="E84" s="9">
        <v>0</v>
      </c>
      <c r="F84" s="9">
        <v>1</v>
      </c>
      <c r="G84" s="10">
        <f>+VLOOKUP(Tabla11034534544554564791081091171191201231241261272107276214[[#This Row],[Ingrediente]],Tabla34[#All],3,0)</f>
        <v>354.16666666999998</v>
      </c>
      <c r="H84" s="11">
        <f>+Tabla11034534544554564791081091171191201231241261272107276214[[#This Row],[Costo]]*Tabla11034534544554564791081091171191201231241261272107276214[[#This Row],[Unidades]]</f>
        <v>354.16666666999998</v>
      </c>
    </row>
    <row r="85" spans="2:8" x14ac:dyDescent="0.3">
      <c r="B85" s="7" t="s">
        <v>445</v>
      </c>
      <c r="C85" s="8" t="s">
        <v>188</v>
      </c>
      <c r="D85" s="267">
        <v>15</v>
      </c>
      <c r="E85" s="9">
        <v>0</v>
      </c>
      <c r="F85" s="9">
        <v>15</v>
      </c>
      <c r="G85" s="10">
        <f>+VLOOKUP(Tabla11034534544554564791081091171191201231241261272107276214[[#This Row],[Ingrediente]],Tabla34[#All],3,0)</f>
        <v>39.472999999999999</v>
      </c>
      <c r="H85" s="11">
        <f>+Tabla11034534544554564791081091171191201231241261272107276214[[#This Row],[Costo]]*Tabla11034534544554564791081091171191201231241261272107276214[[#This Row],[Unidades]]</f>
        <v>592.09500000000003</v>
      </c>
    </row>
    <row r="86" spans="2:8" x14ac:dyDescent="0.3">
      <c r="B86" s="7" t="s">
        <v>456</v>
      </c>
      <c r="C86" s="8" t="s">
        <v>188</v>
      </c>
      <c r="D86" s="267">
        <v>5</v>
      </c>
      <c r="E86" s="9">
        <v>0</v>
      </c>
      <c r="F86" s="9">
        <v>5</v>
      </c>
      <c r="G86" s="10">
        <f>+VLOOKUP(Tabla11034534544554564791081091171191201231241261272107276214[[#This Row],[Ingrediente]],Tabla34[#All],3,0)</f>
        <v>24</v>
      </c>
      <c r="H86" s="11">
        <f>+Tabla11034534544554564791081091171191201231241261272107276214[[#This Row],[Costo]]*Tabla11034534544554564791081091171191201231241261272107276214[[#This Row],[Unidades]]</f>
        <v>120</v>
      </c>
    </row>
    <row r="87" spans="2:8" x14ac:dyDescent="0.3">
      <c r="B87" s="13"/>
      <c r="C87" s="14"/>
      <c r="D87" s="14"/>
      <c r="E87" s="14"/>
      <c r="F87" s="14"/>
      <c r="G87" s="15"/>
      <c r="H87" s="15" t="e">
        <f>SUBTOTAL(109,Tabla11034534544554564791081091171191201231241261272107276214[Total costo])</f>
        <v>#N/A</v>
      </c>
    </row>
  </sheetData>
  <mergeCells count="4">
    <mergeCell ref="J6:K6"/>
    <mergeCell ref="J23:K23"/>
    <mergeCell ref="J50:K50"/>
    <mergeCell ref="J69:K69"/>
  </mergeCells>
  <conditionalFormatting sqref="K13">
    <cfRule type="cellIs" dxfId="433" priority="9" operator="lessThan">
      <formula>0.3</formula>
    </cfRule>
    <cfRule type="cellIs" dxfId="432" priority="10" operator="greaterThan">
      <formula>0.3</formula>
    </cfRule>
  </conditionalFormatting>
  <conditionalFormatting sqref="K30">
    <cfRule type="cellIs" dxfId="431" priority="7" operator="lessThan">
      <formula>0.3</formula>
    </cfRule>
    <cfRule type="cellIs" dxfId="430" priority="8" operator="greaterThan">
      <formula>0.3</formula>
    </cfRule>
  </conditionalFormatting>
  <conditionalFormatting sqref="K57">
    <cfRule type="cellIs" dxfId="429" priority="3" operator="lessThan">
      <formula>0.3</formula>
    </cfRule>
    <cfRule type="cellIs" dxfId="428" priority="4" operator="greaterThan">
      <formula>0.3</formula>
    </cfRule>
  </conditionalFormatting>
  <conditionalFormatting sqref="K76">
    <cfRule type="cellIs" dxfId="427" priority="1" operator="lessThan">
      <formula>0.3</formula>
    </cfRule>
    <cfRule type="cellIs" dxfId="426" priority="2" operator="greaterThan">
      <formula>0.3</formula>
    </cfRule>
  </conditionalFormatting>
  <pageMargins left="0.7" right="0.7" top="0.75" bottom="0.75" header="0.3" footer="0.3"/>
  <pageSetup orientation="portrait" horizontalDpi="360" verticalDpi="360" r:id="rId1"/>
  <drawing r:id="rId2"/>
  <tableParts count="4">
    <tablePart r:id="rId3"/>
    <tablePart r:id="rId4"/>
    <tablePart r:id="rId5"/>
    <tablePart r:id="rId6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D20AF-693E-4847-BEF4-7B0FEF4E630B}">
  <dimension ref="B6:K63"/>
  <sheetViews>
    <sheetView showGridLines="0" zoomScaleNormal="100" workbookViewId="0">
      <selection activeCell="E16" sqref="E16"/>
    </sheetView>
  </sheetViews>
  <sheetFormatPr baseColWidth="10" defaultRowHeight="14.4" x14ac:dyDescent="0.3"/>
  <cols>
    <col min="1" max="1" width="1.109375" customWidth="1"/>
    <col min="2" max="2" width="40.109375" bestFit="1" customWidth="1"/>
    <col min="3" max="6" width="7.77734375" customWidth="1"/>
    <col min="7" max="8" width="10.77734375" customWidth="1"/>
    <col min="9" max="9" width="2.5546875" customWidth="1"/>
    <col min="10" max="10" width="26.5546875" bestFit="1" customWidth="1"/>
  </cols>
  <sheetData>
    <row r="6" spans="2:11" x14ac:dyDescent="0.3">
      <c r="B6" s="1" t="s">
        <v>187</v>
      </c>
      <c r="C6" s="2"/>
      <c r="D6" s="2"/>
      <c r="E6" s="3"/>
      <c r="F6" s="3"/>
      <c r="G6" s="3"/>
      <c r="H6" s="3"/>
      <c r="J6" s="277" t="s">
        <v>0</v>
      </c>
      <c r="K6" s="277"/>
    </row>
    <row r="7" spans="2:11" x14ac:dyDescent="0.3">
      <c r="B7" s="13" t="s">
        <v>1</v>
      </c>
      <c r="C7" s="14" t="s">
        <v>2</v>
      </c>
      <c r="D7" s="14" t="s">
        <v>3</v>
      </c>
      <c r="E7" s="14" t="s">
        <v>343</v>
      </c>
      <c r="F7" s="14" t="s">
        <v>585</v>
      </c>
      <c r="G7" s="28" t="s">
        <v>4</v>
      </c>
      <c r="H7" s="28" t="s">
        <v>5</v>
      </c>
      <c r="J7" s="5" t="s">
        <v>6</v>
      </c>
      <c r="K7" s="6">
        <f>SUM(Tabla1103453454455456479108134141171253254256257275291[Total costo])</f>
        <v>15477.026753231199</v>
      </c>
    </row>
    <row r="8" spans="2:11" x14ac:dyDescent="0.3">
      <c r="B8" s="7" t="s">
        <v>635</v>
      </c>
      <c r="C8" s="8" t="s">
        <v>349</v>
      </c>
      <c r="D8" s="9">
        <v>1.66</v>
      </c>
      <c r="E8" s="9">
        <v>0</v>
      </c>
      <c r="F8" s="9">
        <v>1.66</v>
      </c>
      <c r="G8" s="10">
        <f>+VLOOKUP(Tabla1103453454455456479108134141171253254256257275291[[#This Row],[Ingrediente]],Tabla34[#All],3,0)</f>
        <v>6227.3181818200001</v>
      </c>
      <c r="H8" s="11">
        <f>+Tabla1103453454455456479108134141171253254256257275291[[#This Row],[Costo]]*Tabla1103453454455456479108134141171253254256257275291[[#This Row],[Columna2]]</f>
        <v>10337.3481818212</v>
      </c>
      <c r="I8" s="4"/>
      <c r="J8" s="5" t="s">
        <v>113</v>
      </c>
      <c r="K8" s="12">
        <f>+K7*5%</f>
        <v>773.85133766156002</v>
      </c>
    </row>
    <row r="9" spans="2:11" x14ac:dyDescent="0.3">
      <c r="B9" s="21" t="s">
        <v>167</v>
      </c>
      <c r="C9" s="8" t="s">
        <v>188</v>
      </c>
      <c r="D9" s="9">
        <v>1</v>
      </c>
      <c r="E9" s="9">
        <v>0</v>
      </c>
      <c r="F9" s="9">
        <v>1</v>
      </c>
      <c r="G9" s="10">
        <f>+VLOOKUP(Tabla1103453454455456479108134141171253254256257275291[[#This Row],[Ingrediente]],Tabla34[#All],3,0)</f>
        <v>4.5</v>
      </c>
      <c r="H9" s="11">
        <f>+Tabla1103453454455456479108134141171253254256257275291[[#This Row],[Costo]]*Tabla1103453454455456479108134141171253254256257275291[[#This Row],[Columna2]]</f>
        <v>4.5</v>
      </c>
      <c r="I9" s="4"/>
      <c r="J9" s="5" t="s">
        <v>9</v>
      </c>
      <c r="K9" s="12">
        <f>+K7+K8</f>
        <v>16250.878090892758</v>
      </c>
    </row>
    <row r="10" spans="2:11" x14ac:dyDescent="0.3">
      <c r="B10" s="7" t="s">
        <v>184</v>
      </c>
      <c r="C10" s="8" t="s">
        <v>188</v>
      </c>
      <c r="D10" s="9">
        <v>0.5</v>
      </c>
      <c r="E10" s="9">
        <v>0</v>
      </c>
      <c r="F10" s="9">
        <v>0.5</v>
      </c>
      <c r="G10" s="10">
        <v>5</v>
      </c>
      <c r="H10" s="11">
        <f>+Tabla1103453454455456479108134141171253254256257275291[[#This Row],[Costo]]*Tabla1103453454455456479108134141171253254256257275291[[#This Row],[Columna2]]</f>
        <v>2.5</v>
      </c>
      <c r="I10" s="4"/>
      <c r="J10" s="17" t="s">
        <v>10</v>
      </c>
      <c r="K10" s="18">
        <v>48000</v>
      </c>
    </row>
    <row r="11" spans="2:11" x14ac:dyDescent="0.3">
      <c r="B11" s="21" t="s">
        <v>407</v>
      </c>
      <c r="C11" s="8" t="s">
        <v>570</v>
      </c>
      <c r="D11" s="9">
        <v>1</v>
      </c>
      <c r="E11" s="9">
        <v>0</v>
      </c>
      <c r="F11" s="9">
        <v>1</v>
      </c>
      <c r="G11" s="10">
        <f>+VLOOKUP(Tabla1103453454455456479108134141171253254256257275291[[#This Row],[Ingrediente]],Tabla34[#All],3,0)</f>
        <v>5132.6785714099997</v>
      </c>
      <c r="H11" s="11">
        <f>+Tabla1103453454455456479108134141171253254256257275291[[#This Row],[Costo]]*Tabla1103453454455456479108134141171253254256257275291[[#This Row],[Columna2]]</f>
        <v>5132.6785714099997</v>
      </c>
      <c r="I11" s="4"/>
      <c r="J11" s="5" t="s">
        <v>11</v>
      </c>
      <c r="K11" s="12">
        <f>+K10/1.08*0.08</f>
        <v>3555.5555555555552</v>
      </c>
    </row>
    <row r="12" spans="2:11" x14ac:dyDescent="0.3">
      <c r="B12" s="13"/>
      <c r="C12" s="14"/>
      <c r="D12" s="14"/>
      <c r="E12" s="14"/>
      <c r="F12" s="14"/>
      <c r="G12" s="15"/>
      <c r="H12" s="15">
        <f>SUBTOTAL(109,Tabla1103453454455456479108134141171253254256257275291[Total costo])</f>
        <v>15477.026753231199</v>
      </c>
      <c r="I12" s="4"/>
      <c r="J12" s="5" t="s">
        <v>12</v>
      </c>
      <c r="K12" s="12">
        <f>+K10-K11</f>
        <v>44444.444444444445</v>
      </c>
    </row>
    <row r="13" spans="2:11" x14ac:dyDescent="0.3">
      <c r="I13" s="4"/>
      <c r="J13" s="5" t="s">
        <v>13</v>
      </c>
      <c r="K13" s="19">
        <f>+K9/K12</f>
        <v>0.36564475704508703</v>
      </c>
    </row>
    <row r="14" spans="2:11" x14ac:dyDescent="0.3">
      <c r="I14" s="24"/>
      <c r="J14" s="5" t="s">
        <v>14</v>
      </c>
      <c r="K14" s="20">
        <f>+K12-K9</f>
        <v>28193.566353551687</v>
      </c>
    </row>
    <row r="15" spans="2:11" x14ac:dyDescent="0.3">
      <c r="J15" s="5" t="s">
        <v>15</v>
      </c>
      <c r="K15" s="22">
        <f>+K14/K9</f>
        <v>1.7348949512673899</v>
      </c>
    </row>
    <row r="18" spans="2:11" x14ac:dyDescent="0.3">
      <c r="B18" s="1" t="s">
        <v>223</v>
      </c>
      <c r="C18" s="2"/>
      <c r="D18" s="2"/>
      <c r="E18" s="3"/>
      <c r="F18" s="3"/>
      <c r="G18" s="3"/>
      <c r="H18" s="3"/>
      <c r="J18" s="102" t="s">
        <v>0</v>
      </c>
      <c r="K18" s="102"/>
    </row>
    <row r="19" spans="2:11" x14ac:dyDescent="0.3">
      <c r="B19" s="13" t="s">
        <v>1</v>
      </c>
      <c r="C19" s="14" t="s">
        <v>2</v>
      </c>
      <c r="D19" s="14" t="s">
        <v>3</v>
      </c>
      <c r="E19" s="14" t="s">
        <v>343</v>
      </c>
      <c r="F19" s="14" t="s">
        <v>585</v>
      </c>
      <c r="G19" s="28" t="s">
        <v>4</v>
      </c>
      <c r="H19" s="28" t="s">
        <v>5</v>
      </c>
      <c r="I19" s="4"/>
      <c r="J19" s="5" t="s">
        <v>6</v>
      </c>
      <c r="K19" s="6">
        <f>SUM(Tabla1103453454455456479108134141171253254256257276292[Total costo])</f>
        <v>18581.10194869</v>
      </c>
    </row>
    <row r="20" spans="2:11" x14ac:dyDescent="0.3">
      <c r="B20" s="7" t="s">
        <v>664</v>
      </c>
      <c r="C20" s="8" t="s">
        <v>349</v>
      </c>
      <c r="D20" s="9">
        <v>2</v>
      </c>
      <c r="E20" s="9">
        <v>0</v>
      </c>
      <c r="F20" s="9">
        <v>2</v>
      </c>
      <c r="G20" s="10">
        <f>+VLOOKUP(Tabla1103453454455456479108134141171253254256257276292[[#This Row],[Ingrediente]],Tabla34[#All],3,0)</f>
        <v>6187.5</v>
      </c>
      <c r="H20" s="11">
        <f>+Tabla1103453454455456479108134141171253254256257276292[[#This Row],[Costo]]*Tabla1103453454455456479108134141171253254256257276292[[#This Row],[Columna2]]</f>
        <v>12375</v>
      </c>
      <c r="I20" s="4"/>
      <c r="J20" s="5" t="s">
        <v>113</v>
      </c>
      <c r="K20" s="12">
        <f>+K19*5%</f>
        <v>929.05509743450011</v>
      </c>
    </row>
    <row r="21" spans="2:11" x14ac:dyDescent="0.3">
      <c r="B21" s="21" t="s">
        <v>407</v>
      </c>
      <c r="C21" s="8" t="s">
        <v>570</v>
      </c>
      <c r="D21" s="9">
        <v>1</v>
      </c>
      <c r="E21" s="9">
        <v>0</v>
      </c>
      <c r="F21" s="9">
        <v>1</v>
      </c>
      <c r="G21" s="10">
        <f>+VLOOKUP(Tabla1103453454455456479108134141171253254256257276292[[#This Row],[Ingrediente]],Tabla34[#All],3,0)</f>
        <v>5132.6785714099997</v>
      </c>
      <c r="H21" s="11">
        <f>+Tabla1103453454455456479108134141171253254256257276292[[#This Row],[Costo]]*Tabla1103453454455456479108134141171253254256257276292[[#This Row],[Columna2]]</f>
        <v>5132.6785714099997</v>
      </c>
      <c r="I21" s="4"/>
      <c r="J21" s="5" t="s">
        <v>9</v>
      </c>
      <c r="K21" s="12">
        <f>+K19+K20</f>
        <v>19510.157046124499</v>
      </c>
    </row>
    <row r="22" spans="2:11" x14ac:dyDescent="0.3">
      <c r="B22" s="21" t="s">
        <v>403</v>
      </c>
      <c r="C22" s="8" t="s">
        <v>188</v>
      </c>
      <c r="D22" s="9">
        <v>1</v>
      </c>
      <c r="E22" s="9">
        <v>0</v>
      </c>
      <c r="F22" s="9">
        <v>1</v>
      </c>
      <c r="G22" s="10">
        <f>+VLOOKUP(Tabla1103453454455456479108134141171253254256257276292[[#This Row],[Ingrediente]],Tabla34[#All],3,0)</f>
        <v>482.66183940000002</v>
      </c>
      <c r="H22" s="11">
        <f>+Tabla1103453454455456479108134141171253254256257276292[[#This Row],[Costo]]*Tabla1103453454455456479108134141171253254256257276292[[#This Row],[Columna2]]</f>
        <v>482.66183940000002</v>
      </c>
      <c r="I22" s="4"/>
      <c r="J22" s="17" t="s">
        <v>10</v>
      </c>
      <c r="K22" s="18">
        <v>51000</v>
      </c>
    </row>
    <row r="23" spans="2:11" x14ac:dyDescent="0.3">
      <c r="B23" s="21" t="s">
        <v>534</v>
      </c>
      <c r="C23" s="8" t="s">
        <v>188</v>
      </c>
      <c r="D23" s="9">
        <v>140</v>
      </c>
      <c r="E23" s="9">
        <v>0</v>
      </c>
      <c r="F23" s="9">
        <v>140</v>
      </c>
      <c r="G23" s="10">
        <f>+VLOOKUP(Tabla1103453454455456479108134141171253254256257276292[[#This Row],[Ingrediente]],Tabla34[#All],3,0)</f>
        <v>1</v>
      </c>
      <c r="H23" s="11">
        <f>+Tabla1103453454455456479108134141171253254256257276292[[#This Row],[Costo]]*Tabla1103453454455456479108134141171253254256257276292[[#This Row],[Columna2]]</f>
        <v>140</v>
      </c>
      <c r="I23" s="4"/>
      <c r="J23" s="5" t="s">
        <v>11</v>
      </c>
      <c r="K23" s="12">
        <f>+K22/1.08*0.08</f>
        <v>3777.7777777777774</v>
      </c>
    </row>
    <row r="24" spans="2:11" x14ac:dyDescent="0.3">
      <c r="B24" s="7" t="s">
        <v>189</v>
      </c>
      <c r="C24" s="8" t="s">
        <v>188</v>
      </c>
      <c r="D24" s="9">
        <v>9</v>
      </c>
      <c r="E24" s="9">
        <v>0</v>
      </c>
      <c r="F24" s="9">
        <v>9</v>
      </c>
      <c r="G24" s="10">
        <f>+VLOOKUP(Tabla1103453454455456479108134141171253254256257276292[[#This Row],[Ingrediente]],Tabla34[#All],3,0)</f>
        <v>50.08461531999999</v>
      </c>
      <c r="H24" s="11">
        <f>+Tabla1103453454455456479108134141171253254256257276292[[#This Row],[Costo]]*Tabla1103453454455456479108134141171253254256257276292[[#This Row],[Columna2]]</f>
        <v>450.76153787999993</v>
      </c>
      <c r="I24" s="4"/>
      <c r="J24" s="5" t="s">
        <v>12</v>
      </c>
      <c r="K24" s="12">
        <f>+K22-K23</f>
        <v>47222.222222222219</v>
      </c>
    </row>
    <row r="25" spans="2:11" x14ac:dyDescent="0.3">
      <c r="B25" s="13"/>
      <c r="C25" s="14"/>
      <c r="D25" s="14"/>
      <c r="E25" s="14"/>
      <c r="F25" s="14"/>
      <c r="G25" s="15"/>
      <c r="H25" s="15">
        <f>SUBTOTAL(109,Tabla1103453454455456479108134141171253254256257276292[Total costo])</f>
        <v>18581.10194869</v>
      </c>
      <c r="I25" s="24"/>
      <c r="J25" s="5" t="s">
        <v>13</v>
      </c>
      <c r="K25" s="19">
        <f>+K21/K24</f>
        <v>0.41315626685910706</v>
      </c>
    </row>
    <row r="26" spans="2:11" x14ac:dyDescent="0.3">
      <c r="J26" s="5" t="s">
        <v>14</v>
      </c>
      <c r="K26" s="20">
        <f>+K24-K21</f>
        <v>27712.06517609772</v>
      </c>
    </row>
    <row r="27" spans="2:11" x14ac:dyDescent="0.3">
      <c r="J27" s="5" t="s">
        <v>15</v>
      </c>
      <c r="K27" s="22">
        <f>+K26/K21</f>
        <v>1.4203917021571311</v>
      </c>
    </row>
    <row r="28" spans="2:11" x14ac:dyDescent="0.3">
      <c r="I28" s="4"/>
    </row>
    <row r="29" spans="2:11" x14ac:dyDescent="0.3">
      <c r="B29" s="1" t="s">
        <v>318</v>
      </c>
      <c r="C29" s="2"/>
      <c r="D29" s="2"/>
      <c r="E29" s="3"/>
      <c r="F29" s="3"/>
      <c r="G29" s="3"/>
      <c r="H29" s="3"/>
      <c r="I29" s="4"/>
      <c r="J29" s="102" t="s">
        <v>0</v>
      </c>
      <c r="K29" s="102"/>
    </row>
    <row r="30" spans="2:11" x14ac:dyDescent="0.3">
      <c r="B30" s="13" t="s">
        <v>1</v>
      </c>
      <c r="C30" s="14" t="s">
        <v>2</v>
      </c>
      <c r="D30" s="14" t="s">
        <v>3</v>
      </c>
      <c r="E30" s="14" t="s">
        <v>343</v>
      </c>
      <c r="F30" s="14" t="s">
        <v>585</v>
      </c>
      <c r="G30" s="28" t="s">
        <v>4</v>
      </c>
      <c r="H30" s="28" t="s">
        <v>5</v>
      </c>
      <c r="I30" s="4"/>
      <c r="J30" s="5" t="s">
        <v>6</v>
      </c>
      <c r="K30" s="6">
        <f>SUM(Tabla1103453454455456479108134141171253254256257275291293[Total costo])</f>
        <v>20214.893571410001</v>
      </c>
    </row>
    <row r="31" spans="2:11" x14ac:dyDescent="0.3">
      <c r="B31" s="7" t="s">
        <v>375</v>
      </c>
      <c r="C31" s="8" t="s">
        <v>349</v>
      </c>
      <c r="D31" s="9">
        <v>1.66</v>
      </c>
      <c r="E31" s="9">
        <v>0</v>
      </c>
      <c r="F31" s="9">
        <v>1.66</v>
      </c>
      <c r="G31" s="10">
        <f>+VLOOKUP(Tabla1103453454455456479108134141171253254256257275291293[[#This Row],[Ingrediente]],Tabla34[#All],3,0)</f>
        <v>8980.25</v>
      </c>
      <c r="H31" s="11">
        <f>+Tabla1103453454455456479108134141171253254256257275291293[[#This Row],[Costo]]*Tabla1103453454455456479108134141171253254256257275291293[[#This Row],[Columna2]]</f>
        <v>14907.215</v>
      </c>
      <c r="I31" s="4"/>
      <c r="J31" s="5" t="s">
        <v>113</v>
      </c>
      <c r="K31" s="12">
        <f>+K30*5%</f>
        <v>1010.7446785705001</v>
      </c>
    </row>
    <row r="32" spans="2:11" x14ac:dyDescent="0.3">
      <c r="B32" s="21" t="s">
        <v>508</v>
      </c>
      <c r="C32" s="8" t="s">
        <v>188</v>
      </c>
      <c r="D32" s="9">
        <v>10</v>
      </c>
      <c r="E32" s="9">
        <v>0</v>
      </c>
      <c r="F32" s="9">
        <v>10</v>
      </c>
      <c r="G32" s="10">
        <f>+VLOOKUP(Tabla1103453454455456479108134141171253254256257275291293[[#This Row],[Ingrediente]],Tabla34[#All],3,0)</f>
        <v>3.5</v>
      </c>
      <c r="H32" s="11">
        <f>+Tabla1103453454455456479108134141171253254256257275291293[[#This Row],[Costo]]*Tabla1103453454455456479108134141171253254256257275291293[[#This Row],[Columna2]]</f>
        <v>35</v>
      </c>
      <c r="I32" s="4"/>
      <c r="J32" s="5" t="s">
        <v>9</v>
      </c>
      <c r="K32" s="12">
        <f>+K30+K31</f>
        <v>21225.6382499805</v>
      </c>
    </row>
    <row r="33" spans="2:11" x14ac:dyDescent="0.3">
      <c r="B33" s="7" t="s">
        <v>190</v>
      </c>
      <c r="C33" s="8" t="s">
        <v>188</v>
      </c>
      <c r="D33" s="9">
        <v>1</v>
      </c>
      <c r="E33" s="9">
        <v>0</v>
      </c>
      <c r="F33" s="9">
        <v>1</v>
      </c>
      <c r="G33" s="10">
        <f>+VLOOKUP(Tabla1103453454455456479108134141171253254256257275291293[[#This Row],[Ingrediente]],Tabla34[#All],3,0)</f>
        <v>0</v>
      </c>
      <c r="H33" s="11">
        <f>+Tabla1103453454455456479108134141171253254256257275291293[[#This Row],[Costo]]*Tabla1103453454455456479108134141171253254256257275291293[[#This Row],[Columna2]]</f>
        <v>0</v>
      </c>
      <c r="I33" s="4"/>
      <c r="J33" s="17" t="s">
        <v>10</v>
      </c>
      <c r="K33" s="18">
        <v>56000</v>
      </c>
    </row>
    <row r="34" spans="2:11" x14ac:dyDescent="0.3">
      <c r="B34" s="21" t="s">
        <v>534</v>
      </c>
      <c r="C34" s="8" t="s">
        <v>188</v>
      </c>
      <c r="D34" s="9">
        <v>140</v>
      </c>
      <c r="E34" s="9">
        <v>0</v>
      </c>
      <c r="F34" s="9">
        <v>140</v>
      </c>
      <c r="G34" s="10">
        <f>+VLOOKUP(Tabla1103453454455456479108134141171253254256257275291293[[#This Row],[Ingrediente]],Tabla34[#All],3,0)</f>
        <v>1</v>
      </c>
      <c r="H34" s="11">
        <f>+Tabla1103453454455456479108134141171253254256257275291293[[#This Row],[Costo]]*Tabla1103453454455456479108134141171253254256257275291293[[#This Row],[Columna2]]</f>
        <v>140</v>
      </c>
      <c r="I34" s="24"/>
      <c r="J34" s="5" t="s">
        <v>11</v>
      </c>
      <c r="K34" s="12">
        <f>+K33/1.08*0.08</f>
        <v>4148.1481481481478</v>
      </c>
    </row>
    <row r="35" spans="2:11" x14ac:dyDescent="0.3">
      <c r="B35" s="21" t="s">
        <v>407</v>
      </c>
      <c r="C35" s="8" t="s">
        <v>570</v>
      </c>
      <c r="D35" s="9">
        <v>1</v>
      </c>
      <c r="E35" s="9">
        <v>0</v>
      </c>
      <c r="F35" s="9">
        <v>1</v>
      </c>
      <c r="G35" s="10">
        <f>+VLOOKUP(Tabla1103453454455456479108134141171253254256257275291293[[#This Row],[Ingrediente]],Tabla34[#All],3,0)</f>
        <v>5132.6785714099997</v>
      </c>
      <c r="H35" s="11">
        <f>+Tabla1103453454455456479108134141171253254256257275291293[[#This Row],[Costo]]*Tabla1103453454455456479108134141171253254256257275291293[[#This Row],[Columna2]]</f>
        <v>5132.6785714099997</v>
      </c>
      <c r="J35" s="5" t="s">
        <v>12</v>
      </c>
      <c r="K35" s="12">
        <f>+K33-K34</f>
        <v>51851.851851851854</v>
      </c>
    </row>
    <row r="36" spans="2:11" x14ac:dyDescent="0.3">
      <c r="B36" s="13"/>
      <c r="C36" s="14"/>
      <c r="D36" s="14"/>
      <c r="E36" s="14"/>
      <c r="F36" s="14"/>
      <c r="G36" s="15"/>
      <c r="H36" s="15">
        <f>SUBTOTAL(109,Tabla1103453454455456479108134141171253254256257275291293[Total costo])</f>
        <v>20214.893571410001</v>
      </c>
      <c r="J36" s="5" t="s">
        <v>13</v>
      </c>
      <c r="K36" s="19">
        <f>+K32/K35</f>
        <v>0.40935159482105249</v>
      </c>
    </row>
    <row r="37" spans="2:11" x14ac:dyDescent="0.3">
      <c r="J37" s="5" t="s">
        <v>14</v>
      </c>
      <c r="K37" s="20">
        <f>+K35-K32</f>
        <v>30626.213601871354</v>
      </c>
    </row>
    <row r="38" spans="2:11" x14ac:dyDescent="0.3">
      <c r="J38" s="5" t="s">
        <v>15</v>
      </c>
      <c r="K38" s="22">
        <f>+K37/K32</f>
        <v>1.4428877587179028</v>
      </c>
    </row>
    <row r="39" spans="2:11" x14ac:dyDescent="0.3">
      <c r="I39" s="4"/>
    </row>
    <row r="40" spans="2:11" x14ac:dyDescent="0.3">
      <c r="B40" s="1" t="s">
        <v>708</v>
      </c>
      <c r="C40" s="2"/>
      <c r="D40" s="2"/>
      <c r="E40" s="3"/>
      <c r="F40" s="3"/>
      <c r="G40" s="3"/>
      <c r="H40" s="3"/>
      <c r="I40" s="4"/>
      <c r="J40" s="102" t="s">
        <v>0</v>
      </c>
      <c r="K40" s="102"/>
    </row>
    <row r="41" spans="2:11" x14ac:dyDescent="0.3">
      <c r="B41" s="13" t="s">
        <v>1</v>
      </c>
      <c r="C41" s="14" t="s">
        <v>2</v>
      </c>
      <c r="D41" s="14" t="s">
        <v>3</v>
      </c>
      <c r="E41" s="14" t="s">
        <v>343</v>
      </c>
      <c r="F41" s="14" t="s">
        <v>585</v>
      </c>
      <c r="G41" s="28" t="s">
        <v>4</v>
      </c>
      <c r="H41" s="28" t="s">
        <v>5</v>
      </c>
      <c r="I41" s="4"/>
      <c r="J41" s="5" t="s">
        <v>6</v>
      </c>
      <c r="K41" s="6">
        <f>SUM(Tabla1103453454455456479108134141171253254256257276292294[Total costo])</f>
        <v>10382.653679056999</v>
      </c>
    </row>
    <row r="42" spans="2:11" x14ac:dyDescent="0.3">
      <c r="B42" s="7" t="s">
        <v>501</v>
      </c>
      <c r="C42" s="8" t="s">
        <v>188</v>
      </c>
      <c r="D42" s="9">
        <v>5</v>
      </c>
      <c r="E42" s="9">
        <v>0</v>
      </c>
      <c r="F42" s="9">
        <v>5</v>
      </c>
      <c r="G42" s="10">
        <f>+VLOOKUP(Tabla1103453454455456479108134141171253254256257276292294[[#This Row],[Ingrediente]],Tabla34[#All],3,0)</f>
        <v>2.6</v>
      </c>
      <c r="H42" s="11">
        <f>+Tabla1103453454455456479108134141171253254256257276292294[[#This Row],[Costo]]*Tabla1103453454455456479108134141171253254256257276292294[[#This Row],[Columna2]]</f>
        <v>13</v>
      </c>
      <c r="I42" s="4"/>
      <c r="J42" s="5" t="s">
        <v>113</v>
      </c>
      <c r="K42" s="12">
        <f>+K41*5%</f>
        <v>519.13268395285002</v>
      </c>
    </row>
    <row r="43" spans="2:11" x14ac:dyDescent="0.3">
      <c r="B43" s="21" t="s">
        <v>164</v>
      </c>
      <c r="C43" s="8" t="s">
        <v>188</v>
      </c>
      <c r="D43" s="9">
        <v>5</v>
      </c>
      <c r="E43" s="9">
        <v>0</v>
      </c>
      <c r="F43" s="9">
        <v>5</v>
      </c>
      <c r="G43" s="10">
        <f>+VLOOKUP(Tabla1103453454455456479108134141171253254256257276292294[[#This Row],[Ingrediente]],Tabla34[#All],3,0)</f>
        <v>5.5</v>
      </c>
      <c r="H43" s="11">
        <f>+Tabla1103453454455456479108134141171253254256257276292294[[#This Row],[Costo]]*Tabla1103453454455456479108134141171253254256257276292294[[#This Row],[Columna2]]</f>
        <v>27.5</v>
      </c>
      <c r="I43" s="4"/>
      <c r="J43" s="5" t="s">
        <v>9</v>
      </c>
      <c r="K43" s="12">
        <f>+K41+K42</f>
        <v>10901.786363009849</v>
      </c>
    </row>
    <row r="44" spans="2:11" x14ac:dyDescent="0.3">
      <c r="B44" s="21" t="s">
        <v>432</v>
      </c>
      <c r="C44" s="8" t="s">
        <v>349</v>
      </c>
      <c r="D44" s="9">
        <v>1.66</v>
      </c>
      <c r="E44" s="9">
        <v>0</v>
      </c>
      <c r="F44" s="9">
        <v>1.66</v>
      </c>
      <c r="G44" s="10">
        <f>+VLOOKUP(Tabla1103453454455456479108134141171253254256257276292294[[#This Row],[Ingrediente]],Tabla34[#All],3,0)</f>
        <v>3090.4545454499998</v>
      </c>
      <c r="H44" s="11">
        <f>+Tabla1103453454455456479108134141171253254256257276292294[[#This Row],[Costo]]*Tabla1103453454455456479108134141171253254256257276292294[[#This Row],[Columna2]]</f>
        <v>5130.1545454469997</v>
      </c>
      <c r="I44" s="4"/>
      <c r="J44" s="17" t="s">
        <v>10</v>
      </c>
      <c r="K44" s="18">
        <v>42500</v>
      </c>
    </row>
    <row r="45" spans="2:11" x14ac:dyDescent="0.3">
      <c r="B45" s="21" t="s">
        <v>156</v>
      </c>
      <c r="C45" s="8" t="s">
        <v>188</v>
      </c>
      <c r="D45" s="9">
        <v>5</v>
      </c>
      <c r="E45" s="9">
        <v>0</v>
      </c>
      <c r="F45" s="9">
        <v>5</v>
      </c>
      <c r="G45" s="10">
        <f>+VLOOKUP(Tabla1103453454455456479108134141171253254256257276292294[[#This Row],[Ingrediente]],Tabla34[#All],3,0)</f>
        <v>15.86411244</v>
      </c>
      <c r="H45" s="11">
        <f>+Tabla1103453454455456479108134141171253254256257276292294[[#This Row],[Costo]]*Tabla1103453454455456479108134141171253254256257276292294[[#This Row],[Columna2]]</f>
        <v>79.320562199999998</v>
      </c>
      <c r="I45" s="24"/>
      <c r="J45" s="5" t="s">
        <v>11</v>
      </c>
      <c r="K45" s="12">
        <f>+K44/1.08*0.08</f>
        <v>3148.1481481481478</v>
      </c>
    </row>
    <row r="46" spans="2:11" x14ac:dyDescent="0.3">
      <c r="B46" s="21" t="s">
        <v>407</v>
      </c>
      <c r="C46" s="8" t="s">
        <v>570</v>
      </c>
      <c r="D46" s="9">
        <v>1</v>
      </c>
      <c r="E46" s="9">
        <v>0</v>
      </c>
      <c r="F46" s="9">
        <v>1</v>
      </c>
      <c r="G46" s="10">
        <f>+VLOOKUP(Tabla1103453454455456479108134141171253254256257276292294[[#This Row],[Ingrediente]],Tabla34[#All],3,0)</f>
        <v>5132.6785714099997</v>
      </c>
      <c r="H46" s="11">
        <f>+Tabla1103453454455456479108134141171253254256257276292294[[#This Row],[Costo]]*Tabla1103453454455456479108134141171253254256257276292294[[#This Row],[Columna2]]</f>
        <v>5132.6785714099997</v>
      </c>
      <c r="J46" s="5" t="s">
        <v>12</v>
      </c>
      <c r="K46" s="12">
        <f>+K44-K45</f>
        <v>39351.851851851854</v>
      </c>
    </row>
    <row r="47" spans="2:11" x14ac:dyDescent="0.3">
      <c r="B47" s="13"/>
      <c r="C47" s="14"/>
      <c r="D47" s="14"/>
      <c r="E47" s="14"/>
      <c r="F47" s="14"/>
      <c r="G47" s="15"/>
      <c r="H47" s="15">
        <f>SUBTOTAL(109,Tabla1103453454455456479108134141171253254256257276292294[Total costo])</f>
        <v>10382.653679056999</v>
      </c>
      <c r="J47" s="5" t="s">
        <v>13</v>
      </c>
      <c r="K47" s="19">
        <f>+K43/K46</f>
        <v>0.27703362993060321</v>
      </c>
    </row>
    <row r="48" spans="2:11" x14ac:dyDescent="0.3">
      <c r="J48" s="5" t="s">
        <v>14</v>
      </c>
      <c r="K48" s="20">
        <f>+K46-K43</f>
        <v>28450.065488842003</v>
      </c>
    </row>
    <row r="49" spans="2:11" x14ac:dyDescent="0.3">
      <c r="J49" s="5" t="s">
        <v>15</v>
      </c>
      <c r="K49" s="22">
        <f>+K48/K43</f>
        <v>2.6096700615390973</v>
      </c>
    </row>
    <row r="53" spans="2:11" x14ac:dyDescent="0.3">
      <c r="I53" s="4"/>
    </row>
    <row r="54" spans="2:11" x14ac:dyDescent="0.3">
      <c r="B54" s="1" t="s">
        <v>857</v>
      </c>
      <c r="C54" s="2"/>
      <c r="D54" s="2"/>
      <c r="E54" s="3"/>
      <c r="F54" s="3"/>
      <c r="G54" s="3"/>
      <c r="H54" s="3"/>
      <c r="I54" s="4"/>
      <c r="J54" s="102" t="s">
        <v>0</v>
      </c>
      <c r="K54" s="102"/>
    </row>
    <row r="55" spans="2:11" x14ac:dyDescent="0.3">
      <c r="B55" s="13" t="s">
        <v>1</v>
      </c>
      <c r="C55" s="14" t="s">
        <v>2</v>
      </c>
      <c r="D55" s="14" t="s">
        <v>3</v>
      </c>
      <c r="E55" s="14" t="s">
        <v>343</v>
      </c>
      <c r="F55" s="14" t="s">
        <v>585</v>
      </c>
      <c r="G55" s="28" t="s">
        <v>4</v>
      </c>
      <c r="H55" s="28" t="s">
        <v>5</v>
      </c>
      <c r="I55" s="4"/>
      <c r="J55" s="5" t="s">
        <v>6</v>
      </c>
      <c r="K55" s="6">
        <f>SUM(Tabla1103453454455456479108134141171253254256257275291295[Total costo])</f>
        <v>12539.899133609999</v>
      </c>
    </row>
    <row r="56" spans="2:11" x14ac:dyDescent="0.3">
      <c r="B56" s="7" t="s">
        <v>501</v>
      </c>
      <c r="C56" s="8" t="s">
        <v>188</v>
      </c>
      <c r="D56" s="9">
        <v>5</v>
      </c>
      <c r="E56" s="9">
        <v>0</v>
      </c>
      <c r="F56" s="9">
        <v>5</v>
      </c>
      <c r="G56" s="10">
        <f>+VLOOKUP(Tabla1103453454455456479108134141171253254256257275291295[[#This Row],[Ingrediente]],Tabla34[#All],3,0)</f>
        <v>2.6</v>
      </c>
      <c r="H56" s="11">
        <f>+Tabla1103453454455456479108134141171253254256257275291295[[#This Row],[Costo]]*Tabla1103453454455456479108134141171253254256257275291295[[#This Row],[Columna2]]</f>
        <v>13</v>
      </c>
      <c r="I56" s="4"/>
      <c r="J56" s="5" t="s">
        <v>113</v>
      </c>
      <c r="K56" s="12">
        <f>+K55*5%</f>
        <v>626.99495668049997</v>
      </c>
    </row>
    <row r="57" spans="2:11" x14ac:dyDescent="0.3">
      <c r="B57" s="21" t="s">
        <v>164</v>
      </c>
      <c r="C57" s="8" t="s">
        <v>188</v>
      </c>
      <c r="D57" s="9">
        <v>5</v>
      </c>
      <c r="E57" s="9">
        <v>0</v>
      </c>
      <c r="F57" s="9">
        <v>5</v>
      </c>
      <c r="G57" s="10">
        <f>+VLOOKUP(Tabla1103453454455456479108134141171253254256257275291295[[#This Row],[Ingrediente]],Tabla34[#All],3,0)</f>
        <v>5.5</v>
      </c>
      <c r="H57" s="11">
        <f>+Tabla1103453454455456479108134141171253254256257275291295[[#This Row],[Costo]]*Tabla1103453454455456479108134141171253254256257275291295[[#This Row],[Columna2]]</f>
        <v>27.5</v>
      </c>
      <c r="I57" s="4"/>
      <c r="J57" s="5" t="s">
        <v>9</v>
      </c>
      <c r="K57" s="12">
        <f>+K55+K56</f>
        <v>13166.8940902905</v>
      </c>
    </row>
    <row r="58" spans="2:11" x14ac:dyDescent="0.3">
      <c r="B58" s="7" t="s">
        <v>191</v>
      </c>
      <c r="C58" s="8" t="s">
        <v>349</v>
      </c>
      <c r="D58" s="9">
        <v>1.66</v>
      </c>
      <c r="E58" s="9">
        <v>0</v>
      </c>
      <c r="F58" s="9">
        <v>1.66</v>
      </c>
      <c r="G58" s="10">
        <f>+VLOOKUP(Tabla1103453454455456479108134141171253254256257275291295[[#This Row],[Ingrediente]],Tabla34[#All],3,0)</f>
        <v>4390</v>
      </c>
      <c r="H58" s="11">
        <f>+Tabla1103453454455456479108134141171253254256257275291295[[#This Row],[Costo]]*Tabla1103453454455456479108134141171253254256257275291295[[#This Row],[Columna2]]</f>
        <v>7287.4</v>
      </c>
      <c r="I58" s="4"/>
      <c r="J58" s="17" t="s">
        <v>10</v>
      </c>
      <c r="K58" s="18">
        <v>42500</v>
      </c>
    </row>
    <row r="59" spans="2:11" x14ac:dyDescent="0.3">
      <c r="B59" s="21" t="s">
        <v>156</v>
      </c>
      <c r="C59" s="8" t="s">
        <v>188</v>
      </c>
      <c r="D59" s="9">
        <v>5</v>
      </c>
      <c r="E59" s="9">
        <v>0</v>
      </c>
      <c r="F59" s="9">
        <v>5</v>
      </c>
      <c r="G59" s="10">
        <f>+VLOOKUP(Tabla1103453454455456479108134141171253254256257275291295[[#This Row],[Ingrediente]],Tabla34[#All],3,0)</f>
        <v>15.86411244</v>
      </c>
      <c r="H59" s="11">
        <f>+Tabla1103453454455456479108134141171253254256257275291295[[#This Row],[Costo]]*Tabla1103453454455456479108134141171253254256257275291295[[#This Row],[Columna2]]</f>
        <v>79.320562199999998</v>
      </c>
      <c r="I59" s="24"/>
      <c r="J59" s="5" t="s">
        <v>11</v>
      </c>
      <c r="K59" s="12">
        <f>+K58/1.08*0.08</f>
        <v>3148.1481481481478</v>
      </c>
    </row>
    <row r="60" spans="2:11" x14ac:dyDescent="0.3">
      <c r="B60" s="21" t="s">
        <v>407</v>
      </c>
      <c r="C60" s="8" t="s">
        <v>570</v>
      </c>
      <c r="D60" s="9">
        <v>1</v>
      </c>
      <c r="E60" s="9">
        <v>0</v>
      </c>
      <c r="F60" s="9">
        <v>1</v>
      </c>
      <c r="G60" s="10">
        <f>+VLOOKUP(Tabla1103453454455456479108134141171253254256257275291295[[#This Row],[Ingrediente]],Tabla34[#All],3,0)</f>
        <v>5132.6785714099997</v>
      </c>
      <c r="H60" s="11">
        <f>+Tabla1103453454455456479108134141171253254256257275291295[[#This Row],[Costo]]*Tabla1103453454455456479108134141171253254256257275291295[[#This Row],[Columna2]]</f>
        <v>5132.6785714099997</v>
      </c>
      <c r="J60" s="5" t="s">
        <v>12</v>
      </c>
      <c r="K60" s="12">
        <f>+K58-K59</f>
        <v>39351.851851851854</v>
      </c>
    </row>
    <row r="61" spans="2:11" x14ac:dyDescent="0.3">
      <c r="B61" s="13"/>
      <c r="C61" s="14"/>
      <c r="D61" s="14"/>
      <c r="E61" s="14"/>
      <c r="F61" s="14"/>
      <c r="G61" s="15"/>
      <c r="H61" s="15">
        <f>SUBTOTAL(109,Tabla1103453454455456479108134141171253254256257275291295[Total costo])</f>
        <v>12539.899133609999</v>
      </c>
      <c r="J61" s="5" t="s">
        <v>13</v>
      </c>
      <c r="K61" s="19">
        <f>+K57/K60</f>
        <v>0.33459401452973503</v>
      </c>
    </row>
    <row r="62" spans="2:11" x14ac:dyDescent="0.3">
      <c r="J62" s="5" t="s">
        <v>14</v>
      </c>
      <c r="K62" s="20">
        <f>+K60-K57</f>
        <v>26184.957761561353</v>
      </c>
    </row>
    <row r="63" spans="2:11" x14ac:dyDescent="0.3">
      <c r="J63" s="5" t="s">
        <v>15</v>
      </c>
      <c r="K63" s="22">
        <f>+K62/K57</f>
        <v>1.9886966191116098</v>
      </c>
    </row>
  </sheetData>
  <mergeCells count="1">
    <mergeCell ref="J6:K6"/>
  </mergeCells>
  <phoneticPr fontId="20" type="noConversion"/>
  <conditionalFormatting sqref="K13">
    <cfRule type="cellIs" dxfId="425" priority="17" operator="lessThan">
      <formula>0.3</formula>
    </cfRule>
    <cfRule type="cellIs" dxfId="424" priority="18" operator="greaterThan">
      <formula>0.3</formula>
    </cfRule>
  </conditionalFormatting>
  <conditionalFormatting sqref="K25">
    <cfRule type="cellIs" dxfId="423" priority="15" operator="lessThan">
      <formula>0.3</formula>
    </cfRule>
    <cfRule type="cellIs" dxfId="422" priority="16" operator="greaterThan">
      <formula>0.3</formula>
    </cfRule>
  </conditionalFormatting>
  <conditionalFormatting sqref="K36">
    <cfRule type="cellIs" dxfId="421" priority="13" operator="lessThan">
      <formula>0.3</formula>
    </cfRule>
    <cfRule type="cellIs" dxfId="420" priority="14" operator="greaterThan">
      <formula>0.3</formula>
    </cfRule>
  </conditionalFormatting>
  <conditionalFormatting sqref="K47">
    <cfRule type="cellIs" dxfId="419" priority="11" operator="lessThan">
      <formula>0.3</formula>
    </cfRule>
    <cfRule type="cellIs" dxfId="418" priority="12" operator="greaterThan">
      <formula>0.3</formula>
    </cfRule>
  </conditionalFormatting>
  <conditionalFormatting sqref="K61">
    <cfRule type="cellIs" dxfId="417" priority="9" operator="lessThan">
      <formula>0.3</formula>
    </cfRule>
    <cfRule type="cellIs" dxfId="416" priority="10" operator="greaterThan">
      <formula>0.3</formula>
    </cfRule>
  </conditionalFormatting>
  <pageMargins left="0.7" right="0.7" top="0.75" bottom="0.75" header="0.3" footer="0.3"/>
  <pageSetup orientation="portrait" horizontalDpi="360" verticalDpi="360" r:id="rId1"/>
  <drawing r:id="rId2"/>
  <tableParts count="5">
    <tablePart r:id="rId3"/>
    <tablePart r:id="rId4"/>
    <tablePart r:id="rId5"/>
    <tablePart r:id="rId6"/>
    <tablePart r:id="rId7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3EAEE-407A-45F0-A752-8BC07C475575}">
  <dimension ref="B6:I153"/>
  <sheetViews>
    <sheetView showGridLines="0" topLeftCell="A120" workbookViewId="0">
      <selection activeCell="B133" sqref="B133"/>
    </sheetView>
  </sheetViews>
  <sheetFormatPr baseColWidth="10" defaultRowHeight="15" x14ac:dyDescent="0.25"/>
  <cols>
    <col min="1" max="1" width="2.21875" style="30" customWidth="1"/>
    <col min="2" max="2" width="40.109375" style="30" bestFit="1" customWidth="1"/>
    <col min="3" max="3" width="11.5546875" style="30"/>
    <col min="4" max="5" width="11.77734375" style="30" bestFit="1" customWidth="1"/>
    <col min="6" max="6" width="14.33203125" style="30" bestFit="1" customWidth="1"/>
    <col min="7" max="7" width="3.5546875" style="30" customWidth="1"/>
    <col min="8" max="8" width="27.33203125" style="30" bestFit="1" customWidth="1"/>
    <col min="9" max="9" width="14.33203125" style="30" bestFit="1" customWidth="1"/>
    <col min="10" max="16384" width="11.5546875" style="30"/>
  </cols>
  <sheetData>
    <row r="6" spans="2:9" ht="15.6" x14ac:dyDescent="0.3">
      <c r="B6" s="50" t="s">
        <v>290</v>
      </c>
      <c r="C6" s="32"/>
      <c r="D6" s="32"/>
      <c r="E6" s="51"/>
      <c r="F6" s="51"/>
      <c r="G6" s="31"/>
      <c r="H6" s="293" t="s">
        <v>0</v>
      </c>
      <c r="I6" s="293"/>
    </row>
    <row r="7" spans="2:9" ht="15.6" x14ac:dyDescent="0.25">
      <c r="B7" s="41" t="s">
        <v>1</v>
      </c>
      <c r="C7" s="42" t="s">
        <v>2</v>
      </c>
      <c r="D7" s="42" t="s">
        <v>3</v>
      </c>
      <c r="E7" s="52" t="s">
        <v>4</v>
      </c>
      <c r="F7" s="52" t="s">
        <v>5</v>
      </c>
      <c r="G7" s="31"/>
      <c r="H7" s="33" t="s">
        <v>6</v>
      </c>
      <c r="I7" s="34">
        <f>SUM(Tabla11034534544554564791081351121722993063164246276207228336[Total costo])</f>
        <v>276788.72727263998</v>
      </c>
    </row>
    <row r="8" spans="2:9" x14ac:dyDescent="0.25">
      <c r="B8" s="35" t="s">
        <v>1084</v>
      </c>
      <c r="C8" s="36" t="s">
        <v>349</v>
      </c>
      <c r="D8" s="37">
        <v>24</v>
      </c>
      <c r="E8" s="38">
        <f>+VLOOKUP(Tabla11034534544554564791081351121722993063164246276207228336[[#This Row],[Ingrediente]],Tabla34[#All],3,0)</f>
        <v>11532.86363636</v>
      </c>
      <c r="F8" s="39">
        <f>+Tabla11034534544554564791081351121722993063164246276207228336[[#This Row],[Costo]]*Tabla11034534544554564791081351121722993063164246276207228336[[#This Row],[Cant.]]</f>
        <v>276788.72727263998</v>
      </c>
      <c r="G8" s="31"/>
      <c r="H8" s="33" t="s">
        <v>113</v>
      </c>
      <c r="I8" s="40"/>
    </row>
    <row r="9" spans="2:9" ht="15.6" x14ac:dyDescent="0.25">
      <c r="B9" s="41"/>
      <c r="C9" s="42"/>
      <c r="D9" s="42"/>
      <c r="E9" s="43"/>
      <c r="F9" s="43">
        <f>SUBTOTAL(109,Tabla11034534544554564791081351121722993063164246276207228336[Total costo])</f>
        <v>276788.72727263998</v>
      </c>
      <c r="G9" s="31"/>
      <c r="H9" s="33" t="s">
        <v>9</v>
      </c>
      <c r="I9" s="40">
        <f>+I7+I8</f>
        <v>276788.72727263998</v>
      </c>
    </row>
    <row r="10" spans="2:9" x14ac:dyDescent="0.25">
      <c r="G10" s="31"/>
      <c r="H10" s="53" t="s">
        <v>10</v>
      </c>
      <c r="I10" s="54">
        <v>725000</v>
      </c>
    </row>
    <row r="11" spans="2:9" x14ac:dyDescent="0.25">
      <c r="G11" s="31"/>
      <c r="H11" s="33" t="s">
        <v>11</v>
      </c>
      <c r="I11" s="40">
        <f>+I10/1.08*0.08</f>
        <v>53703.703703703708</v>
      </c>
    </row>
    <row r="12" spans="2:9" x14ac:dyDescent="0.25">
      <c r="G12" s="31"/>
      <c r="H12" s="33" t="s">
        <v>12</v>
      </c>
      <c r="I12" s="40">
        <f>+I10-I11</f>
        <v>671296.29629629629</v>
      </c>
    </row>
    <row r="13" spans="2:9" x14ac:dyDescent="0.25">
      <c r="G13" s="31"/>
      <c r="H13" s="33" t="s">
        <v>13</v>
      </c>
      <c r="I13" s="55">
        <f>+I9/I12</f>
        <v>0.41231975924751885</v>
      </c>
    </row>
    <row r="14" spans="2:9" x14ac:dyDescent="0.25">
      <c r="G14" s="31"/>
      <c r="H14" s="33" t="s">
        <v>14</v>
      </c>
      <c r="I14" s="56">
        <f>+I12-I9</f>
        <v>394507.56902365631</v>
      </c>
    </row>
    <row r="15" spans="2:9" x14ac:dyDescent="0.25">
      <c r="G15" s="31"/>
      <c r="H15" s="33" t="s">
        <v>15</v>
      </c>
      <c r="I15" s="57">
        <f>+I14/I9</f>
        <v>1.4253021534184878</v>
      </c>
    </row>
    <row r="17" spans="2:9" ht="15.6" x14ac:dyDescent="0.3">
      <c r="B17" s="50" t="s">
        <v>767</v>
      </c>
      <c r="C17" s="32"/>
      <c r="D17" s="32"/>
      <c r="E17" s="51"/>
      <c r="F17" s="51"/>
      <c r="G17" s="31"/>
      <c r="H17" s="293" t="s">
        <v>0</v>
      </c>
      <c r="I17" s="293"/>
    </row>
    <row r="18" spans="2:9" ht="15.6" x14ac:dyDescent="0.25">
      <c r="B18" s="41" t="s">
        <v>1</v>
      </c>
      <c r="C18" s="42" t="s">
        <v>2</v>
      </c>
      <c r="D18" s="42" t="s">
        <v>3</v>
      </c>
      <c r="E18" s="52" t="s">
        <v>4</v>
      </c>
      <c r="F18" s="52" t="s">
        <v>5</v>
      </c>
      <c r="G18" s="31"/>
      <c r="H18" s="33" t="s">
        <v>6</v>
      </c>
      <c r="I18" s="34">
        <f>SUM(Tabla11034534544554564791081351121722993063164246276207228336356[Total costo])</f>
        <v>203896</v>
      </c>
    </row>
    <row r="19" spans="2:9" x14ac:dyDescent="0.25">
      <c r="B19" s="35" t="s">
        <v>656</v>
      </c>
      <c r="C19" s="36" t="s">
        <v>349</v>
      </c>
      <c r="D19" s="37">
        <v>22</v>
      </c>
      <c r="E19" s="38">
        <f>+VLOOKUP(Tabla11034534544554564791081351121722993063164246276207228336356[[#This Row],[Ingrediente]],Tabla34[#All],3,0)</f>
        <v>9268</v>
      </c>
      <c r="F19" s="39">
        <f>+Tabla11034534544554564791081351121722993063164246276207228336356[[#This Row],[Costo]]*Tabla11034534544554564791081351121722993063164246276207228336356[[#This Row],[Cant.]]</f>
        <v>203896</v>
      </c>
      <c r="G19" s="31"/>
      <c r="H19" s="33" t="s">
        <v>113</v>
      </c>
      <c r="I19" s="40"/>
    </row>
    <row r="20" spans="2:9" ht="15.6" x14ac:dyDescent="0.25">
      <c r="B20" s="41"/>
      <c r="C20" s="42"/>
      <c r="D20" s="42"/>
      <c r="E20" s="43"/>
      <c r="F20" s="43">
        <f>SUBTOTAL(109,Tabla11034534544554564791081351121722993063164246276207228336356[Total costo])</f>
        <v>203896</v>
      </c>
      <c r="G20" s="31"/>
      <c r="H20" s="33" t="s">
        <v>9</v>
      </c>
      <c r="I20" s="40">
        <f>+I18+I19</f>
        <v>203896</v>
      </c>
    </row>
    <row r="21" spans="2:9" x14ac:dyDescent="0.25">
      <c r="G21" s="31"/>
      <c r="H21" s="53" t="s">
        <v>10</v>
      </c>
      <c r="I21" s="54">
        <v>540000</v>
      </c>
    </row>
    <row r="22" spans="2:9" x14ac:dyDescent="0.25">
      <c r="G22" s="31"/>
      <c r="H22" s="33" t="s">
        <v>11</v>
      </c>
      <c r="I22" s="40">
        <f>+I21/1.08*0.08</f>
        <v>39999.999999999993</v>
      </c>
    </row>
    <row r="23" spans="2:9" x14ac:dyDescent="0.25">
      <c r="G23" s="31"/>
      <c r="H23" s="33" t="s">
        <v>12</v>
      </c>
      <c r="I23" s="40">
        <f>+I21-I22</f>
        <v>500000</v>
      </c>
    </row>
    <row r="24" spans="2:9" x14ac:dyDescent="0.25">
      <c r="G24" s="31"/>
      <c r="H24" s="33" t="s">
        <v>13</v>
      </c>
      <c r="I24" s="55">
        <f>+I20/I23</f>
        <v>0.40779199999999999</v>
      </c>
    </row>
    <row r="25" spans="2:9" x14ac:dyDescent="0.25">
      <c r="G25" s="31"/>
      <c r="H25" s="33" t="s">
        <v>14</v>
      </c>
      <c r="I25" s="56">
        <f>+I23-I20</f>
        <v>296104</v>
      </c>
    </row>
    <row r="26" spans="2:9" x14ac:dyDescent="0.25">
      <c r="G26" s="31"/>
      <c r="H26" s="33" t="s">
        <v>15</v>
      </c>
      <c r="I26" s="57">
        <f>+I25/I20</f>
        <v>1.452230548907286</v>
      </c>
    </row>
    <row r="30" spans="2:9" ht="15.6" x14ac:dyDescent="0.3">
      <c r="B30" s="50" t="s">
        <v>291</v>
      </c>
      <c r="C30" s="32"/>
      <c r="D30" s="32"/>
      <c r="E30" s="51"/>
      <c r="F30" s="51"/>
      <c r="G30" s="31"/>
      <c r="H30" s="293" t="s">
        <v>0</v>
      </c>
      <c r="I30" s="293"/>
    </row>
    <row r="31" spans="2:9" ht="15.6" x14ac:dyDescent="0.25">
      <c r="B31" s="41" t="s">
        <v>1</v>
      </c>
      <c r="C31" s="42" t="s">
        <v>2</v>
      </c>
      <c r="D31" s="42" t="s">
        <v>3</v>
      </c>
      <c r="E31" s="52" t="s">
        <v>4</v>
      </c>
      <c r="F31" s="52" t="s">
        <v>5</v>
      </c>
      <c r="G31" s="31"/>
      <c r="H31" s="33" t="s">
        <v>6</v>
      </c>
      <c r="I31" s="34">
        <f>SUM(Tabla11034534544554564791081351121722993063164246276207228336357[Total costo])</f>
        <v>346929</v>
      </c>
    </row>
    <row r="32" spans="2:9" x14ac:dyDescent="0.25">
      <c r="B32" s="35" t="s">
        <v>630</v>
      </c>
      <c r="C32" s="36" t="s">
        <v>349</v>
      </c>
      <c r="D32" s="37">
        <v>22</v>
      </c>
      <c r="E32" s="38">
        <f>+VLOOKUP(Tabla11034534544554564791081351121722993063164246276207228336357[[#This Row],[Ingrediente]],Tabla34[#All],3,0)</f>
        <v>15769.5</v>
      </c>
      <c r="F32" s="39">
        <f>+Tabla11034534544554564791081351121722993063164246276207228336357[[#This Row],[Costo]]*Tabla11034534544554564791081351121722993063164246276207228336357[[#This Row],[Cant.]]</f>
        <v>346929</v>
      </c>
      <c r="G32" s="31"/>
      <c r="H32" s="33" t="s">
        <v>113</v>
      </c>
      <c r="I32" s="40"/>
    </row>
    <row r="33" spans="2:9" ht="15.6" x14ac:dyDescent="0.25">
      <c r="B33" s="41"/>
      <c r="C33" s="42"/>
      <c r="D33" s="42"/>
      <c r="E33" s="43"/>
      <c r="F33" s="43">
        <f>SUBTOTAL(109,Tabla11034534544554564791081351121722993063164246276207228336357[Total costo])</f>
        <v>346929</v>
      </c>
      <c r="G33" s="31"/>
      <c r="H33" s="33" t="s">
        <v>9</v>
      </c>
      <c r="I33" s="40">
        <f>+I31+I32</f>
        <v>346929</v>
      </c>
    </row>
    <row r="34" spans="2:9" x14ac:dyDescent="0.25">
      <c r="G34" s="31"/>
      <c r="H34" s="53" t="s">
        <v>10</v>
      </c>
      <c r="I34" s="54">
        <v>935000</v>
      </c>
    </row>
    <row r="35" spans="2:9" x14ac:dyDescent="0.25">
      <c r="G35" s="31"/>
      <c r="H35" s="33" t="s">
        <v>11</v>
      </c>
      <c r="I35" s="40">
        <f>+I34/1.08*0.08</f>
        <v>69259.259259259255</v>
      </c>
    </row>
    <row r="36" spans="2:9" x14ac:dyDescent="0.25">
      <c r="G36" s="31"/>
      <c r="H36" s="33" t="s">
        <v>12</v>
      </c>
      <c r="I36" s="40">
        <f>+I34-I35</f>
        <v>865740.74074074079</v>
      </c>
    </row>
    <row r="37" spans="2:9" x14ac:dyDescent="0.25">
      <c r="G37" s="31"/>
      <c r="H37" s="33" t="s">
        <v>13</v>
      </c>
      <c r="I37" s="55">
        <f>+I33/I36</f>
        <v>0.40073082352941175</v>
      </c>
    </row>
    <row r="38" spans="2:9" x14ac:dyDescent="0.25">
      <c r="G38" s="31"/>
      <c r="H38" s="33" t="s">
        <v>14</v>
      </c>
      <c r="I38" s="56">
        <f>+I36-I33</f>
        <v>518811.74074074079</v>
      </c>
    </row>
    <row r="39" spans="2:9" x14ac:dyDescent="0.25">
      <c r="G39" s="31"/>
      <c r="H39" s="33" t="s">
        <v>15</v>
      </c>
      <c r="I39" s="57">
        <f>+I38/I33</f>
        <v>1.495440683081382</v>
      </c>
    </row>
    <row r="42" spans="2:9" ht="15.6" x14ac:dyDescent="0.3">
      <c r="B42" s="50" t="s">
        <v>292</v>
      </c>
      <c r="C42" s="32"/>
      <c r="D42" s="32"/>
      <c r="E42" s="51"/>
      <c r="F42" s="51"/>
      <c r="G42" s="31"/>
      <c r="H42" s="293" t="s">
        <v>0</v>
      </c>
      <c r="I42" s="293"/>
    </row>
    <row r="43" spans="2:9" ht="15.6" x14ac:dyDescent="0.25">
      <c r="B43" s="41" t="s">
        <v>1</v>
      </c>
      <c r="C43" s="42" t="s">
        <v>2</v>
      </c>
      <c r="D43" s="42" t="s">
        <v>3</v>
      </c>
      <c r="E43" s="52" t="s">
        <v>4</v>
      </c>
      <c r="F43" s="52" t="s">
        <v>5</v>
      </c>
      <c r="G43" s="31"/>
      <c r="H43" s="33" t="s">
        <v>6</v>
      </c>
      <c r="I43" s="34">
        <f>SUM(Tabla11034534544554564791081351121722993063164246276207228336358[Total costo])</f>
        <v>286458.99999992002</v>
      </c>
    </row>
    <row r="44" spans="2:9" x14ac:dyDescent="0.25">
      <c r="B44" s="35" t="s">
        <v>631</v>
      </c>
      <c r="C44" s="36" t="s">
        <v>349</v>
      </c>
      <c r="D44" s="37">
        <v>22</v>
      </c>
      <c r="E44" s="38">
        <f>+VLOOKUP(Tabla11034534544554564791081351121722993063164246276207228336358[[#This Row],[Ingrediente]],Tabla34[#All],3,0)</f>
        <v>13020.86363636</v>
      </c>
      <c r="F44" s="39">
        <f>+Tabla11034534544554564791081351121722993063164246276207228336358[[#This Row],[Costo]]*Tabla11034534544554564791081351121722993063164246276207228336358[[#This Row],[Cant.]]</f>
        <v>286458.99999992002</v>
      </c>
      <c r="G44" s="31"/>
      <c r="H44" s="33" t="s">
        <v>113</v>
      </c>
      <c r="I44" s="40"/>
    </row>
    <row r="45" spans="2:9" ht="15.6" x14ac:dyDescent="0.25">
      <c r="B45" s="41"/>
      <c r="C45" s="42"/>
      <c r="D45" s="42"/>
      <c r="E45" s="43"/>
      <c r="F45" s="43">
        <f>SUBTOTAL(109,Tabla11034534544554564791081351121722993063164246276207228336358[Total costo])</f>
        <v>286458.99999992002</v>
      </c>
      <c r="G45" s="31"/>
      <c r="H45" s="33" t="s">
        <v>9</v>
      </c>
      <c r="I45" s="40">
        <f>+I43+I44</f>
        <v>286458.99999992002</v>
      </c>
    </row>
    <row r="46" spans="2:9" x14ac:dyDescent="0.25">
      <c r="G46" s="31"/>
      <c r="H46" s="53" t="s">
        <v>10</v>
      </c>
      <c r="I46" s="54">
        <v>816000</v>
      </c>
    </row>
    <row r="47" spans="2:9" x14ac:dyDescent="0.25">
      <c r="G47" s="31"/>
      <c r="H47" s="33" t="s">
        <v>11</v>
      </c>
      <c r="I47" s="40">
        <f>+I46/1.08*0.08</f>
        <v>60444.444444444438</v>
      </c>
    </row>
    <row r="48" spans="2:9" x14ac:dyDescent="0.25">
      <c r="G48" s="31"/>
      <c r="H48" s="33" t="s">
        <v>12</v>
      </c>
      <c r="I48" s="40">
        <f>+I46-I47</f>
        <v>755555.5555555555</v>
      </c>
    </row>
    <row r="49" spans="2:9" x14ac:dyDescent="0.25">
      <c r="G49" s="31"/>
      <c r="H49" s="33" t="s">
        <v>13</v>
      </c>
      <c r="I49" s="55">
        <f>+I45/I48</f>
        <v>0.37913691176460007</v>
      </c>
    </row>
    <row r="50" spans="2:9" x14ac:dyDescent="0.25">
      <c r="G50" s="31"/>
      <c r="H50" s="33" t="s">
        <v>14</v>
      </c>
      <c r="I50" s="56">
        <f>+I48-I45</f>
        <v>469096.55555563548</v>
      </c>
    </row>
    <row r="51" spans="2:9" x14ac:dyDescent="0.25">
      <c r="G51" s="31"/>
      <c r="H51" s="33" t="s">
        <v>15</v>
      </c>
      <c r="I51" s="57">
        <f>+I50/I45</f>
        <v>1.6375696192326528</v>
      </c>
    </row>
    <row r="54" spans="2:9" ht="15.6" x14ac:dyDescent="0.3">
      <c r="B54" s="50" t="s">
        <v>293</v>
      </c>
      <c r="C54" s="32"/>
      <c r="D54" s="32"/>
      <c r="E54" s="51"/>
      <c r="F54" s="51"/>
      <c r="G54" s="31"/>
      <c r="H54" s="293" t="s">
        <v>0</v>
      </c>
      <c r="I54" s="293"/>
    </row>
    <row r="55" spans="2:9" ht="15.6" x14ac:dyDescent="0.25">
      <c r="B55" s="41" t="s">
        <v>1</v>
      </c>
      <c r="C55" s="42" t="s">
        <v>2</v>
      </c>
      <c r="D55" s="42" t="s">
        <v>3</v>
      </c>
      <c r="E55" s="52" t="s">
        <v>4</v>
      </c>
      <c r="F55" s="52" t="s">
        <v>5</v>
      </c>
      <c r="G55" s="31"/>
      <c r="H55" s="33" t="s">
        <v>6</v>
      </c>
      <c r="I55" s="34">
        <f>SUM(Tabla11034534544554564791081351121722993063164246276207228336359[Total costo])</f>
        <v>188008.33333326</v>
      </c>
    </row>
    <row r="56" spans="2:9" x14ac:dyDescent="0.25">
      <c r="B56" s="35" t="s">
        <v>670</v>
      </c>
      <c r="C56" s="36" t="s">
        <v>349</v>
      </c>
      <c r="D56" s="37">
        <v>22</v>
      </c>
      <c r="E56" s="38">
        <f>+VLOOKUP(Tabla11034534544554564791081351121722993063164246276207228336359[[#This Row],[Ingrediente]],Tabla34[#All],3,0)</f>
        <v>8545.8333333299997</v>
      </c>
      <c r="F56" s="39">
        <f>+Tabla11034534544554564791081351121722993063164246276207228336359[[#This Row],[Costo]]*Tabla11034534544554564791081351121722993063164246276207228336359[[#This Row],[Cant.]]</f>
        <v>188008.33333326</v>
      </c>
      <c r="G56" s="31"/>
      <c r="H56" s="33" t="s">
        <v>113</v>
      </c>
      <c r="I56" s="40"/>
    </row>
    <row r="57" spans="2:9" ht="15.6" x14ac:dyDescent="0.25">
      <c r="B57" s="41"/>
      <c r="C57" s="42"/>
      <c r="D57" s="42"/>
      <c r="E57" s="43"/>
      <c r="F57" s="43">
        <f>SUBTOTAL(109,Tabla11034534544554564791081351121722993063164246276207228336359[Total costo])</f>
        <v>188008.33333326</v>
      </c>
      <c r="G57" s="31"/>
      <c r="H57" s="33" t="s">
        <v>9</v>
      </c>
      <c r="I57" s="40">
        <f>+I55+I56</f>
        <v>188008.33333326</v>
      </c>
    </row>
    <row r="58" spans="2:9" x14ac:dyDescent="0.25">
      <c r="G58" s="31"/>
      <c r="H58" s="53" t="s">
        <v>10</v>
      </c>
      <c r="I58" s="54">
        <v>520000</v>
      </c>
    </row>
    <row r="59" spans="2:9" x14ac:dyDescent="0.25">
      <c r="G59" s="31"/>
      <c r="H59" s="33" t="s">
        <v>11</v>
      </c>
      <c r="I59" s="40">
        <f>+I58/1.08*0.08</f>
        <v>38518.518518518518</v>
      </c>
    </row>
    <row r="60" spans="2:9" x14ac:dyDescent="0.25">
      <c r="G60" s="31"/>
      <c r="H60" s="33" t="s">
        <v>12</v>
      </c>
      <c r="I60" s="40">
        <f>+I58-I59</f>
        <v>481481.48148148146</v>
      </c>
    </row>
    <row r="61" spans="2:9" x14ac:dyDescent="0.25">
      <c r="G61" s="31"/>
      <c r="H61" s="33" t="s">
        <v>13</v>
      </c>
      <c r="I61" s="55">
        <f>+I57/I60</f>
        <v>0.39047884615369388</v>
      </c>
    </row>
    <row r="62" spans="2:9" x14ac:dyDescent="0.25">
      <c r="G62" s="31"/>
      <c r="H62" s="33" t="s">
        <v>14</v>
      </c>
      <c r="I62" s="56">
        <f>+I60-I57</f>
        <v>293473.14814822143</v>
      </c>
    </row>
    <row r="63" spans="2:9" x14ac:dyDescent="0.25">
      <c r="G63" s="31"/>
      <c r="H63" s="33" t="s">
        <v>15</v>
      </c>
      <c r="I63" s="57">
        <f>+I62/I57</f>
        <v>1.5609581923585083</v>
      </c>
    </row>
    <row r="68" spans="2:9" ht="15.6" x14ac:dyDescent="0.3">
      <c r="B68" s="50" t="s">
        <v>1268</v>
      </c>
      <c r="C68" s="32"/>
      <c r="D68" s="32"/>
      <c r="E68" s="51"/>
      <c r="F68" s="51"/>
      <c r="G68" s="31"/>
      <c r="H68" s="293" t="s">
        <v>0</v>
      </c>
      <c r="I68" s="293"/>
    </row>
    <row r="69" spans="2:9" ht="15.6" x14ac:dyDescent="0.25">
      <c r="B69" s="41" t="s">
        <v>1</v>
      </c>
      <c r="C69" s="42" t="s">
        <v>2</v>
      </c>
      <c r="D69" s="42" t="s">
        <v>3</v>
      </c>
      <c r="E69" s="52" t="s">
        <v>4</v>
      </c>
      <c r="F69" s="52" t="s">
        <v>5</v>
      </c>
      <c r="G69" s="31"/>
      <c r="H69" s="33" t="s">
        <v>6</v>
      </c>
      <c r="I69" s="34">
        <f>SUM(Tabla11034534544554564791081351121722993063164246276207228336360[Total costo])</f>
        <v>16779.5</v>
      </c>
    </row>
    <row r="70" spans="2:9" x14ac:dyDescent="0.25">
      <c r="B70" s="35" t="s">
        <v>401</v>
      </c>
      <c r="C70" s="36" t="s">
        <v>349</v>
      </c>
      <c r="D70" s="37">
        <v>2</v>
      </c>
      <c r="E70" s="38">
        <f>+VLOOKUP(Tabla11034534544554564791081351121722993063164246276207228336360[[#This Row],[Ingrediente]],Tabla34[#All],3,0)</f>
        <v>8389.75</v>
      </c>
      <c r="F70" s="39">
        <f>+Tabla11034534544554564791081351121722993063164246276207228336360[[#This Row],[Costo]]*Tabla11034534544554564791081351121722993063164246276207228336360[[#This Row],[Cant.]]</f>
        <v>16779.5</v>
      </c>
      <c r="G70" s="31"/>
      <c r="H70" s="33" t="s">
        <v>113</v>
      </c>
      <c r="I70" s="40"/>
    </row>
    <row r="71" spans="2:9" ht="15.6" x14ac:dyDescent="0.25">
      <c r="B71" s="41"/>
      <c r="C71" s="42"/>
      <c r="D71" s="42"/>
      <c r="E71" s="43"/>
      <c r="F71" s="43">
        <f>SUBTOTAL(109,Tabla11034534544554564791081351121722993063164246276207228336360[Total costo])</f>
        <v>16779.5</v>
      </c>
      <c r="G71" s="31"/>
      <c r="H71" s="33" t="s">
        <v>9</v>
      </c>
      <c r="I71" s="40">
        <f>+I69+I70</f>
        <v>16779.5</v>
      </c>
    </row>
    <row r="72" spans="2:9" x14ac:dyDescent="0.25">
      <c r="G72" s="31"/>
      <c r="H72" s="53" t="s">
        <v>10</v>
      </c>
      <c r="I72" s="54">
        <v>40000</v>
      </c>
    </row>
    <row r="73" spans="2:9" x14ac:dyDescent="0.25">
      <c r="G73" s="31"/>
      <c r="H73" s="33" t="s">
        <v>11</v>
      </c>
      <c r="I73" s="40">
        <f>+I72/1.08*0.08</f>
        <v>2962.962962962963</v>
      </c>
    </row>
    <row r="74" spans="2:9" x14ac:dyDescent="0.25">
      <c r="G74" s="31"/>
      <c r="H74" s="33" t="s">
        <v>12</v>
      </c>
      <c r="I74" s="40">
        <f>+I72-I73</f>
        <v>37037.037037037036</v>
      </c>
    </row>
    <row r="75" spans="2:9" x14ac:dyDescent="0.25">
      <c r="G75" s="31"/>
      <c r="H75" s="33" t="s">
        <v>13</v>
      </c>
      <c r="I75" s="55">
        <f>+I71/I74</f>
        <v>0.45304650000000002</v>
      </c>
    </row>
    <row r="76" spans="2:9" x14ac:dyDescent="0.25">
      <c r="G76" s="31"/>
      <c r="H76" s="33" t="s">
        <v>14</v>
      </c>
      <c r="I76" s="56">
        <f>+I74-I71</f>
        <v>20257.537037037036</v>
      </c>
    </row>
    <row r="77" spans="2:9" x14ac:dyDescent="0.25">
      <c r="G77" s="31"/>
      <c r="H77" s="33" t="s">
        <v>15</v>
      </c>
      <c r="I77" s="57">
        <f>+I76/I71</f>
        <v>1.2072789437728797</v>
      </c>
    </row>
    <row r="81" spans="2:9" ht="15.6" x14ac:dyDescent="0.3">
      <c r="B81" s="50" t="s">
        <v>294</v>
      </c>
      <c r="C81" s="32"/>
      <c r="D81" s="32"/>
      <c r="E81" s="51"/>
      <c r="F81" s="51"/>
      <c r="G81" s="31"/>
      <c r="H81" s="293" t="s">
        <v>0</v>
      </c>
      <c r="I81" s="293"/>
    </row>
    <row r="82" spans="2:9" ht="15.6" x14ac:dyDescent="0.25">
      <c r="B82" s="41" t="s">
        <v>1</v>
      </c>
      <c r="C82" s="42" t="s">
        <v>2</v>
      </c>
      <c r="D82" s="42" t="s">
        <v>3</v>
      </c>
      <c r="E82" s="52" t="s">
        <v>4</v>
      </c>
      <c r="F82" s="52" t="s">
        <v>5</v>
      </c>
      <c r="G82" s="31"/>
      <c r="H82" s="33" t="s">
        <v>6</v>
      </c>
      <c r="I82" s="34">
        <f>SUM(Tabla11034534544554564791081351121722993063164246276207228336361[Total costo])</f>
        <v>23065.72727272</v>
      </c>
    </row>
    <row r="83" spans="2:9" x14ac:dyDescent="0.25">
      <c r="B83" s="35" t="s">
        <v>1084</v>
      </c>
      <c r="C83" s="36" t="s">
        <v>349</v>
      </c>
      <c r="D83" s="37">
        <v>2</v>
      </c>
      <c r="E83" s="38">
        <f>+VLOOKUP(Tabla11034534544554564791081351121722993063164246276207228336361[[#This Row],[Ingrediente]],Tabla34[#All],3,0)</f>
        <v>11532.86363636</v>
      </c>
      <c r="F83" s="39">
        <f>+Tabla11034534544554564791081351121722993063164246276207228336361[[#This Row],[Costo]]*Tabla11034534544554564791081351121722993063164246276207228336361[[#This Row],[Cant.]]</f>
        <v>23065.72727272</v>
      </c>
      <c r="G83" s="31"/>
      <c r="H83" s="33" t="s">
        <v>113</v>
      </c>
      <c r="I83" s="40"/>
    </row>
    <row r="84" spans="2:9" ht="15.6" x14ac:dyDescent="0.25">
      <c r="B84" s="41"/>
      <c r="C84" s="42"/>
      <c r="D84" s="42"/>
      <c r="E84" s="43"/>
      <c r="F84" s="43">
        <f>SUBTOTAL(109,Tabla11034534544554564791081351121722993063164246276207228336361[Total costo])</f>
        <v>23065.72727272</v>
      </c>
      <c r="G84" s="31"/>
      <c r="H84" s="33" t="s">
        <v>9</v>
      </c>
      <c r="I84" s="40">
        <f>+I82+I83</f>
        <v>23065.72727272</v>
      </c>
    </row>
    <row r="85" spans="2:9" x14ac:dyDescent="0.25">
      <c r="G85" s="31"/>
      <c r="H85" s="53" t="s">
        <v>10</v>
      </c>
      <c r="I85" s="54">
        <v>60000</v>
      </c>
    </row>
    <row r="86" spans="2:9" x14ac:dyDescent="0.25">
      <c r="G86" s="31"/>
      <c r="H86" s="33" t="s">
        <v>11</v>
      </c>
      <c r="I86" s="40">
        <f>+I85/1.08*0.08</f>
        <v>4444.4444444444443</v>
      </c>
    </row>
    <row r="87" spans="2:9" x14ac:dyDescent="0.25">
      <c r="G87" s="31"/>
      <c r="H87" s="33" t="s">
        <v>12</v>
      </c>
      <c r="I87" s="40">
        <f>+I85-I86</f>
        <v>55555.555555555555</v>
      </c>
    </row>
    <row r="88" spans="2:9" x14ac:dyDescent="0.25">
      <c r="G88" s="31"/>
      <c r="H88" s="33" t="s">
        <v>13</v>
      </c>
      <c r="I88" s="55">
        <f>+I84/I87</f>
        <v>0.41518309090896</v>
      </c>
    </row>
    <row r="89" spans="2:9" x14ac:dyDescent="0.25">
      <c r="G89" s="31"/>
      <c r="H89" s="33" t="s">
        <v>14</v>
      </c>
      <c r="I89" s="56">
        <f>+I87-I84</f>
        <v>32489.828282835555</v>
      </c>
    </row>
    <row r="90" spans="2:9" x14ac:dyDescent="0.25">
      <c r="G90" s="31"/>
      <c r="H90" s="33" t="s">
        <v>15</v>
      </c>
      <c r="I90" s="57">
        <f>+I89/I84</f>
        <v>1.408575931670774</v>
      </c>
    </row>
    <row r="94" spans="2:9" ht="15.6" x14ac:dyDescent="0.3">
      <c r="B94" s="197" t="s">
        <v>925</v>
      </c>
      <c r="C94" s="32"/>
      <c r="D94" s="32"/>
      <c r="E94" s="51"/>
      <c r="F94" s="51"/>
      <c r="G94" s="31"/>
      <c r="H94" s="293" t="s">
        <v>0</v>
      </c>
      <c r="I94" s="293"/>
    </row>
    <row r="95" spans="2:9" ht="15.6" x14ac:dyDescent="0.25">
      <c r="B95" s="41" t="s">
        <v>1</v>
      </c>
      <c r="C95" s="42" t="s">
        <v>2</v>
      </c>
      <c r="D95" s="42" t="s">
        <v>3</v>
      </c>
      <c r="E95" s="52" t="s">
        <v>4</v>
      </c>
      <c r="F95" s="52" t="s">
        <v>5</v>
      </c>
      <c r="G95" s="31"/>
      <c r="H95" s="33" t="s">
        <v>6</v>
      </c>
      <c r="I95" s="34">
        <f>SUM(Tabla11034534544554564791081351121722993063164246276207228336362[Total costo])</f>
        <v>18536</v>
      </c>
    </row>
    <row r="96" spans="2:9" x14ac:dyDescent="0.25">
      <c r="B96" s="35" t="s">
        <v>656</v>
      </c>
      <c r="C96" s="36" t="s">
        <v>349</v>
      </c>
      <c r="D96" s="37">
        <v>2</v>
      </c>
      <c r="E96" s="38">
        <f>+VLOOKUP(Tabla11034534544554564791081351121722993063164246276207228336362[[#This Row],[Ingrediente]],Tabla34[#All],3,0)</f>
        <v>9268</v>
      </c>
      <c r="F96" s="39">
        <f>+Tabla11034534544554564791081351121722993063164246276207228336362[[#This Row],[Costo]]*Tabla11034534544554564791081351121722993063164246276207228336362[[#This Row],[Cant.]]</f>
        <v>18536</v>
      </c>
      <c r="G96" s="31"/>
      <c r="H96" s="33" t="s">
        <v>113</v>
      </c>
      <c r="I96" s="40"/>
    </row>
    <row r="97" spans="2:9" ht="15.6" x14ac:dyDescent="0.25">
      <c r="B97" s="41"/>
      <c r="C97" s="42"/>
      <c r="D97" s="42"/>
      <c r="E97" s="43"/>
      <c r="F97" s="43">
        <f>SUBTOTAL(109,Tabla11034534544554564791081351121722993063164246276207228336362[Total costo])</f>
        <v>18536</v>
      </c>
      <c r="G97" s="31"/>
      <c r="H97" s="33" t="s">
        <v>9</v>
      </c>
      <c r="I97" s="40">
        <f>+I95+I96</f>
        <v>18536</v>
      </c>
    </row>
    <row r="98" spans="2:9" x14ac:dyDescent="0.25">
      <c r="G98" s="31"/>
      <c r="H98" s="53" t="s">
        <v>10</v>
      </c>
      <c r="I98" s="54">
        <v>50000</v>
      </c>
    </row>
    <row r="99" spans="2:9" x14ac:dyDescent="0.25">
      <c r="G99" s="31"/>
      <c r="H99" s="33" t="s">
        <v>11</v>
      </c>
      <c r="I99" s="40">
        <f>+I98/1.08*0.08</f>
        <v>3703.7037037037035</v>
      </c>
    </row>
    <row r="100" spans="2:9" x14ac:dyDescent="0.25">
      <c r="G100" s="31"/>
      <c r="H100" s="33" t="s">
        <v>12</v>
      </c>
      <c r="I100" s="40">
        <f>+I98-I99</f>
        <v>46296.296296296299</v>
      </c>
    </row>
    <row r="101" spans="2:9" x14ac:dyDescent="0.25">
      <c r="G101" s="31"/>
      <c r="H101" s="33" t="s">
        <v>13</v>
      </c>
      <c r="I101" s="55">
        <f>+I97/I100</f>
        <v>0.4003776</v>
      </c>
    </row>
    <row r="102" spans="2:9" x14ac:dyDescent="0.25">
      <c r="G102" s="31"/>
      <c r="H102" s="33" t="s">
        <v>14</v>
      </c>
      <c r="I102" s="56">
        <f>+I100-I97</f>
        <v>27760.296296296299</v>
      </c>
    </row>
    <row r="103" spans="2:9" x14ac:dyDescent="0.25">
      <c r="G103" s="31"/>
      <c r="H103" s="33" t="s">
        <v>15</v>
      </c>
      <c r="I103" s="57">
        <f>+I102/I97</f>
        <v>1.4976422257389026</v>
      </c>
    </row>
    <row r="107" spans="2:9" ht="15.6" x14ac:dyDescent="0.3">
      <c r="B107" s="50" t="s">
        <v>295</v>
      </c>
      <c r="C107" s="32"/>
      <c r="D107" s="32"/>
      <c r="E107" s="51"/>
      <c r="F107" s="51"/>
      <c r="G107" s="31"/>
      <c r="H107" s="293" t="s">
        <v>0</v>
      </c>
      <c r="I107" s="293"/>
    </row>
    <row r="108" spans="2:9" ht="15.6" x14ac:dyDescent="0.25">
      <c r="B108" s="41" t="s">
        <v>1</v>
      </c>
      <c r="C108" s="42" t="s">
        <v>2</v>
      </c>
      <c r="D108" s="42" t="s">
        <v>3</v>
      </c>
      <c r="E108" s="52" t="s">
        <v>4</v>
      </c>
      <c r="F108" s="52" t="s">
        <v>5</v>
      </c>
      <c r="G108" s="31"/>
      <c r="H108" s="33" t="s">
        <v>6</v>
      </c>
      <c r="I108" s="34">
        <f>SUM(Tabla11034534544554564791081351121722993063164246276207228336363[Total costo])</f>
        <v>31539</v>
      </c>
    </row>
    <row r="109" spans="2:9" x14ac:dyDescent="0.25">
      <c r="B109" s="35" t="s">
        <v>630</v>
      </c>
      <c r="C109" s="36" t="s">
        <v>349</v>
      </c>
      <c r="D109" s="37">
        <v>2</v>
      </c>
      <c r="E109" s="38">
        <f>+VLOOKUP(Tabla11034534544554564791081351121722993063164246276207228336363[[#This Row],[Ingrediente]],Tabla34[#All],3,0)</f>
        <v>15769.5</v>
      </c>
      <c r="F109" s="39">
        <f>+Tabla11034534544554564791081351121722993063164246276207228336363[[#This Row],[Costo]]*Tabla11034534544554564791081351121722993063164246276207228336363[[#This Row],[Cant.]]</f>
        <v>31539</v>
      </c>
      <c r="G109" s="31"/>
      <c r="H109" s="33" t="s">
        <v>113</v>
      </c>
      <c r="I109" s="40"/>
    </row>
    <row r="110" spans="2:9" ht="15.6" x14ac:dyDescent="0.25">
      <c r="B110" s="41"/>
      <c r="C110" s="42"/>
      <c r="D110" s="42"/>
      <c r="E110" s="43"/>
      <c r="F110" s="43">
        <f>SUBTOTAL(109,Tabla11034534544554564791081351121722993063164246276207228336363[Total costo])</f>
        <v>31539</v>
      </c>
      <c r="G110" s="31"/>
      <c r="H110" s="33" t="s">
        <v>9</v>
      </c>
      <c r="I110" s="40">
        <f>+I108+I109</f>
        <v>31539</v>
      </c>
    </row>
    <row r="111" spans="2:9" x14ac:dyDescent="0.25">
      <c r="G111" s="31"/>
      <c r="H111" s="53" t="s">
        <v>10</v>
      </c>
      <c r="I111" s="54">
        <v>85000</v>
      </c>
    </row>
    <row r="112" spans="2:9" x14ac:dyDescent="0.25">
      <c r="G112" s="31"/>
      <c r="H112" s="33" t="s">
        <v>11</v>
      </c>
      <c r="I112" s="40">
        <f>+I111/1.08*0.08</f>
        <v>6296.2962962962956</v>
      </c>
    </row>
    <row r="113" spans="2:9" x14ac:dyDescent="0.25">
      <c r="G113" s="31"/>
      <c r="H113" s="33" t="s">
        <v>12</v>
      </c>
      <c r="I113" s="40">
        <f>+I111-I112</f>
        <v>78703.703703703708</v>
      </c>
    </row>
    <row r="114" spans="2:9" x14ac:dyDescent="0.25">
      <c r="G114" s="31"/>
      <c r="H114" s="33" t="s">
        <v>13</v>
      </c>
      <c r="I114" s="55">
        <f>+I110/I113</f>
        <v>0.40073082352941175</v>
      </c>
    </row>
    <row r="115" spans="2:9" x14ac:dyDescent="0.25">
      <c r="G115" s="31"/>
      <c r="H115" s="33" t="s">
        <v>14</v>
      </c>
      <c r="I115" s="56">
        <f>+I113-I110</f>
        <v>47164.703703703708</v>
      </c>
    </row>
    <row r="116" spans="2:9" x14ac:dyDescent="0.25">
      <c r="G116" s="31"/>
      <c r="H116" s="33" t="s">
        <v>15</v>
      </c>
      <c r="I116" s="57">
        <f>+I115/I110</f>
        <v>1.495440683081382</v>
      </c>
    </row>
    <row r="120" spans="2:9" ht="15.6" x14ac:dyDescent="0.3">
      <c r="B120" s="50" t="s">
        <v>920</v>
      </c>
      <c r="C120" s="32"/>
      <c r="D120" s="32"/>
      <c r="E120" s="51"/>
      <c r="F120" s="51"/>
      <c r="G120" s="31"/>
      <c r="H120" s="293" t="s">
        <v>0</v>
      </c>
      <c r="I120" s="293"/>
    </row>
    <row r="121" spans="2:9" ht="15.6" x14ac:dyDescent="0.25">
      <c r="B121" s="41" t="s">
        <v>1</v>
      </c>
      <c r="C121" s="42" t="s">
        <v>2</v>
      </c>
      <c r="D121" s="42" t="s">
        <v>3</v>
      </c>
      <c r="E121" s="52" t="s">
        <v>4</v>
      </c>
      <c r="F121" s="52" t="s">
        <v>5</v>
      </c>
      <c r="G121" s="31"/>
      <c r="H121" s="33" t="s">
        <v>6</v>
      </c>
      <c r="I121" s="34">
        <f>SUM(Tabla11034534544554564791081351121722993063164246276207228336364[Total costo])</f>
        <v>26041.72727272</v>
      </c>
    </row>
    <row r="122" spans="2:9" x14ac:dyDescent="0.25">
      <c r="B122" s="35" t="s">
        <v>631</v>
      </c>
      <c r="C122" s="36" t="s">
        <v>349</v>
      </c>
      <c r="D122" s="37">
        <v>2</v>
      </c>
      <c r="E122" s="38">
        <f>+VLOOKUP(Tabla11034534544554564791081351121722993063164246276207228336364[[#This Row],[Ingrediente]],Tabla34[#All],3,0)</f>
        <v>13020.86363636</v>
      </c>
      <c r="F122" s="39">
        <f>+Tabla11034534544554564791081351121722993063164246276207228336364[[#This Row],[Costo]]*Tabla11034534544554564791081351121722993063164246276207228336364[[#This Row],[Cant.]]</f>
        <v>26041.72727272</v>
      </c>
      <c r="G122" s="31"/>
      <c r="H122" s="33" t="s">
        <v>113</v>
      </c>
      <c r="I122" s="40"/>
    </row>
    <row r="123" spans="2:9" ht="15.6" x14ac:dyDescent="0.25">
      <c r="B123" s="41"/>
      <c r="C123" s="42"/>
      <c r="D123" s="42"/>
      <c r="E123" s="43"/>
      <c r="F123" s="43">
        <f>SUBTOTAL(109,Tabla11034534544554564791081351121722993063164246276207228336364[Total costo])</f>
        <v>26041.72727272</v>
      </c>
      <c r="G123" s="31"/>
      <c r="H123" s="33" t="s">
        <v>9</v>
      </c>
      <c r="I123" s="40">
        <f>+I121+I122</f>
        <v>26041.72727272</v>
      </c>
    </row>
    <row r="124" spans="2:9" x14ac:dyDescent="0.25">
      <c r="G124" s="31"/>
      <c r="H124" s="53" t="s">
        <v>10</v>
      </c>
      <c r="I124" s="54">
        <v>75000</v>
      </c>
    </row>
    <row r="125" spans="2:9" x14ac:dyDescent="0.25">
      <c r="G125" s="31"/>
      <c r="H125" s="33" t="s">
        <v>11</v>
      </c>
      <c r="I125" s="40">
        <f>+I124/1.08*0.08</f>
        <v>5555.5555555555547</v>
      </c>
    </row>
    <row r="126" spans="2:9" x14ac:dyDescent="0.25">
      <c r="G126" s="31"/>
      <c r="H126" s="33" t="s">
        <v>12</v>
      </c>
      <c r="I126" s="40">
        <f>+I124-I125</f>
        <v>69444.444444444438</v>
      </c>
    </row>
    <row r="127" spans="2:9" x14ac:dyDescent="0.25">
      <c r="G127" s="31"/>
      <c r="H127" s="33" t="s">
        <v>13</v>
      </c>
      <c r="I127" s="55">
        <f>+I123/I126</f>
        <v>0.37500087272716803</v>
      </c>
    </row>
    <row r="128" spans="2:9" x14ac:dyDescent="0.25">
      <c r="G128" s="31"/>
      <c r="H128" s="33" t="s">
        <v>14</v>
      </c>
      <c r="I128" s="56">
        <f>+I126-I123</f>
        <v>43402.717171724435</v>
      </c>
    </row>
    <row r="129" spans="2:9" x14ac:dyDescent="0.25">
      <c r="G129" s="31"/>
      <c r="H129" s="33" t="s">
        <v>15</v>
      </c>
      <c r="I129" s="57">
        <f>+I128/I123</f>
        <v>1.6666604606212481</v>
      </c>
    </row>
    <row r="133" spans="2:9" ht="15.6" x14ac:dyDescent="0.3">
      <c r="B133" s="50" t="s">
        <v>932</v>
      </c>
      <c r="C133" s="32"/>
      <c r="D133" s="32"/>
      <c r="E133" s="51"/>
      <c r="F133" s="51"/>
      <c r="G133" s="31"/>
      <c r="H133" s="293" t="s">
        <v>0</v>
      </c>
      <c r="I133" s="293"/>
    </row>
    <row r="134" spans="2:9" ht="15.6" x14ac:dyDescent="0.25">
      <c r="B134" s="41" t="s">
        <v>1</v>
      </c>
      <c r="C134" s="42" t="s">
        <v>2</v>
      </c>
      <c r="D134" s="42" t="s">
        <v>3</v>
      </c>
      <c r="E134" s="52" t="s">
        <v>4</v>
      </c>
      <c r="F134" s="52" t="s">
        <v>5</v>
      </c>
      <c r="G134" s="31"/>
      <c r="H134" s="33" t="s">
        <v>6</v>
      </c>
      <c r="I134" s="34">
        <f>SUM(Tabla11034534544554564791081351121722993063164246276207228336365[Total costo])</f>
        <v>17091.666666659999</v>
      </c>
    </row>
    <row r="135" spans="2:9" x14ac:dyDescent="0.25">
      <c r="B135" s="35" t="s">
        <v>670</v>
      </c>
      <c r="C135" s="36" t="s">
        <v>349</v>
      </c>
      <c r="D135" s="37">
        <v>2</v>
      </c>
      <c r="E135" s="38">
        <f>+VLOOKUP(Tabla11034534544554564791081351121722993063164246276207228336365[[#This Row],[Ingrediente]],Tabla34[#All],3,0)</f>
        <v>8545.8333333299997</v>
      </c>
      <c r="F135" s="39">
        <f>+Tabla11034534544554564791081351121722993063164246276207228336365[[#This Row],[Costo]]*Tabla11034534544554564791081351121722993063164246276207228336365[[#This Row],[Cant.]]</f>
        <v>17091.666666659999</v>
      </c>
      <c r="G135" s="31"/>
      <c r="H135" s="33" t="s">
        <v>113</v>
      </c>
      <c r="I135" s="40"/>
    </row>
    <row r="136" spans="2:9" ht="15.6" x14ac:dyDescent="0.25">
      <c r="B136" s="41"/>
      <c r="C136" s="42"/>
      <c r="D136" s="42"/>
      <c r="E136" s="43"/>
      <c r="F136" s="43">
        <f>SUBTOTAL(109,Tabla11034534544554564791081351121722993063164246276207228336365[Total costo])</f>
        <v>17091.666666659999</v>
      </c>
      <c r="G136" s="31"/>
      <c r="H136" s="33" t="s">
        <v>9</v>
      </c>
      <c r="I136" s="40">
        <f>+I134+I135</f>
        <v>17091.666666659999</v>
      </c>
    </row>
    <row r="137" spans="2:9" x14ac:dyDescent="0.25">
      <c r="G137" s="31"/>
      <c r="H137" s="53" t="s">
        <v>10</v>
      </c>
      <c r="I137" s="54">
        <v>46000</v>
      </c>
    </row>
    <row r="138" spans="2:9" x14ac:dyDescent="0.25">
      <c r="G138" s="31"/>
      <c r="H138" s="33" t="s">
        <v>11</v>
      </c>
      <c r="I138" s="40">
        <f>+I137/1.08*0.08</f>
        <v>3407.4074074074074</v>
      </c>
    </row>
    <row r="139" spans="2:9" x14ac:dyDescent="0.25">
      <c r="G139" s="31"/>
      <c r="H139" s="33" t="s">
        <v>12</v>
      </c>
      <c r="I139" s="40">
        <f>+I137-I138</f>
        <v>42592.592592592591</v>
      </c>
    </row>
    <row r="140" spans="2:9" x14ac:dyDescent="0.25">
      <c r="G140" s="31"/>
      <c r="H140" s="33" t="s">
        <v>13</v>
      </c>
      <c r="I140" s="55">
        <f>+I136/I139</f>
        <v>0.40128260869549565</v>
      </c>
    </row>
    <row r="141" spans="2:9" x14ac:dyDescent="0.25">
      <c r="G141" s="31"/>
      <c r="H141" s="33" t="s">
        <v>14</v>
      </c>
      <c r="I141" s="56">
        <f>+I139-I136</f>
        <v>25500.925925932592</v>
      </c>
    </row>
    <row r="142" spans="2:9" x14ac:dyDescent="0.25">
      <c r="G142" s="31"/>
      <c r="H142" s="33" t="s">
        <v>15</v>
      </c>
      <c r="I142" s="57">
        <f>+I141/I136</f>
        <v>1.4920093179488565</v>
      </c>
    </row>
    <row r="144" spans="2:9" ht="15.6" x14ac:dyDescent="0.3">
      <c r="B144" s="50" t="s">
        <v>579</v>
      </c>
      <c r="C144" s="32"/>
      <c r="D144" s="32"/>
      <c r="E144" s="51"/>
      <c r="F144" s="51"/>
      <c r="G144" s="31"/>
      <c r="H144" s="293" t="s">
        <v>0</v>
      </c>
      <c r="I144" s="293"/>
    </row>
    <row r="145" spans="2:9" ht="15.6" x14ac:dyDescent="0.25">
      <c r="B145" s="41" t="s">
        <v>1</v>
      </c>
      <c r="C145" s="42" t="s">
        <v>2</v>
      </c>
      <c r="D145" s="42" t="s">
        <v>3</v>
      </c>
      <c r="E145" s="52" t="s">
        <v>4</v>
      </c>
      <c r="F145" s="52" t="s">
        <v>5</v>
      </c>
      <c r="G145" s="31"/>
      <c r="H145" s="33" t="s">
        <v>6</v>
      </c>
      <c r="I145" s="34">
        <f>SUM(Tabla11034534544554564791081351121722993063164246276207228336366[Total costo])</f>
        <v>201354</v>
      </c>
    </row>
    <row r="146" spans="2:9" x14ac:dyDescent="0.25">
      <c r="B146" s="35" t="s">
        <v>401</v>
      </c>
      <c r="C146" s="36" t="s">
        <v>349</v>
      </c>
      <c r="D146" s="37">
        <v>24</v>
      </c>
      <c r="E146" s="38">
        <f>+VLOOKUP(Tabla11034534544554564791081351121722993063164246276207228336366[[#This Row],[Ingrediente]],Tabla34[#All],3,0)</f>
        <v>8389.75</v>
      </c>
      <c r="F146" s="39">
        <f>+Tabla11034534544554564791081351121722993063164246276207228336366[[#This Row],[Costo]]*Tabla11034534544554564791081351121722993063164246276207228336366[[#This Row],[Cant.]]</f>
        <v>201354</v>
      </c>
      <c r="G146" s="31"/>
      <c r="H146" s="33" t="s">
        <v>113</v>
      </c>
      <c r="I146" s="40"/>
    </row>
    <row r="147" spans="2:9" ht="15.6" x14ac:dyDescent="0.25">
      <c r="B147" s="41"/>
      <c r="C147" s="42"/>
      <c r="D147" s="42"/>
      <c r="E147" s="43"/>
      <c r="F147" s="43">
        <f>SUBTOTAL(109,Tabla11034534544554564791081351121722993063164246276207228336366[Total costo])</f>
        <v>201354</v>
      </c>
      <c r="G147" s="31"/>
      <c r="H147" s="33" t="s">
        <v>9</v>
      </c>
      <c r="I147" s="40">
        <f>+I145+I146</f>
        <v>201354</v>
      </c>
    </row>
    <row r="148" spans="2:9" x14ac:dyDescent="0.25">
      <c r="G148" s="31"/>
      <c r="H148" s="53" t="s">
        <v>10</v>
      </c>
      <c r="I148" s="54">
        <v>490000</v>
      </c>
    </row>
    <row r="149" spans="2:9" x14ac:dyDescent="0.25">
      <c r="G149" s="31"/>
      <c r="H149" s="33" t="s">
        <v>11</v>
      </c>
      <c r="I149" s="40">
        <f>+I148/1.08*0.08</f>
        <v>36296.296296296292</v>
      </c>
    </row>
    <row r="150" spans="2:9" x14ac:dyDescent="0.25">
      <c r="G150" s="31"/>
      <c r="H150" s="33" t="s">
        <v>12</v>
      </c>
      <c r="I150" s="40">
        <f>+I148-I149</f>
        <v>453703.70370370371</v>
      </c>
    </row>
    <row r="151" spans="2:9" x14ac:dyDescent="0.25">
      <c r="G151" s="31"/>
      <c r="H151" s="33" t="s">
        <v>13</v>
      </c>
      <c r="I151" s="55">
        <f>+I147/I150</f>
        <v>0.44380065306122446</v>
      </c>
    </row>
    <row r="152" spans="2:9" x14ac:dyDescent="0.25">
      <c r="G152" s="31"/>
      <c r="H152" s="33" t="s">
        <v>14</v>
      </c>
      <c r="I152" s="56">
        <f>+I150-I147</f>
        <v>252349.70370370371</v>
      </c>
    </row>
    <row r="153" spans="2:9" x14ac:dyDescent="0.25">
      <c r="G153" s="31"/>
      <c r="H153" s="33" t="s">
        <v>15</v>
      </c>
      <c r="I153" s="57">
        <f>+I152/I147</f>
        <v>1.2532639217681483</v>
      </c>
    </row>
  </sheetData>
  <mergeCells count="12">
    <mergeCell ref="H6:I6"/>
    <mergeCell ref="H120:I120"/>
    <mergeCell ref="H133:I133"/>
    <mergeCell ref="H144:I144"/>
    <mergeCell ref="H17:I17"/>
    <mergeCell ref="H30:I30"/>
    <mergeCell ref="H42:I42"/>
    <mergeCell ref="H54:I54"/>
    <mergeCell ref="H68:I68"/>
    <mergeCell ref="H81:I81"/>
    <mergeCell ref="H94:I94"/>
    <mergeCell ref="H107:I107"/>
  </mergeCells>
  <conditionalFormatting sqref="I13">
    <cfRule type="cellIs" dxfId="415" priority="35" operator="lessThan">
      <formula>0.3</formula>
    </cfRule>
    <cfRule type="cellIs" dxfId="414" priority="36" operator="greaterThan">
      <formula>0.3</formula>
    </cfRule>
  </conditionalFormatting>
  <conditionalFormatting sqref="I24">
    <cfRule type="cellIs" dxfId="413" priority="21" operator="lessThan">
      <formula>0.3</formula>
    </cfRule>
    <cfRule type="cellIs" dxfId="412" priority="22" operator="greaterThan">
      <formula>0.3</formula>
    </cfRule>
  </conditionalFormatting>
  <conditionalFormatting sqref="I37">
    <cfRule type="cellIs" dxfId="411" priority="19" operator="lessThan">
      <formula>0.3</formula>
    </cfRule>
    <cfRule type="cellIs" dxfId="410" priority="20" operator="greaterThan">
      <formula>0.3</formula>
    </cfRule>
  </conditionalFormatting>
  <conditionalFormatting sqref="I49">
    <cfRule type="cellIs" dxfId="409" priority="17" operator="lessThan">
      <formula>0.3</formula>
    </cfRule>
    <cfRule type="cellIs" dxfId="408" priority="18" operator="greaterThan">
      <formula>0.3</formula>
    </cfRule>
  </conditionalFormatting>
  <conditionalFormatting sqref="I61">
    <cfRule type="cellIs" dxfId="407" priority="15" operator="lessThan">
      <formula>0.3</formula>
    </cfRule>
    <cfRule type="cellIs" dxfId="406" priority="16" operator="greaterThan">
      <formula>0.3</formula>
    </cfRule>
  </conditionalFormatting>
  <conditionalFormatting sqref="I75">
    <cfRule type="cellIs" dxfId="405" priority="13" operator="lessThan">
      <formula>0.3</formula>
    </cfRule>
    <cfRule type="cellIs" dxfId="404" priority="14" operator="greaterThan">
      <formula>0.3</formula>
    </cfRule>
  </conditionalFormatting>
  <conditionalFormatting sqref="I88">
    <cfRule type="cellIs" dxfId="403" priority="11" operator="lessThan">
      <formula>0.3</formula>
    </cfRule>
    <cfRule type="cellIs" dxfId="402" priority="12" operator="greaterThan">
      <formula>0.3</formula>
    </cfRule>
  </conditionalFormatting>
  <conditionalFormatting sqref="I101">
    <cfRule type="cellIs" dxfId="401" priority="9" operator="lessThan">
      <formula>0.3</formula>
    </cfRule>
    <cfRule type="cellIs" dxfId="400" priority="10" operator="greaterThan">
      <formula>0.3</formula>
    </cfRule>
  </conditionalFormatting>
  <conditionalFormatting sqref="I114">
    <cfRule type="cellIs" dxfId="399" priority="7" operator="lessThan">
      <formula>0.3</formula>
    </cfRule>
    <cfRule type="cellIs" dxfId="398" priority="8" operator="greaterThan">
      <formula>0.3</formula>
    </cfRule>
  </conditionalFormatting>
  <conditionalFormatting sqref="I127">
    <cfRule type="cellIs" dxfId="397" priority="5" operator="lessThan">
      <formula>0.3</formula>
    </cfRule>
    <cfRule type="cellIs" dxfId="396" priority="6" operator="greaterThan">
      <formula>0.3</formula>
    </cfRule>
  </conditionalFormatting>
  <conditionalFormatting sqref="I140">
    <cfRule type="cellIs" dxfId="395" priority="3" operator="lessThan">
      <formula>0.3</formula>
    </cfRule>
    <cfRule type="cellIs" dxfId="394" priority="4" operator="greaterThan">
      <formula>0.3</formula>
    </cfRule>
  </conditionalFormatting>
  <conditionalFormatting sqref="I151">
    <cfRule type="cellIs" dxfId="393" priority="1" operator="lessThan">
      <formula>0.3</formula>
    </cfRule>
    <cfRule type="cellIs" dxfId="392" priority="2" operator="greaterThan">
      <formula>0.3</formula>
    </cfRule>
  </conditionalFormatting>
  <pageMargins left="0.7" right="0.7" top="0.75" bottom="0.75" header="0.3" footer="0.3"/>
  <pageSetup orientation="portrait" horizontalDpi="360" verticalDpi="360" r:id="rId1"/>
  <drawing r:id="rId2"/>
  <tableParts count="12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CE72-D457-4605-A31D-F9FFFB757C1D}">
  <dimension ref="B6:K72"/>
  <sheetViews>
    <sheetView showGridLines="0" topLeftCell="A55" workbookViewId="0">
      <selection activeCell="B73" sqref="B73"/>
    </sheetView>
  </sheetViews>
  <sheetFormatPr baseColWidth="10" defaultRowHeight="14.4" x14ac:dyDescent="0.3"/>
  <cols>
    <col min="1" max="1" width="6.33203125" customWidth="1"/>
    <col min="2" max="2" width="40.109375" bestFit="1" customWidth="1"/>
    <col min="3" max="3" width="10.33203125" bestFit="1" customWidth="1"/>
    <col min="4" max="6" width="7.77734375" customWidth="1"/>
    <col min="7" max="8" width="10.77734375" customWidth="1"/>
    <col min="9" max="9" width="3.77734375" customWidth="1"/>
    <col min="10" max="10" width="26.109375" bestFit="1" customWidth="1"/>
  </cols>
  <sheetData>
    <row r="6" spans="2:11" x14ac:dyDescent="0.3">
      <c r="B6" s="16" t="s">
        <v>262</v>
      </c>
      <c r="C6" s="2"/>
      <c r="D6" s="2"/>
      <c r="E6" s="3"/>
      <c r="F6" s="3"/>
      <c r="G6" s="3"/>
      <c r="H6" s="3"/>
      <c r="I6" s="4"/>
      <c r="J6" s="277" t="s">
        <v>0</v>
      </c>
      <c r="K6" s="277"/>
    </row>
    <row r="7" spans="2:11" x14ac:dyDescent="0.3">
      <c r="B7" s="13" t="s">
        <v>1</v>
      </c>
      <c r="C7" s="14" t="s">
        <v>2</v>
      </c>
      <c r="D7" s="14" t="s">
        <v>343</v>
      </c>
      <c r="E7" s="14" t="s">
        <v>585</v>
      </c>
      <c r="F7" s="14" t="s">
        <v>3</v>
      </c>
      <c r="G7" s="28" t="s">
        <v>4</v>
      </c>
      <c r="H7" s="28" t="s">
        <v>5</v>
      </c>
      <c r="I7" s="4"/>
      <c r="J7" s="5" t="s">
        <v>6</v>
      </c>
      <c r="K7" s="6">
        <f>SUM(Tabla1103453454455456479108135112172299306[Total costo])</f>
        <v>6241.7676541999999</v>
      </c>
    </row>
    <row r="8" spans="2:11" x14ac:dyDescent="0.3">
      <c r="B8" s="7" t="s">
        <v>77</v>
      </c>
      <c r="C8" s="8" t="s">
        <v>188</v>
      </c>
      <c r="D8" s="9">
        <v>300</v>
      </c>
      <c r="E8" s="9">
        <v>0</v>
      </c>
      <c r="F8" s="9">
        <v>300</v>
      </c>
      <c r="G8" s="10">
        <f>+VLOOKUP(Tabla1103453454455456479108135112172299306[[#This Row],[Ingrediente]],Tabla34[#All],3,0)</f>
        <v>18.622814269999999</v>
      </c>
      <c r="H8" s="11">
        <f>+Tabla1103453454455456479108135112172299306[[#This Row],[Costo]]*Tabla1103453454455456479108135112172299306[[#This Row],[Cant.]]</f>
        <v>5586.8442809999997</v>
      </c>
      <c r="I8" s="4"/>
      <c r="J8" s="5" t="s">
        <v>113</v>
      </c>
      <c r="K8" s="12">
        <f>+K7*5%</f>
        <v>312.08838271000002</v>
      </c>
    </row>
    <row r="9" spans="2:11" x14ac:dyDescent="0.3">
      <c r="B9" s="21" t="s">
        <v>501</v>
      </c>
      <c r="C9" s="8" t="s">
        <v>188</v>
      </c>
      <c r="D9" s="9">
        <v>15</v>
      </c>
      <c r="E9" s="9">
        <v>0</v>
      </c>
      <c r="F9" s="9">
        <v>15</v>
      </c>
      <c r="G9" s="10">
        <f>+VLOOKUP(Tabla1103453454455456479108135112172299306[[#This Row],[Ingrediente]],Tabla34[#All],3,0)</f>
        <v>2.6</v>
      </c>
      <c r="H9" s="11">
        <f>+Tabla1103453454455456479108135112172299306[[#This Row],[Costo]]*Tabla1103453454455456479108135112172299306[[#This Row],[Cant.]]</f>
        <v>39</v>
      </c>
      <c r="I9" s="4"/>
      <c r="J9" s="5" t="s">
        <v>9</v>
      </c>
      <c r="K9" s="12">
        <f>+K7+K8</f>
        <v>6553.8560369099996</v>
      </c>
    </row>
    <row r="10" spans="2:11" x14ac:dyDescent="0.3">
      <c r="B10" s="7" t="s">
        <v>534</v>
      </c>
      <c r="C10" s="8" t="s">
        <v>188</v>
      </c>
      <c r="D10" s="9">
        <v>140</v>
      </c>
      <c r="E10" s="9">
        <v>0</v>
      </c>
      <c r="F10" s="9">
        <v>140</v>
      </c>
      <c r="G10" s="10">
        <f>+VLOOKUP(Tabla1103453454455456479108135112172299306[[#This Row],[Ingrediente]],Tabla34[#All],3,0)</f>
        <v>1</v>
      </c>
      <c r="H10" s="11">
        <f>+Tabla1103453454455456479108135112172299306[[#This Row],[Costo]]*Tabla1103453454455456479108135112172299306[[#This Row],[Cant.]]</f>
        <v>140</v>
      </c>
      <c r="I10" s="4"/>
      <c r="J10" s="17" t="s">
        <v>10</v>
      </c>
      <c r="K10" s="18">
        <v>19900</v>
      </c>
    </row>
    <row r="11" spans="2:11" x14ac:dyDescent="0.3">
      <c r="B11" s="7" t="s">
        <v>156</v>
      </c>
      <c r="C11" s="8" t="s">
        <v>188</v>
      </c>
      <c r="D11" s="9">
        <v>30</v>
      </c>
      <c r="E11" s="9">
        <v>0</v>
      </c>
      <c r="F11" s="9">
        <v>30</v>
      </c>
      <c r="G11" s="10">
        <f>+VLOOKUP(Tabla1103453454455456479108135112172299306[[#This Row],[Ingrediente]],Tabla34[#All],3,0)</f>
        <v>15.86411244</v>
      </c>
      <c r="H11" s="11">
        <f>+Tabla1103453454455456479108135112172299306[[#This Row],[Costo]]*Tabla1103453454455456479108135112172299306[[#This Row],[Cant.]]</f>
        <v>475.92337320000001</v>
      </c>
      <c r="I11" s="4"/>
      <c r="J11" s="5" t="s">
        <v>11</v>
      </c>
      <c r="K11" s="12">
        <f>+K10/1.08*0.08</f>
        <v>1474.0740740740739</v>
      </c>
    </row>
    <row r="12" spans="2:11" x14ac:dyDescent="0.3">
      <c r="B12" s="13"/>
      <c r="C12" s="14"/>
      <c r="D12" s="14"/>
      <c r="E12" s="14"/>
      <c r="F12" s="14"/>
      <c r="G12" s="15"/>
      <c r="H12" s="15">
        <f>SUBTOTAL(109,Tabla1103453454455456479108135112172299306[Total costo])</f>
        <v>6241.7676541999999</v>
      </c>
      <c r="I12" s="4"/>
      <c r="J12" s="5" t="s">
        <v>12</v>
      </c>
      <c r="K12" s="12">
        <f>+K10-K11</f>
        <v>18425.925925925927</v>
      </c>
    </row>
    <row r="13" spans="2:11" x14ac:dyDescent="0.3">
      <c r="I13" s="4"/>
      <c r="J13" s="5" t="s">
        <v>13</v>
      </c>
      <c r="K13" s="19">
        <f>+K9/K12</f>
        <v>0.35568665928958787</v>
      </c>
    </row>
    <row r="14" spans="2:11" x14ac:dyDescent="0.3">
      <c r="I14" s="4"/>
      <c r="J14" s="5" t="s">
        <v>14</v>
      </c>
      <c r="K14" s="20">
        <f>+K12-K9</f>
        <v>11872.069889015927</v>
      </c>
    </row>
    <row r="15" spans="2:11" x14ac:dyDescent="0.3">
      <c r="I15" s="4"/>
      <c r="J15" s="5" t="s">
        <v>15</v>
      </c>
      <c r="K15" s="22">
        <f>+K14/K9</f>
        <v>1.8114633312289463</v>
      </c>
    </row>
    <row r="16" spans="2:11" x14ac:dyDescent="0.3">
      <c r="G16" s="4"/>
      <c r="H16" s="4"/>
      <c r="I16" s="23"/>
    </row>
    <row r="17" spans="2:11" x14ac:dyDescent="0.3">
      <c r="B17" s="16" t="s">
        <v>859</v>
      </c>
      <c r="C17" s="2"/>
      <c r="D17" s="2"/>
      <c r="E17" s="3"/>
      <c r="F17" s="3"/>
      <c r="G17" s="3"/>
      <c r="H17" s="3"/>
      <c r="I17" s="4"/>
      <c r="J17" s="277" t="s">
        <v>0</v>
      </c>
      <c r="K17" s="277"/>
    </row>
    <row r="18" spans="2:11" x14ac:dyDescent="0.3">
      <c r="B18" s="13" t="s">
        <v>1</v>
      </c>
      <c r="C18" s="14" t="s">
        <v>2</v>
      </c>
      <c r="D18" s="14" t="s">
        <v>3</v>
      </c>
      <c r="E18" s="14" t="s">
        <v>343</v>
      </c>
      <c r="F18" s="14" t="s">
        <v>585</v>
      </c>
      <c r="G18" s="28" t="s">
        <v>4</v>
      </c>
      <c r="H18" s="28" t="s">
        <v>5</v>
      </c>
      <c r="I18" s="24"/>
      <c r="J18" s="5" t="s">
        <v>6</v>
      </c>
      <c r="K18" s="6">
        <f>SUM(Tabla1103453454455456479108129136156173300307[Total costo])</f>
        <v>5673.2709455000004</v>
      </c>
    </row>
    <row r="19" spans="2:11" x14ac:dyDescent="0.3">
      <c r="B19" s="7" t="s">
        <v>390</v>
      </c>
      <c r="C19" s="8" t="s">
        <v>570</v>
      </c>
      <c r="D19" s="214">
        <v>0.43</v>
      </c>
      <c r="E19" s="9">
        <v>0</v>
      </c>
      <c r="F19" s="9">
        <v>0.43</v>
      </c>
      <c r="G19" s="10">
        <f>+VLOOKUP(Tabla1103453454455456479108129136156173300307[[#This Row],[Ingrediente]],Tabla34[#All],3,0)</f>
        <v>5133.6666666700003</v>
      </c>
      <c r="H19" s="11">
        <f>+Tabla1103453454455456479108129136156173300307[[#This Row],[Costo]]*Tabla1103453454455456479108129136156173300307[[#This Row],[Columna2]]</f>
        <v>2207.4766666681003</v>
      </c>
      <c r="J19" s="5" t="s">
        <v>113</v>
      </c>
      <c r="K19" s="12">
        <f>+K18*5%</f>
        <v>283.66354727500004</v>
      </c>
    </row>
    <row r="20" spans="2:11" x14ac:dyDescent="0.3">
      <c r="B20" s="21" t="s">
        <v>385</v>
      </c>
      <c r="C20" s="8" t="s">
        <v>570</v>
      </c>
      <c r="D20" s="214">
        <v>0.43</v>
      </c>
      <c r="E20" s="9">
        <v>0</v>
      </c>
      <c r="F20" s="9">
        <v>0.43</v>
      </c>
      <c r="G20" s="10">
        <f>+VLOOKUP(Tabla1103453454455456479108129136156173300307[[#This Row],[Ingrediente]],Tabla34[#All],3,0)</f>
        <v>4986.0833333299997</v>
      </c>
      <c r="H20" s="11">
        <f>+Tabla1103453454455456479108129136156173300307[[#This Row],[Costo]]*Tabla1103453454455456479108129136156173300307[[#This Row],[Columna2]]</f>
        <v>2144.0158333319</v>
      </c>
      <c r="J20" s="5" t="s">
        <v>9</v>
      </c>
      <c r="K20" s="12">
        <f>+K18+K19</f>
        <v>5956.9344927750008</v>
      </c>
    </row>
    <row r="21" spans="2:11" x14ac:dyDescent="0.3">
      <c r="B21" s="7" t="s">
        <v>534</v>
      </c>
      <c r="C21" s="8" t="s">
        <v>188</v>
      </c>
      <c r="D21" s="9">
        <v>140</v>
      </c>
      <c r="E21" s="9">
        <v>0</v>
      </c>
      <c r="F21" s="9">
        <v>140</v>
      </c>
      <c r="G21" s="10">
        <f>+VLOOKUP(Tabla1103453454455456479108129136156173300307[[#This Row],[Ingrediente]],Tabla34[#All],3,0)</f>
        <v>1</v>
      </c>
      <c r="H21" s="11">
        <f>+Tabla1103453454455456479108129136156173300307[[#This Row],[Costo]]*Tabla1103453454455456479108129136156173300307[[#This Row],[Columna2]]</f>
        <v>140</v>
      </c>
      <c r="J21" s="17" t="s">
        <v>10</v>
      </c>
      <c r="K21" s="18">
        <v>19900</v>
      </c>
    </row>
    <row r="22" spans="2:11" x14ac:dyDescent="0.3">
      <c r="B22" s="21" t="s">
        <v>193</v>
      </c>
      <c r="C22" s="8" t="s">
        <v>188</v>
      </c>
      <c r="D22" s="9">
        <v>10</v>
      </c>
      <c r="E22" s="9">
        <v>0</v>
      </c>
      <c r="F22" s="9">
        <v>10</v>
      </c>
      <c r="G22" s="10">
        <f>+VLOOKUP(Tabla1103453454455456479108129136156173300307[[#This Row],[Ingrediente]],Tabla34[#All],3,0)</f>
        <v>65.25217395</v>
      </c>
      <c r="H22" s="11">
        <f>+Tabla1103453454455456479108129136156173300307[[#This Row],[Costo]]*Tabla1103453454455456479108129136156173300307[[#This Row],[Columna2]]</f>
        <v>652.52173949999997</v>
      </c>
      <c r="J22" s="5" t="s">
        <v>11</v>
      </c>
      <c r="K22" s="12">
        <f>+K21/1.08*0.08</f>
        <v>1474.0740740740739</v>
      </c>
    </row>
    <row r="23" spans="2:11" x14ac:dyDescent="0.3">
      <c r="B23" s="7" t="s">
        <v>553</v>
      </c>
      <c r="C23" s="8" t="s">
        <v>188</v>
      </c>
      <c r="D23" s="9">
        <v>1.9999999799999999</v>
      </c>
      <c r="E23" s="9">
        <v>40</v>
      </c>
      <c r="F23" s="9">
        <v>3.3333333000000001</v>
      </c>
      <c r="G23" s="10">
        <f>+VLOOKUP(Tabla1103453454455456479108129136156173300307[[#This Row],[Ingrediente]],Tabla34[#All],3,0)</f>
        <v>16</v>
      </c>
      <c r="H23" s="11">
        <f>+Tabla1103453454455456479108129136156173300307[[#This Row],[Costo]]*Tabla1103453454455456479108129136156173300307[[#This Row],[Columna2]]</f>
        <v>53.333332800000001</v>
      </c>
      <c r="J23" s="5" t="s">
        <v>12</v>
      </c>
      <c r="K23" s="12">
        <f>+K21-K22</f>
        <v>18425.925925925927</v>
      </c>
    </row>
    <row r="24" spans="2:11" x14ac:dyDescent="0.3">
      <c r="B24" s="21" t="s">
        <v>156</v>
      </c>
      <c r="C24" s="8" t="s">
        <v>188</v>
      </c>
      <c r="D24" s="9">
        <v>30</v>
      </c>
      <c r="E24" s="9">
        <v>0</v>
      </c>
      <c r="F24" s="9">
        <v>30</v>
      </c>
      <c r="G24" s="10">
        <f>+VLOOKUP(Tabla1103453454455456479108129136156173300307[[#This Row],[Ingrediente]],Tabla34[#All],3,0)</f>
        <v>15.86411244</v>
      </c>
      <c r="H24" s="11">
        <f>+Tabla1103453454455456479108129136156173300307[[#This Row],[Costo]]*Tabla1103453454455456479108129136156173300307[[#This Row],[Columna2]]</f>
        <v>475.92337320000001</v>
      </c>
      <c r="J24" s="5" t="s">
        <v>13</v>
      </c>
      <c r="K24" s="19">
        <f>+K20/K23</f>
        <v>0.32329091719582914</v>
      </c>
    </row>
    <row r="25" spans="2:11" x14ac:dyDescent="0.3">
      <c r="B25" s="13"/>
      <c r="C25" s="14"/>
      <c r="D25" s="14"/>
      <c r="E25" s="14"/>
      <c r="F25" s="14"/>
      <c r="G25" s="15"/>
      <c r="H25" s="15">
        <f>SUBTOTAL(109,Tabla1103453454455456479108129136156173300307[Total costo])</f>
        <v>5673.2709455000004</v>
      </c>
      <c r="I25" s="4"/>
      <c r="J25" s="5" t="s">
        <v>14</v>
      </c>
      <c r="K25" s="20">
        <f>+K23-K20</f>
        <v>12468.991433150926</v>
      </c>
    </row>
    <row r="26" spans="2:11" x14ac:dyDescent="0.3">
      <c r="I26" s="4"/>
      <c r="J26" s="5" t="s">
        <v>15</v>
      </c>
      <c r="K26" s="22">
        <f>+K25/K20</f>
        <v>2.0931892818821858</v>
      </c>
    </row>
    <row r="27" spans="2:11" x14ac:dyDescent="0.3">
      <c r="G27" s="4"/>
      <c r="H27" s="4"/>
      <c r="I27" s="23"/>
    </row>
    <row r="28" spans="2:11" x14ac:dyDescent="0.3">
      <c r="B28" s="1" t="s">
        <v>893</v>
      </c>
      <c r="C28" s="2"/>
      <c r="D28" s="2"/>
      <c r="E28" s="3"/>
      <c r="F28" s="3"/>
      <c r="G28" s="3"/>
      <c r="H28" s="3"/>
      <c r="I28" s="4"/>
      <c r="J28" s="277" t="s">
        <v>0</v>
      </c>
      <c r="K28" s="277"/>
    </row>
    <row r="29" spans="2:11" x14ac:dyDescent="0.3">
      <c r="B29" s="13" t="s">
        <v>1</v>
      </c>
      <c r="C29" s="14" t="s">
        <v>2</v>
      </c>
      <c r="D29" s="14" t="s">
        <v>3</v>
      </c>
      <c r="E29" s="14" t="s">
        <v>343</v>
      </c>
      <c r="F29" s="14" t="s">
        <v>585</v>
      </c>
      <c r="G29" s="28" t="s">
        <v>4</v>
      </c>
      <c r="H29" s="28" t="s">
        <v>5</v>
      </c>
      <c r="I29" s="4"/>
      <c r="J29" s="5" t="s">
        <v>6</v>
      </c>
      <c r="K29" s="6">
        <f>SUM(Tabla1103453454455456479108130137157174301308[Total costo])</f>
        <v>8013.9400399300002</v>
      </c>
    </row>
    <row r="30" spans="2:11" x14ac:dyDescent="0.3">
      <c r="B30" s="7" t="s">
        <v>383</v>
      </c>
      <c r="C30" s="8" t="s">
        <v>570</v>
      </c>
      <c r="D30" s="9">
        <v>1</v>
      </c>
      <c r="E30" s="9">
        <v>0</v>
      </c>
      <c r="F30" s="9">
        <v>1</v>
      </c>
      <c r="G30" s="10">
        <f>+VLOOKUP(Tabla1103453454455456479108130137157174301308[[#This Row],[Ingrediente]],Tabla34[#All],3,0)</f>
        <v>4986.0833333299997</v>
      </c>
      <c r="H30" s="11">
        <f>+Tabla1103453454455456479108130137157174301308[[#This Row],[Costo]]*Tabla1103453454455456479108130137157174301308[[#This Row],[Columna2]]</f>
        <v>4986.0833333299997</v>
      </c>
      <c r="I30" s="4"/>
      <c r="J30" s="5" t="s">
        <v>113</v>
      </c>
      <c r="K30" s="12">
        <f>+K29*5%</f>
        <v>400.69700199650003</v>
      </c>
    </row>
    <row r="31" spans="2:11" x14ac:dyDescent="0.3">
      <c r="B31" s="21" t="s">
        <v>58</v>
      </c>
      <c r="C31" s="8" t="s">
        <v>349</v>
      </c>
      <c r="D31" s="9">
        <v>1</v>
      </c>
      <c r="E31" s="9">
        <v>0</v>
      </c>
      <c r="F31" s="9">
        <v>1</v>
      </c>
      <c r="G31" s="10">
        <f>+VLOOKUP(Tabla1103453454455456479108130137157174301308[[#This Row],[Ingrediente]],Tabla34[#All],3,0)</f>
        <v>1594</v>
      </c>
      <c r="H31" s="11">
        <f>+Tabla1103453454455456479108130137157174301308[[#This Row],[Costo]]*Tabla1103453454455456479108130137157174301308[[#This Row],[Columna2]]</f>
        <v>1594</v>
      </c>
      <c r="I31" s="4"/>
      <c r="J31" s="5" t="s">
        <v>9</v>
      </c>
      <c r="K31" s="12">
        <f>+K29+K30</f>
        <v>8414.6370419265004</v>
      </c>
    </row>
    <row r="32" spans="2:11" x14ac:dyDescent="0.3">
      <c r="B32" s="21" t="s">
        <v>644</v>
      </c>
      <c r="C32" s="8" t="s">
        <v>188</v>
      </c>
      <c r="D32" s="9">
        <v>20</v>
      </c>
      <c r="E32" s="9">
        <v>0</v>
      </c>
      <c r="F32" s="9">
        <v>20</v>
      </c>
      <c r="G32" s="10">
        <f>+VLOOKUP(Tabla1103453454455456479108130137157174301308[[#This Row],[Ingrediente]],Tabla34[#All],3,0)</f>
        <v>47.896666670000002</v>
      </c>
      <c r="H32" s="11">
        <f>+Tabla1103453454455456479108130137157174301308[[#This Row],[Costo]]*Tabla1103453454455456479108130137157174301308[[#This Row],[Columna2]]</f>
        <v>957.93333340000004</v>
      </c>
      <c r="I32" s="4"/>
      <c r="J32" s="17" t="s">
        <v>10</v>
      </c>
      <c r="K32" s="18">
        <v>19900</v>
      </c>
    </row>
    <row r="33" spans="2:11" x14ac:dyDescent="0.3">
      <c r="B33" s="7" t="s">
        <v>156</v>
      </c>
      <c r="C33" s="8" t="s">
        <v>188</v>
      </c>
      <c r="D33" s="9">
        <v>30</v>
      </c>
      <c r="E33" s="9">
        <v>0</v>
      </c>
      <c r="F33" s="9">
        <v>30</v>
      </c>
      <c r="G33" s="10">
        <f>+VLOOKUP(Tabla1103453454455456479108130137157174301308[[#This Row],[Ingrediente]],Tabla34[#All],3,0)</f>
        <v>15.86411244</v>
      </c>
      <c r="H33" s="11">
        <f>+Tabla1103453454455456479108130137157174301308[[#This Row],[Costo]]*Tabla1103453454455456479108130137157174301308[[#This Row],[Columna2]]</f>
        <v>475.92337320000001</v>
      </c>
      <c r="I33" s="4"/>
      <c r="J33" s="5" t="s">
        <v>11</v>
      </c>
      <c r="K33" s="12">
        <f>+K32/1.08*0.08</f>
        <v>1474.0740740740739</v>
      </c>
    </row>
    <row r="34" spans="2:11" x14ac:dyDescent="0.3">
      <c r="B34" s="7" t="s">
        <v>244</v>
      </c>
      <c r="C34" s="8" t="s">
        <v>188</v>
      </c>
      <c r="D34" s="9">
        <v>1</v>
      </c>
      <c r="E34" s="9">
        <v>0</v>
      </c>
      <c r="F34" s="9">
        <v>1</v>
      </c>
      <c r="G34" s="10">
        <f>+VLOOKUP(Tabla1103453454455456479108130137157174301308[[#This Row],[Ingrediente]],Tabla34[#All],3,0)</f>
        <v>0</v>
      </c>
      <c r="H34" s="11">
        <f>+Tabla1103453454455456479108130137157174301308[[#This Row],[Costo]]*Tabla1103453454455456479108130137157174301308[[#This Row],[Columna2]]</f>
        <v>0</v>
      </c>
      <c r="I34" s="4"/>
      <c r="J34" s="5" t="s">
        <v>12</v>
      </c>
      <c r="K34" s="12">
        <f>+K32-K33</f>
        <v>18425.925925925927</v>
      </c>
    </row>
    <row r="35" spans="2:11" x14ac:dyDescent="0.3">
      <c r="B35" s="13"/>
      <c r="C35" s="14"/>
      <c r="D35" s="14"/>
      <c r="E35" s="14"/>
      <c r="F35" s="14"/>
      <c r="G35" s="15"/>
      <c r="H35" s="15">
        <f>SUBTOTAL(109,Tabla1103453454455456479108130137157174301308[Total costo])</f>
        <v>8013.9400399300002</v>
      </c>
      <c r="I35" s="4"/>
      <c r="J35" s="5" t="s">
        <v>13</v>
      </c>
      <c r="K35" s="19">
        <f>+K31/K34</f>
        <v>0.45667376910957891</v>
      </c>
    </row>
    <row r="36" spans="2:11" x14ac:dyDescent="0.3">
      <c r="I36" s="4"/>
      <c r="J36" s="5" t="s">
        <v>14</v>
      </c>
      <c r="K36" s="20">
        <f>+K34-K31</f>
        <v>10011.288883999427</v>
      </c>
    </row>
    <row r="37" spans="2:11" x14ac:dyDescent="0.3">
      <c r="I37" s="24"/>
      <c r="J37" s="5" t="s">
        <v>15</v>
      </c>
      <c r="K37" s="22">
        <f>+K36/K31</f>
        <v>1.189746965212819</v>
      </c>
    </row>
    <row r="39" spans="2:11" x14ac:dyDescent="0.3">
      <c r="B39" s="1" t="s">
        <v>222</v>
      </c>
      <c r="C39" s="2"/>
      <c r="D39" s="2"/>
      <c r="E39" s="3"/>
      <c r="F39" s="3"/>
      <c r="G39" s="3"/>
      <c r="H39" s="3"/>
      <c r="J39" s="277" t="s">
        <v>0</v>
      </c>
      <c r="K39" s="277"/>
    </row>
    <row r="40" spans="2:11" x14ac:dyDescent="0.3">
      <c r="B40" s="13" t="s">
        <v>1</v>
      </c>
      <c r="C40" s="14" t="s">
        <v>2</v>
      </c>
      <c r="D40" s="14" t="s">
        <v>3</v>
      </c>
      <c r="E40" s="14" t="s">
        <v>343</v>
      </c>
      <c r="F40" s="14" t="s">
        <v>585</v>
      </c>
      <c r="G40" s="28" t="s">
        <v>4</v>
      </c>
      <c r="H40" s="28" t="s">
        <v>5</v>
      </c>
      <c r="J40" s="5" t="s">
        <v>6</v>
      </c>
      <c r="K40" s="6">
        <f>SUM(Tabla1103453454455456479108132139167187303244[Total costo])</f>
        <v>3548.2462936700003</v>
      </c>
    </row>
    <row r="41" spans="2:11" x14ac:dyDescent="0.3">
      <c r="B41" s="7" t="s">
        <v>410</v>
      </c>
      <c r="C41" s="8" t="s">
        <v>570</v>
      </c>
      <c r="D41" s="9">
        <v>1</v>
      </c>
      <c r="E41" s="9">
        <v>0</v>
      </c>
      <c r="F41" s="9">
        <v>1</v>
      </c>
      <c r="G41" s="10">
        <f>+VLOOKUP(Tabla1103453454455456479108132139167187303244[[#This Row],[Ingrediente]],Tabla34[#All],3,0)</f>
        <v>1497.5916666700002</v>
      </c>
      <c r="H41" s="11">
        <f>+Tabla1103453454455456479108132139167187303244[[#This Row],[Costo]]*Tabla1103453454455456479108132139167187303244[[#This Row],[Columna2]]</f>
        <v>1497.5916666700002</v>
      </c>
      <c r="J41" s="5" t="s">
        <v>113</v>
      </c>
      <c r="K41" s="12">
        <f>+K40*5%</f>
        <v>177.41231468350003</v>
      </c>
    </row>
    <row r="42" spans="2:11" x14ac:dyDescent="0.3">
      <c r="B42" s="21" t="s">
        <v>181</v>
      </c>
      <c r="C42" s="8" t="s">
        <v>188</v>
      </c>
      <c r="D42" s="9">
        <v>50</v>
      </c>
      <c r="E42" s="9">
        <v>0</v>
      </c>
      <c r="F42" s="9">
        <v>50</v>
      </c>
      <c r="G42" s="10">
        <f>+VLOOKUP(Tabla1103453454455456479108132139167187303244[[#This Row],[Ingrediente]],Tabla34[#All],3,0)</f>
        <v>3.0946256399999998</v>
      </c>
      <c r="H42" s="11">
        <f>+Tabla1103453454455456479108132139167187303244[[#This Row],[Costo]]*Tabla1103453454455456479108132139167187303244[[#This Row],[Columna2]]</f>
        <v>154.73128199999999</v>
      </c>
      <c r="J42" s="5" t="s">
        <v>9</v>
      </c>
      <c r="K42" s="12">
        <f>+K40+K41</f>
        <v>3725.6586083535003</v>
      </c>
    </row>
    <row r="43" spans="2:11" x14ac:dyDescent="0.3">
      <c r="B43" s="7" t="s">
        <v>608</v>
      </c>
      <c r="C43" s="8" t="s">
        <v>188</v>
      </c>
      <c r="D43" s="9">
        <v>19.999999450000001</v>
      </c>
      <c r="E43" s="9">
        <v>5</v>
      </c>
      <c r="F43" s="9">
        <v>21.052631000000002</v>
      </c>
      <c r="G43" s="10">
        <f>+VLOOKUP(Tabla1103453454455456479108132139167187303244[[#This Row],[Ingrediente]],Tabla34[#All],3,0)</f>
        <v>45</v>
      </c>
      <c r="H43" s="11">
        <f>+Tabla1103453454455456479108132139167187303244[[#This Row],[Costo]]*Tabla1103453454455456479108132139167187303244[[#This Row],[Columna2]]</f>
        <v>947.36839500000008</v>
      </c>
      <c r="I43" s="4"/>
      <c r="J43" s="17" t="s">
        <v>10</v>
      </c>
      <c r="K43" s="18">
        <v>14200</v>
      </c>
    </row>
    <row r="44" spans="2:11" x14ac:dyDescent="0.3">
      <c r="B44" s="21" t="s">
        <v>489</v>
      </c>
      <c r="C44" s="8" t="s">
        <v>188</v>
      </c>
      <c r="D44" s="9">
        <v>14.9999994</v>
      </c>
      <c r="E44" s="9">
        <v>10</v>
      </c>
      <c r="F44" s="9">
        <v>16.666665999999999</v>
      </c>
      <c r="G44" s="10">
        <f>+VLOOKUP(Tabla1103453454455456479108132139167187303244[[#This Row],[Ingrediente]],Tabla34[#All],3,0)</f>
        <v>10.800000000000002</v>
      </c>
      <c r="H44" s="11">
        <f>+Tabla1103453454455456479108132139167187303244[[#This Row],[Costo]]*Tabla1103453454455456479108132139167187303244[[#This Row],[Columna2]]</f>
        <v>179.99999280000003</v>
      </c>
      <c r="I44" s="4"/>
      <c r="J44" s="5" t="s">
        <v>11</v>
      </c>
      <c r="K44" s="12">
        <f>+K43/1.08*0.08</f>
        <v>1051.8518518518517</v>
      </c>
    </row>
    <row r="45" spans="2:11" x14ac:dyDescent="0.3">
      <c r="B45" s="7" t="s">
        <v>553</v>
      </c>
      <c r="C45" s="8" t="s">
        <v>188</v>
      </c>
      <c r="D45" s="9">
        <v>1.5</v>
      </c>
      <c r="E45" s="9">
        <v>40</v>
      </c>
      <c r="F45" s="9">
        <v>2.5</v>
      </c>
      <c r="G45" s="10">
        <f>+VLOOKUP(Tabla1103453454455456479108132139167187303244[[#This Row],[Ingrediente]],Tabla34[#All],3,0)</f>
        <v>16</v>
      </c>
      <c r="H45" s="11">
        <f>+Tabla1103453454455456479108132139167187303244[[#This Row],[Costo]]*Tabla1103453454455456479108132139167187303244[[#This Row],[Columna2]]</f>
        <v>40</v>
      </c>
      <c r="I45" s="4"/>
      <c r="J45" s="5" t="s">
        <v>12</v>
      </c>
      <c r="K45" s="12">
        <f>+K43-K44</f>
        <v>13148.148148148148</v>
      </c>
    </row>
    <row r="46" spans="2:11" x14ac:dyDescent="0.3">
      <c r="B46" s="21" t="s">
        <v>487</v>
      </c>
      <c r="C46" s="8" t="s">
        <v>188</v>
      </c>
      <c r="D46" s="9">
        <v>15.0000003</v>
      </c>
      <c r="E46" s="9">
        <v>5</v>
      </c>
      <c r="F46" s="9">
        <v>15.789474</v>
      </c>
      <c r="G46" s="10">
        <f>+VLOOKUP(Tabla1103453454455456479108132139167187303244[[#This Row],[Ingrediente]],Tabla34[#All],3,0)</f>
        <v>16</v>
      </c>
      <c r="H46" s="11">
        <f>+Tabla1103453454455456479108132139167187303244[[#This Row],[Costo]]*Tabla1103453454455456479108132139167187303244[[#This Row],[Columna2]]</f>
        <v>252.631584</v>
      </c>
      <c r="I46" s="4"/>
      <c r="J46" s="5" t="s">
        <v>13</v>
      </c>
      <c r="K46" s="19">
        <f>+K42/K45</f>
        <v>0.28335995049449159</v>
      </c>
    </row>
    <row r="47" spans="2:11" x14ac:dyDescent="0.3">
      <c r="B47" s="7" t="s">
        <v>156</v>
      </c>
      <c r="C47" s="8" t="s">
        <v>188</v>
      </c>
      <c r="D47" s="9">
        <v>30</v>
      </c>
      <c r="E47" s="9">
        <v>0</v>
      </c>
      <c r="F47" s="9">
        <v>30</v>
      </c>
      <c r="G47" s="10">
        <f>+VLOOKUP(Tabla1103453454455456479108132139167187303244[[#This Row],[Ingrediente]],Tabla34[#All],3,0)</f>
        <v>15.86411244</v>
      </c>
      <c r="H47" s="11">
        <f>+Tabla1103453454455456479108132139167187303244[[#This Row],[Costo]]*Tabla1103453454455456479108132139167187303244[[#This Row],[Columna2]]</f>
        <v>475.92337320000001</v>
      </c>
      <c r="I47" s="4"/>
      <c r="J47" s="5" t="s">
        <v>14</v>
      </c>
      <c r="K47" s="20">
        <f>+K45-K42</f>
        <v>9422.4895397946475</v>
      </c>
    </row>
    <row r="48" spans="2:11" x14ac:dyDescent="0.3">
      <c r="B48" s="13"/>
      <c r="C48" s="14"/>
      <c r="D48" s="14"/>
      <c r="E48" s="14"/>
      <c r="F48" s="14"/>
      <c r="G48" s="15"/>
      <c r="H48" s="15">
        <f>SUBTOTAL(109,Tabla1103453454455456479108132139167187303244[Total costo])</f>
        <v>3548.2462936700003</v>
      </c>
      <c r="I48" s="4"/>
      <c r="J48" s="5" t="s">
        <v>15</v>
      </c>
      <c r="K48" s="22">
        <f>+K47/K42</f>
        <v>2.5290802325977948</v>
      </c>
    </row>
    <row r="52" spans="2:11" x14ac:dyDescent="0.3">
      <c r="B52" s="1" t="s">
        <v>264</v>
      </c>
      <c r="C52" s="2"/>
      <c r="D52" s="2"/>
      <c r="E52" s="3"/>
      <c r="F52" s="3"/>
      <c r="G52" s="3"/>
      <c r="H52" s="3"/>
      <c r="J52" s="277" t="s">
        <v>0</v>
      </c>
      <c r="K52" s="277"/>
    </row>
    <row r="53" spans="2:11" x14ac:dyDescent="0.3">
      <c r="B53" s="13" t="s">
        <v>1</v>
      </c>
      <c r="C53" s="14" t="s">
        <v>2</v>
      </c>
      <c r="D53" s="14" t="s">
        <v>3</v>
      </c>
      <c r="E53" s="14" t="s">
        <v>343</v>
      </c>
      <c r="F53" s="14" t="s">
        <v>585</v>
      </c>
      <c r="G53" s="28" t="s">
        <v>4</v>
      </c>
      <c r="H53" s="28" t="s">
        <v>5</v>
      </c>
      <c r="J53" s="5" t="s">
        <v>6</v>
      </c>
      <c r="K53" s="6">
        <f>SUM(Tabla1103453454455456479108132139167187303245[Total costo])</f>
        <v>2380.02270137</v>
      </c>
    </row>
    <row r="54" spans="2:11" x14ac:dyDescent="0.3">
      <c r="B54" s="7" t="s">
        <v>410</v>
      </c>
      <c r="C54" s="8" t="s">
        <v>570</v>
      </c>
      <c r="D54" s="9">
        <v>1</v>
      </c>
      <c r="E54" s="9">
        <v>0</v>
      </c>
      <c r="F54" s="9">
        <v>1</v>
      </c>
      <c r="G54" s="10">
        <f>+VLOOKUP(Tabla1103453454455456479108132139167187303245[[#This Row],[Ingrediente]],Tabla34[#All],3,0)</f>
        <v>1497.5916666700002</v>
      </c>
      <c r="H54" s="11">
        <f>+Tabla1103453454455456479108132139167187303245[[#This Row],[Costo]]*Tabla1103453454455456479108132139167187303245[[#This Row],[Columna2]]</f>
        <v>1497.5916666700002</v>
      </c>
      <c r="J54" s="5" t="s">
        <v>113</v>
      </c>
      <c r="K54" s="12">
        <f>+K53*5%</f>
        <v>119.00113506850001</v>
      </c>
    </row>
    <row r="55" spans="2:11" x14ac:dyDescent="0.3">
      <c r="B55" s="21" t="s">
        <v>90</v>
      </c>
      <c r="C55" s="8" t="s">
        <v>188</v>
      </c>
      <c r="D55" s="9">
        <v>50</v>
      </c>
      <c r="E55" s="9">
        <v>0</v>
      </c>
      <c r="F55" s="9">
        <v>50</v>
      </c>
      <c r="G55" s="10">
        <f>+VLOOKUP(Tabla1103453454455456479108132139167187303245[[#This Row],[Ingrediente]],Tabla34[#All],3,0)</f>
        <v>1.8699025499999999</v>
      </c>
      <c r="H55" s="11">
        <f>+Tabla1103453454455456479108132139167187303245[[#This Row],[Costo]]*Tabla1103453454455456479108132139167187303245[[#This Row],[Columna2]]</f>
        <v>93.495127499999995</v>
      </c>
      <c r="J55" s="5" t="s">
        <v>9</v>
      </c>
      <c r="K55" s="12">
        <f>+K53+K54</f>
        <v>2499.0238364385</v>
      </c>
    </row>
    <row r="56" spans="2:11" x14ac:dyDescent="0.3">
      <c r="B56" s="7" t="s">
        <v>472</v>
      </c>
      <c r="C56" s="8" t="s">
        <v>188</v>
      </c>
      <c r="D56" s="9">
        <v>19.999999599999999</v>
      </c>
      <c r="E56" s="9">
        <v>30</v>
      </c>
      <c r="F56" s="9">
        <v>28.571428000000001</v>
      </c>
      <c r="G56" s="10">
        <f>+VLOOKUP(Tabla1103453454455456479108132139167187303245[[#This Row],[Ingrediente]],Tabla34[#All],3,0)</f>
        <v>3</v>
      </c>
      <c r="H56" s="11">
        <f>+Tabla1103453454455456479108132139167187303245[[#This Row],[Costo]]*Tabla1103453454455456479108132139167187303245[[#This Row],[Columna2]]</f>
        <v>85.714284000000006</v>
      </c>
      <c r="I56" s="4"/>
      <c r="J56" s="17" t="s">
        <v>10</v>
      </c>
      <c r="K56" s="18">
        <v>19900</v>
      </c>
    </row>
    <row r="57" spans="2:11" x14ac:dyDescent="0.3">
      <c r="B57" s="21" t="s">
        <v>493</v>
      </c>
      <c r="C57" s="8" t="s">
        <v>188</v>
      </c>
      <c r="D57" s="9">
        <v>15.0000003</v>
      </c>
      <c r="E57" s="9">
        <v>5</v>
      </c>
      <c r="F57" s="9">
        <v>15.789474</v>
      </c>
      <c r="G57" s="10">
        <f>+VLOOKUP(Tabla1103453454455456479108132139167187303245[[#This Row],[Ingrediente]],Tabla34[#All],3,0)</f>
        <v>12.199999999999998</v>
      </c>
      <c r="H57" s="11">
        <f>+Tabla1103453454455456479108132139167187303245[[#This Row],[Costo]]*Tabla1103453454455456479108132139167187303245[[#This Row],[Columna2]]</f>
        <v>192.63158279999996</v>
      </c>
      <c r="I57" s="4"/>
      <c r="J57" s="5" t="s">
        <v>11</v>
      </c>
      <c r="K57" s="12">
        <f>+K56/1.08*0.08</f>
        <v>1474.0740740740739</v>
      </c>
    </row>
    <row r="58" spans="2:11" x14ac:dyDescent="0.3">
      <c r="B58" s="7" t="s">
        <v>553</v>
      </c>
      <c r="C58" s="8" t="s">
        <v>188</v>
      </c>
      <c r="D58" s="9">
        <v>1.3000000199999999</v>
      </c>
      <c r="E58" s="9">
        <v>40</v>
      </c>
      <c r="F58" s="9">
        <v>2.1666666999999999</v>
      </c>
      <c r="G58" s="10">
        <f>+VLOOKUP(Tabla1103453454455456479108132139167187303245[[#This Row],[Ingrediente]],Tabla34[#All],3,0)</f>
        <v>16</v>
      </c>
      <c r="H58" s="11">
        <f>+Tabla1103453454455456479108132139167187303245[[#This Row],[Costo]]*Tabla1103453454455456479108132139167187303245[[#This Row],[Columna2]]</f>
        <v>34.666667199999999</v>
      </c>
      <c r="I58" s="4"/>
      <c r="J58" s="5" t="s">
        <v>12</v>
      </c>
      <c r="K58" s="12">
        <f>+K56-K57</f>
        <v>18425.925925925927</v>
      </c>
    </row>
    <row r="59" spans="2:11" x14ac:dyDescent="0.3">
      <c r="B59" s="21" t="s">
        <v>156</v>
      </c>
      <c r="C59" s="8" t="s">
        <v>188</v>
      </c>
      <c r="D59" s="9">
        <v>30</v>
      </c>
      <c r="E59" s="9">
        <v>0</v>
      </c>
      <c r="F59" s="9">
        <v>30</v>
      </c>
      <c r="G59" s="10">
        <f>+VLOOKUP(Tabla1103453454455456479108132139167187303245[[#This Row],[Ingrediente]],Tabla34[#All],3,0)</f>
        <v>15.86411244</v>
      </c>
      <c r="H59" s="11">
        <f>+Tabla1103453454455456479108132139167187303245[[#This Row],[Costo]]*Tabla1103453454455456479108132139167187303245[[#This Row],[Columna2]]</f>
        <v>475.92337320000001</v>
      </c>
      <c r="I59" s="4"/>
      <c r="J59" s="5" t="s">
        <v>13</v>
      </c>
      <c r="K59" s="19">
        <f>+K55/K58</f>
        <v>0.13562541423887337</v>
      </c>
    </row>
    <row r="60" spans="2:11" x14ac:dyDescent="0.3">
      <c r="B60" s="13"/>
      <c r="C60" s="14"/>
      <c r="D60" s="14"/>
      <c r="E60" s="14"/>
      <c r="F60" s="14"/>
      <c r="G60" s="15"/>
      <c r="H60" s="15">
        <f>SUBTOTAL(109,Tabla1103453454455456479108132139167187303245[Total costo])</f>
        <v>2380.02270137</v>
      </c>
      <c r="I60" s="4"/>
      <c r="J60" s="5" t="s">
        <v>14</v>
      </c>
      <c r="K60" s="20">
        <f>+K58-K55</f>
        <v>15926.902089487427</v>
      </c>
    </row>
    <row r="61" spans="2:11" x14ac:dyDescent="0.3">
      <c r="I61" s="4"/>
      <c r="J61" s="5" t="s">
        <v>15</v>
      </c>
      <c r="K61" s="22">
        <f>+K60/K55</f>
        <v>6.3732493693160421</v>
      </c>
    </row>
    <row r="62" spans="2:11" x14ac:dyDescent="0.3">
      <c r="G62" s="4"/>
    </row>
    <row r="63" spans="2:11" x14ac:dyDescent="0.3">
      <c r="B63" s="1" t="s">
        <v>34</v>
      </c>
      <c r="C63" s="2"/>
      <c r="D63" s="2"/>
      <c r="E63" s="3"/>
      <c r="F63" s="3"/>
      <c r="G63" s="3"/>
      <c r="H63" s="3"/>
      <c r="I63" s="4"/>
      <c r="J63" s="277" t="s">
        <v>0</v>
      </c>
      <c r="K63" s="277"/>
    </row>
    <row r="64" spans="2:11" x14ac:dyDescent="0.3">
      <c r="B64" s="13" t="s">
        <v>1</v>
      </c>
      <c r="C64" s="14" t="s">
        <v>2</v>
      </c>
      <c r="D64" s="14" t="s">
        <v>3</v>
      </c>
      <c r="E64" s="14" t="s">
        <v>343</v>
      </c>
      <c r="F64" s="14" t="s">
        <v>585</v>
      </c>
      <c r="G64" s="28" t="s">
        <v>4</v>
      </c>
      <c r="H64" s="28" t="s">
        <v>5</v>
      </c>
      <c r="I64" s="4"/>
      <c r="J64" s="5" t="s">
        <v>6</v>
      </c>
      <c r="K64" s="6">
        <f>SUM(Tabla1103453454455456479108130137157174301308323324332402[Total costo])</f>
        <v>3579.5153163699997</v>
      </c>
    </row>
    <row r="65" spans="2:11" x14ac:dyDescent="0.3">
      <c r="B65" s="7" t="s">
        <v>410</v>
      </c>
      <c r="C65" s="8" t="s">
        <v>570</v>
      </c>
      <c r="D65" s="9">
        <v>1</v>
      </c>
      <c r="E65" s="9">
        <v>0</v>
      </c>
      <c r="F65" s="9">
        <v>1</v>
      </c>
      <c r="G65" s="10">
        <f>+VLOOKUP(Tabla1103453454455456479108130137157174301308323324332402[[#This Row],[Ingrediente]],Tabla34[#All],3,0)</f>
        <v>1497.5916666700002</v>
      </c>
      <c r="H65" s="11">
        <f>+Tabla1103453454455456479108130137157174301308323324332402[[#This Row],[Costo]]*Tabla1103453454455456479108130137157174301308323324332402[[#This Row],[Columna2]]</f>
        <v>1497.5916666700002</v>
      </c>
      <c r="I65" s="4"/>
      <c r="J65" s="5" t="s">
        <v>113</v>
      </c>
      <c r="K65" s="12">
        <f>+K64*5%</f>
        <v>178.97576581850001</v>
      </c>
    </row>
    <row r="66" spans="2:11" x14ac:dyDescent="0.3">
      <c r="B66" s="21" t="s">
        <v>90</v>
      </c>
      <c r="C66" s="8" t="s">
        <v>188</v>
      </c>
      <c r="D66" s="9">
        <v>30</v>
      </c>
      <c r="E66" s="9">
        <v>0</v>
      </c>
      <c r="F66" s="9">
        <v>30</v>
      </c>
      <c r="G66" s="10">
        <f>+VLOOKUP(Tabla1103453454455456479108130137157174301308323324332402[[#This Row],[Ingrediente]],Tabla34[#All],3,0)</f>
        <v>1.8699025499999999</v>
      </c>
      <c r="H66" s="11">
        <f>+Tabla1103453454455456479108130137157174301308323324332402[[#This Row],[Costo]]*Tabla1103453454455456479108130137157174301308323324332402[[#This Row],[Columna2]]</f>
        <v>56.0970765</v>
      </c>
      <c r="I66" s="4"/>
      <c r="J66" s="5" t="s">
        <v>9</v>
      </c>
      <c r="K66" s="12">
        <f>+K64+K65</f>
        <v>3758.4910821884996</v>
      </c>
    </row>
    <row r="67" spans="2:11" x14ac:dyDescent="0.3">
      <c r="B67" s="7" t="s">
        <v>1119</v>
      </c>
      <c r="C67" s="8" t="s">
        <v>188</v>
      </c>
      <c r="D67" s="9">
        <v>60</v>
      </c>
      <c r="E67" s="9">
        <v>60</v>
      </c>
      <c r="F67" s="9">
        <v>150</v>
      </c>
      <c r="G67" s="10">
        <f>+VLOOKUP(Tabla1103453454455456479108130137157174301308323324332402[[#This Row],[Ingrediente]],Tabla34[#All],3,0)</f>
        <v>5.5</v>
      </c>
      <c r="H67" s="11">
        <f>+Tabla1103453454455456479108130137157174301308323324332402[[#This Row],[Costo]]*Tabla1103453454455456479108130137157174301308323324332402[[#This Row],[Columna2]]</f>
        <v>825</v>
      </c>
      <c r="I67" s="4"/>
      <c r="J67" s="17" t="s">
        <v>10</v>
      </c>
      <c r="K67" s="18">
        <v>16900</v>
      </c>
    </row>
    <row r="68" spans="2:11" x14ac:dyDescent="0.3">
      <c r="B68" s="21" t="s">
        <v>156</v>
      </c>
      <c r="C68" s="8" t="s">
        <v>188</v>
      </c>
      <c r="D68" s="9">
        <v>30</v>
      </c>
      <c r="E68" s="9">
        <v>0</v>
      </c>
      <c r="F68" s="9">
        <v>30</v>
      </c>
      <c r="G68" s="10">
        <f>+VLOOKUP(Tabla1103453454455456479108130137157174301308323324332402[[#This Row],[Ingrediente]],Tabla34[#All],3,0)</f>
        <v>15.86411244</v>
      </c>
      <c r="H68" s="11">
        <f>+Tabla1103453454455456479108130137157174301308323324332402[[#This Row],[Costo]]*Tabla1103453454455456479108130137157174301308323324332402[[#This Row],[Columna2]]</f>
        <v>475.92337320000001</v>
      </c>
      <c r="I68" s="4"/>
      <c r="J68" s="5" t="s">
        <v>11</v>
      </c>
      <c r="K68" s="12">
        <f>+K67/1.08*0.08</f>
        <v>1251.851851851852</v>
      </c>
    </row>
    <row r="69" spans="2:11" x14ac:dyDescent="0.3">
      <c r="B69" s="21" t="s">
        <v>155</v>
      </c>
      <c r="C69" s="8" t="s">
        <v>188</v>
      </c>
      <c r="D69" s="9">
        <v>60</v>
      </c>
      <c r="E69" s="9">
        <v>0</v>
      </c>
      <c r="F69" s="9">
        <v>60</v>
      </c>
      <c r="G69" s="10">
        <f>+VLOOKUP(Tabla1103453454455456479108130137157174301308323324332402[[#This Row],[Ingrediente]],Tabla34[#All],3,0)</f>
        <v>12.081719999999999</v>
      </c>
      <c r="H69" s="11">
        <f>+Tabla1103453454455456479108130137157174301308323324332402[[#This Row],[Costo]]*Tabla1103453454455456479108130137157174301308323324332402[[#This Row],[Columna2]]</f>
        <v>724.90319999999997</v>
      </c>
      <c r="I69" s="24"/>
      <c r="J69" s="5" t="s">
        <v>12</v>
      </c>
      <c r="K69" s="12">
        <f>+K67-K68</f>
        <v>15648.148148148148</v>
      </c>
    </row>
    <row r="70" spans="2:11" x14ac:dyDescent="0.3">
      <c r="B70" s="13"/>
      <c r="C70" s="14"/>
      <c r="D70" s="14"/>
      <c r="E70" s="14"/>
      <c r="F70" s="14"/>
      <c r="G70" s="15"/>
      <c r="H70" s="15">
        <f>SUBTOTAL(109,Tabla1103453454455456479108130137157174301308323324332402[Total costo])</f>
        <v>3579.5153163699997</v>
      </c>
      <c r="I70" s="24"/>
      <c r="J70" s="5" t="s">
        <v>13</v>
      </c>
      <c r="K70" s="19">
        <f>+K66/K69</f>
        <v>0.24018759578482721</v>
      </c>
    </row>
    <row r="71" spans="2:11" x14ac:dyDescent="0.3">
      <c r="I71" s="24"/>
      <c r="J71" s="5" t="s">
        <v>14</v>
      </c>
      <c r="K71" s="20">
        <f>+K69-K66</f>
        <v>11889.657065959647</v>
      </c>
    </row>
    <row r="72" spans="2:11" x14ac:dyDescent="0.3">
      <c r="I72" s="24"/>
      <c r="J72" s="5" t="s">
        <v>15</v>
      </c>
      <c r="K72" s="22">
        <f>+K71/K66</f>
        <v>3.1634123391444953</v>
      </c>
    </row>
  </sheetData>
  <mergeCells count="6">
    <mergeCell ref="J63:K63"/>
    <mergeCell ref="J39:K39"/>
    <mergeCell ref="J52:K52"/>
    <mergeCell ref="J6:K6"/>
    <mergeCell ref="J17:K17"/>
    <mergeCell ref="J28:K28"/>
  </mergeCells>
  <phoneticPr fontId="20" type="noConversion"/>
  <conditionalFormatting sqref="K13">
    <cfRule type="cellIs" dxfId="391" priority="37" operator="lessThan">
      <formula>0.3</formula>
    </cfRule>
    <cfRule type="cellIs" dxfId="390" priority="38" operator="greaterThan">
      <formula>0.3</formula>
    </cfRule>
  </conditionalFormatting>
  <conditionalFormatting sqref="K24">
    <cfRule type="cellIs" dxfId="389" priority="35" operator="lessThan">
      <formula>0.3</formula>
    </cfRule>
    <cfRule type="cellIs" dxfId="388" priority="36" operator="greaterThan">
      <formula>0.3</formula>
    </cfRule>
  </conditionalFormatting>
  <conditionalFormatting sqref="K35">
    <cfRule type="cellIs" dxfId="387" priority="33" operator="lessThan">
      <formula>0.3</formula>
    </cfRule>
    <cfRule type="cellIs" dxfId="386" priority="34" operator="greaterThan">
      <formula>0.3</formula>
    </cfRule>
  </conditionalFormatting>
  <conditionalFormatting sqref="K46">
    <cfRule type="cellIs" dxfId="385" priority="5" operator="lessThan">
      <formula>0.3</formula>
    </cfRule>
    <cfRule type="cellIs" dxfId="384" priority="6" operator="greaterThan">
      <formula>0.3</formula>
    </cfRule>
  </conditionalFormatting>
  <conditionalFormatting sqref="K59">
    <cfRule type="cellIs" dxfId="383" priority="3" operator="lessThan">
      <formula>0.3</formula>
    </cfRule>
    <cfRule type="cellIs" dxfId="382" priority="4" operator="greaterThan">
      <formula>0.3</formula>
    </cfRule>
  </conditionalFormatting>
  <conditionalFormatting sqref="K70">
    <cfRule type="cellIs" dxfId="381" priority="1" operator="lessThan">
      <formula>0.3</formula>
    </cfRule>
    <cfRule type="cellIs" dxfId="380" priority="2" operator="greaterThan">
      <formula>0.3</formula>
    </cfRule>
  </conditionalFormatting>
  <pageMargins left="0.7" right="0.7" top="0.75" bottom="0.75" header="0.3" footer="0.3"/>
  <pageSetup orientation="portrait" horizontalDpi="360" verticalDpi="360" r:id="rId1"/>
  <drawing r:id="rId2"/>
  <tableParts count="6">
    <tablePart r:id="rId3"/>
    <tablePart r:id="rId4"/>
    <tablePart r:id="rId5"/>
    <tablePart r:id="rId6"/>
    <tablePart r:id="rId7"/>
    <tablePart r:id="rId8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FD452-6C9B-4E1F-9A44-F3F01437010E}">
  <dimension ref="B4:I59"/>
  <sheetViews>
    <sheetView showGridLines="0" topLeftCell="A35" workbookViewId="0">
      <selection activeCell="I55" sqref="I55"/>
    </sheetView>
  </sheetViews>
  <sheetFormatPr baseColWidth="10" defaultRowHeight="14.4" x14ac:dyDescent="0.3"/>
  <cols>
    <col min="1" max="1" width="1.6640625" customWidth="1"/>
    <col min="2" max="2" width="23.5546875" bestFit="1" customWidth="1"/>
    <col min="8" max="8" width="26.109375" bestFit="1" customWidth="1"/>
  </cols>
  <sheetData>
    <row r="4" spans="2:9" x14ac:dyDescent="0.3">
      <c r="B4" s="1" t="s">
        <v>576</v>
      </c>
      <c r="C4" s="2"/>
      <c r="D4" s="2"/>
      <c r="E4" s="3"/>
      <c r="F4" s="3"/>
      <c r="G4" s="4"/>
      <c r="H4" s="277" t="s">
        <v>0</v>
      </c>
      <c r="I4" s="277"/>
    </row>
    <row r="5" spans="2:9" x14ac:dyDescent="0.3">
      <c r="B5" s="13" t="s">
        <v>1</v>
      </c>
      <c r="C5" s="14" t="s">
        <v>2</v>
      </c>
      <c r="D5" s="14" t="s">
        <v>3</v>
      </c>
      <c r="E5" s="28" t="s">
        <v>4</v>
      </c>
      <c r="F5" s="28" t="s">
        <v>5</v>
      </c>
      <c r="G5" s="4"/>
      <c r="H5" s="5" t="s">
        <v>6</v>
      </c>
      <c r="I5" s="6">
        <f>SUM(Tabla1103453454455456479108135149219303[Total costo])</f>
        <v>8780</v>
      </c>
    </row>
    <row r="6" spans="2:9" x14ac:dyDescent="0.3">
      <c r="B6" s="7" t="s">
        <v>191</v>
      </c>
      <c r="C6" s="8" t="s">
        <v>574</v>
      </c>
      <c r="D6" s="9">
        <v>2</v>
      </c>
      <c r="E6" s="10">
        <f>+VLOOKUP(Tabla1103453454455456479108135149219303[[#This Row],[Ingrediente]],Tabla34[#All],3,0)</f>
        <v>4390</v>
      </c>
      <c r="F6" s="11">
        <f>+Tabla1103453454455456479108135149219303[[#This Row],[Costo]]*Tabla1103453454455456479108135149219303[[#This Row],[Cant.]]</f>
        <v>8780</v>
      </c>
      <c r="G6" s="4"/>
      <c r="H6" s="5" t="s">
        <v>113</v>
      </c>
      <c r="I6" s="12">
        <f>+I5*5%</f>
        <v>439</v>
      </c>
    </row>
    <row r="7" spans="2:9" x14ac:dyDescent="0.3">
      <c r="B7" s="13"/>
      <c r="C7" s="14"/>
      <c r="D7" s="14"/>
      <c r="E7" s="15"/>
      <c r="F7" s="15">
        <f>SUBTOTAL(109,Tabla1103453454455456479108135149219303[Total costo])</f>
        <v>8780</v>
      </c>
      <c r="G7" s="4"/>
      <c r="H7" s="5" t="s">
        <v>9</v>
      </c>
      <c r="I7" s="12">
        <f>+I5+I6</f>
        <v>9219</v>
      </c>
    </row>
    <row r="8" spans="2:9" x14ac:dyDescent="0.3">
      <c r="G8" s="4"/>
      <c r="H8" s="17" t="s">
        <v>10</v>
      </c>
      <c r="I8" s="18">
        <v>25000</v>
      </c>
    </row>
    <row r="9" spans="2:9" x14ac:dyDescent="0.3">
      <c r="G9" s="4"/>
      <c r="H9" s="5" t="s">
        <v>11</v>
      </c>
      <c r="I9" s="12">
        <f>+I8/1.08*0.08</f>
        <v>1851.8518518518517</v>
      </c>
    </row>
    <row r="10" spans="2:9" x14ac:dyDescent="0.3">
      <c r="G10" s="4"/>
      <c r="H10" s="5" t="s">
        <v>12</v>
      </c>
      <c r="I10" s="12">
        <f>+I8-I9</f>
        <v>23148.14814814815</v>
      </c>
    </row>
    <row r="11" spans="2:9" x14ac:dyDescent="0.3">
      <c r="G11" s="4"/>
      <c r="H11" s="5" t="s">
        <v>13</v>
      </c>
      <c r="I11" s="19">
        <f>+I7/I10</f>
        <v>0.39826079999999997</v>
      </c>
    </row>
    <row r="12" spans="2:9" x14ac:dyDescent="0.3">
      <c r="G12" s="4"/>
      <c r="H12" s="5" t="s">
        <v>14</v>
      </c>
      <c r="I12" s="20">
        <f>+I10-I7</f>
        <v>13929.14814814815</v>
      </c>
    </row>
    <row r="13" spans="2:9" x14ac:dyDescent="0.3">
      <c r="G13" s="4"/>
      <c r="H13" s="5" t="s">
        <v>15</v>
      </c>
      <c r="I13" s="22">
        <f>+I12/I7</f>
        <v>1.51091746915589</v>
      </c>
    </row>
    <row r="20" spans="2:9" x14ac:dyDescent="0.3">
      <c r="B20" s="1" t="s">
        <v>577</v>
      </c>
      <c r="C20" s="2"/>
      <c r="D20" s="2"/>
      <c r="E20" s="3"/>
      <c r="F20" s="3"/>
      <c r="G20" s="4"/>
      <c r="H20" s="277" t="s">
        <v>0</v>
      </c>
      <c r="I20" s="277"/>
    </row>
    <row r="21" spans="2:9" x14ac:dyDescent="0.3">
      <c r="B21" s="13" t="s">
        <v>1</v>
      </c>
      <c r="C21" s="14" t="s">
        <v>2</v>
      </c>
      <c r="D21" s="14" t="s">
        <v>3</v>
      </c>
      <c r="E21" s="28" t="s">
        <v>4</v>
      </c>
      <c r="F21" s="28" t="s">
        <v>5</v>
      </c>
      <c r="G21" s="4"/>
      <c r="H21" s="5" t="s">
        <v>6</v>
      </c>
      <c r="I21" s="6">
        <f>SUM(Tabla1103453454455456479108135149219303326[Total costo])</f>
        <v>6180.9090908999997</v>
      </c>
    </row>
    <row r="22" spans="2:9" x14ac:dyDescent="0.3">
      <c r="B22" s="7" t="s">
        <v>432</v>
      </c>
      <c r="C22" s="8" t="s">
        <v>574</v>
      </c>
      <c r="D22" s="9">
        <v>2</v>
      </c>
      <c r="E22" s="10">
        <f>+VLOOKUP(Tabla1103453454455456479108135149219303326[[#This Row],[Ingrediente]],Tabla34[#All],3,0)</f>
        <v>3090.4545454499998</v>
      </c>
      <c r="F22" s="11">
        <f>+Tabla1103453454455456479108135149219303326[[#This Row],[Costo]]*Tabla1103453454455456479108135149219303326[[#This Row],[Cant.]]</f>
        <v>6180.9090908999997</v>
      </c>
      <c r="G22" s="4"/>
      <c r="H22" s="5" t="s">
        <v>113</v>
      </c>
      <c r="I22" s="12">
        <f>+I21*5%</f>
        <v>309.04545454499998</v>
      </c>
    </row>
    <row r="23" spans="2:9" x14ac:dyDescent="0.3">
      <c r="B23" s="13"/>
      <c r="C23" s="14"/>
      <c r="D23" s="14"/>
      <c r="E23" s="15"/>
      <c r="F23" s="15">
        <f>SUBTOTAL(109,Tabla1103453454455456479108135149219303326[Total costo])</f>
        <v>6180.9090908999997</v>
      </c>
      <c r="G23" s="4"/>
      <c r="H23" s="5" t="s">
        <v>9</v>
      </c>
      <c r="I23" s="12">
        <f>+I21+I22</f>
        <v>6489.9545454449999</v>
      </c>
    </row>
    <row r="24" spans="2:9" x14ac:dyDescent="0.3">
      <c r="G24" s="4"/>
      <c r="H24" s="17" t="s">
        <v>10</v>
      </c>
      <c r="I24" s="18">
        <v>25000</v>
      </c>
    </row>
    <row r="25" spans="2:9" x14ac:dyDescent="0.3">
      <c r="G25" s="4"/>
      <c r="H25" s="5" t="s">
        <v>11</v>
      </c>
      <c r="I25" s="12">
        <f>+I24/1.08*0.08</f>
        <v>1851.8518518518517</v>
      </c>
    </row>
    <row r="26" spans="2:9" x14ac:dyDescent="0.3">
      <c r="G26" s="4"/>
      <c r="H26" s="5" t="s">
        <v>12</v>
      </c>
      <c r="I26" s="12">
        <f>+I24-I25</f>
        <v>23148.14814814815</v>
      </c>
    </row>
    <row r="27" spans="2:9" x14ac:dyDescent="0.3">
      <c r="G27" s="4"/>
      <c r="H27" s="5" t="s">
        <v>13</v>
      </c>
      <c r="I27" s="19">
        <f>+I23/I26</f>
        <v>0.28036603636322399</v>
      </c>
    </row>
    <row r="28" spans="2:9" x14ac:dyDescent="0.3">
      <c r="G28" s="4"/>
      <c r="H28" s="5" t="s">
        <v>14</v>
      </c>
      <c r="I28" s="20">
        <f>+I26-I23</f>
        <v>16658.193602703148</v>
      </c>
    </row>
    <row r="29" spans="2:9" x14ac:dyDescent="0.3">
      <c r="G29" s="4"/>
      <c r="H29" s="5" t="s">
        <v>15</v>
      </c>
      <c r="I29" s="22">
        <f>+I28/I23</f>
        <v>2.5667658357322036</v>
      </c>
    </row>
    <row r="36" spans="2:9" x14ac:dyDescent="0.3">
      <c r="B36" s="1" t="s">
        <v>578</v>
      </c>
      <c r="C36" s="2"/>
      <c r="D36" s="2"/>
      <c r="E36" s="3"/>
      <c r="F36" s="3"/>
      <c r="G36" s="4"/>
      <c r="H36" s="277" t="s">
        <v>0</v>
      </c>
      <c r="I36" s="277"/>
    </row>
    <row r="37" spans="2:9" x14ac:dyDescent="0.3">
      <c r="B37" s="13" t="s">
        <v>1</v>
      </c>
      <c r="C37" s="14" t="s">
        <v>2</v>
      </c>
      <c r="D37" s="14" t="s">
        <v>3</v>
      </c>
      <c r="E37" s="28" t="s">
        <v>4</v>
      </c>
      <c r="F37" s="28" t="s">
        <v>5</v>
      </c>
      <c r="G37" s="4"/>
      <c r="H37" s="5" t="s">
        <v>6</v>
      </c>
      <c r="I37" s="6">
        <f>SUM(Tabla1103453454455456479108135149219303409[Total costo])</f>
        <v>13008.318181820001</v>
      </c>
    </row>
    <row r="38" spans="2:9" x14ac:dyDescent="0.3">
      <c r="B38" s="7" t="s">
        <v>1120</v>
      </c>
      <c r="C38" s="8" t="s">
        <v>574</v>
      </c>
      <c r="D38" s="9">
        <v>2</v>
      </c>
      <c r="E38" s="10">
        <f>+VLOOKUP(Tabla1103453454455456479108135149219303409[[#This Row],[Ingrediente]],Tabla34[#All],3,0)</f>
        <v>6504.1590909100005</v>
      </c>
      <c r="F38" s="11">
        <f>+Tabla1103453454455456479108135149219303409[[#This Row],[Costo]]*Tabla1103453454455456479108135149219303409[[#This Row],[Cant.]]</f>
        <v>13008.318181820001</v>
      </c>
      <c r="G38" s="4"/>
      <c r="H38" s="5" t="s">
        <v>113</v>
      </c>
      <c r="I38" s="12">
        <f>+I37*5%</f>
        <v>650.41590909100012</v>
      </c>
    </row>
    <row r="39" spans="2:9" x14ac:dyDescent="0.3">
      <c r="B39" s="13"/>
      <c r="C39" s="14"/>
      <c r="D39" s="14"/>
      <c r="E39" s="15"/>
      <c r="F39" s="15">
        <f>SUBTOTAL(109,Tabla1103453454455456479108135149219303409[Total costo])</f>
        <v>13008.318181820001</v>
      </c>
      <c r="G39" s="4"/>
      <c r="H39" s="5" t="s">
        <v>9</v>
      </c>
      <c r="I39" s="12">
        <f>+I37+I38</f>
        <v>13658.734090911001</v>
      </c>
    </row>
    <row r="40" spans="2:9" x14ac:dyDescent="0.3">
      <c r="G40" s="4"/>
      <c r="H40" s="17" t="s">
        <v>10</v>
      </c>
      <c r="I40" s="18">
        <v>37000</v>
      </c>
    </row>
    <row r="41" spans="2:9" x14ac:dyDescent="0.3">
      <c r="G41" s="4"/>
      <c r="H41" s="5" t="s">
        <v>11</v>
      </c>
      <c r="I41" s="12">
        <f>+I40/1.08*0.08</f>
        <v>2740.7407407407404</v>
      </c>
    </row>
    <row r="42" spans="2:9" x14ac:dyDescent="0.3">
      <c r="G42" s="4"/>
      <c r="H42" s="5" t="s">
        <v>12</v>
      </c>
      <c r="I42" s="12">
        <f>+I40-I41</f>
        <v>34259.259259259263</v>
      </c>
    </row>
    <row r="43" spans="2:9" x14ac:dyDescent="0.3">
      <c r="G43" s="4"/>
      <c r="H43" s="5" t="s">
        <v>13</v>
      </c>
      <c r="I43" s="19">
        <f>+I39/I42</f>
        <v>0.39868737346442917</v>
      </c>
    </row>
    <row r="44" spans="2:9" x14ac:dyDescent="0.3">
      <c r="G44" s="4"/>
      <c r="H44" s="5" t="s">
        <v>14</v>
      </c>
      <c r="I44" s="20">
        <f>+I42-I39</f>
        <v>20600.525168348264</v>
      </c>
    </row>
    <row r="45" spans="2:9" x14ac:dyDescent="0.3">
      <c r="G45" s="4"/>
      <c r="H45" s="5" t="s">
        <v>15</v>
      </c>
      <c r="I45" s="22">
        <f>+I44/I39</f>
        <v>1.5082309261776004</v>
      </c>
    </row>
    <row r="50" spans="2:9" x14ac:dyDescent="0.3">
      <c r="B50" s="1" t="s">
        <v>575</v>
      </c>
      <c r="C50" s="2"/>
      <c r="D50" s="2"/>
      <c r="E50" s="3"/>
      <c r="F50" s="3"/>
      <c r="G50" s="4"/>
      <c r="H50" s="277" t="s">
        <v>0</v>
      </c>
      <c r="I50" s="277"/>
    </row>
    <row r="51" spans="2:9" x14ac:dyDescent="0.3">
      <c r="B51" s="13" t="s">
        <v>1</v>
      </c>
      <c r="C51" s="14" t="s">
        <v>2</v>
      </c>
      <c r="D51" s="14" t="s">
        <v>3</v>
      </c>
      <c r="E51" s="28" t="s">
        <v>4</v>
      </c>
      <c r="F51" s="28" t="s">
        <v>5</v>
      </c>
      <c r="G51" s="4"/>
      <c r="H51" s="5" t="s">
        <v>6</v>
      </c>
      <c r="I51" s="6">
        <f>SUM(Tabla1103453454455456479108135149219303418[Total costo])</f>
        <v>4866.6363636400001</v>
      </c>
    </row>
    <row r="52" spans="2:9" x14ac:dyDescent="0.3">
      <c r="B52" s="7" t="s">
        <v>1149</v>
      </c>
      <c r="C52" s="8" t="s">
        <v>574</v>
      </c>
      <c r="D52" s="9">
        <v>2</v>
      </c>
      <c r="E52" s="10">
        <f>+VLOOKUP(Tabla1103453454455456479108135149219303418[[#This Row],[Ingrediente]],Tabla34[#All],3,0)</f>
        <v>2433.3181818200001</v>
      </c>
      <c r="F52" s="11">
        <f>+Tabla1103453454455456479108135149219303418[[#This Row],[Costo]]*Tabla1103453454455456479108135149219303418[[#This Row],[Cant.]]</f>
        <v>4866.6363636400001</v>
      </c>
      <c r="G52" s="4"/>
      <c r="H52" s="5" t="s">
        <v>113</v>
      </c>
      <c r="I52" s="12">
        <f>+I51*5%</f>
        <v>243.33181818200001</v>
      </c>
    </row>
    <row r="53" spans="2:9" x14ac:dyDescent="0.3">
      <c r="B53" s="13"/>
      <c r="C53" s="14"/>
      <c r="D53" s="14"/>
      <c r="E53" s="15"/>
      <c r="F53" s="15">
        <f>SUBTOTAL(109,Tabla1103453454455456479108135149219303418[Total costo])</f>
        <v>4866.6363636400001</v>
      </c>
      <c r="G53" s="4"/>
      <c r="H53" s="5" t="s">
        <v>9</v>
      </c>
      <c r="I53" s="12">
        <f>+I51+I52</f>
        <v>5109.9681818219997</v>
      </c>
    </row>
    <row r="54" spans="2:9" x14ac:dyDescent="0.3">
      <c r="G54" s="4"/>
      <c r="H54" s="17" t="s">
        <v>10</v>
      </c>
      <c r="I54" s="18">
        <v>15000</v>
      </c>
    </row>
    <row r="55" spans="2:9" x14ac:dyDescent="0.3">
      <c r="G55" s="4"/>
      <c r="H55" s="5" t="s">
        <v>11</v>
      </c>
      <c r="I55" s="12">
        <f>+I54/1.08*0.08</f>
        <v>1111.1111111111111</v>
      </c>
    </row>
    <row r="56" spans="2:9" x14ac:dyDescent="0.3">
      <c r="G56" s="4"/>
      <c r="H56" s="5" t="s">
        <v>12</v>
      </c>
      <c r="I56" s="12">
        <f>+I54-I55</f>
        <v>13888.888888888889</v>
      </c>
    </row>
    <row r="57" spans="2:9" x14ac:dyDescent="0.3">
      <c r="G57" s="4"/>
      <c r="H57" s="5" t="s">
        <v>13</v>
      </c>
      <c r="I57" s="19">
        <f>+I53/I56</f>
        <v>0.36791770909118399</v>
      </c>
    </row>
    <row r="58" spans="2:9" x14ac:dyDescent="0.3">
      <c r="G58" s="4"/>
      <c r="H58" s="5" t="s">
        <v>14</v>
      </c>
      <c r="I58" s="20">
        <f>+I56-I53</f>
        <v>8778.920707066889</v>
      </c>
    </row>
    <row r="59" spans="2:9" x14ac:dyDescent="0.3">
      <c r="G59" s="4"/>
      <c r="H59" s="5" t="s">
        <v>15</v>
      </c>
      <c r="I59" s="22">
        <f>+I58/I53</f>
        <v>1.7179990940641621</v>
      </c>
    </row>
  </sheetData>
  <mergeCells count="4">
    <mergeCell ref="H4:I4"/>
    <mergeCell ref="H20:I20"/>
    <mergeCell ref="H36:I36"/>
    <mergeCell ref="H50:I50"/>
  </mergeCells>
  <conditionalFormatting sqref="I11">
    <cfRule type="cellIs" dxfId="379" priority="25" operator="lessThan">
      <formula>0.3</formula>
    </cfRule>
    <cfRule type="cellIs" dxfId="378" priority="26" operator="greaterThan">
      <formula>0.3</formula>
    </cfRule>
  </conditionalFormatting>
  <conditionalFormatting sqref="I27">
    <cfRule type="cellIs" dxfId="377" priority="23" operator="lessThan">
      <formula>0.3</formula>
    </cfRule>
    <cfRule type="cellIs" dxfId="376" priority="24" operator="greaterThan">
      <formula>0.3</formula>
    </cfRule>
  </conditionalFormatting>
  <conditionalFormatting sqref="I43">
    <cfRule type="cellIs" dxfId="375" priority="15" operator="lessThan">
      <formula>0.3</formula>
    </cfRule>
    <cfRule type="cellIs" dxfId="374" priority="16" operator="greaterThan">
      <formula>0.3</formula>
    </cfRule>
  </conditionalFormatting>
  <conditionalFormatting sqref="I57">
    <cfRule type="cellIs" dxfId="373" priority="9" operator="lessThan">
      <formula>0.3</formula>
    </cfRule>
    <cfRule type="cellIs" dxfId="372" priority="10" operator="greaterThan">
      <formula>0.3</formula>
    </cfRule>
  </conditionalFormatting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BA194-D291-401D-9FCC-C3753DCBA44D}">
  <dimension ref="A6:H101"/>
  <sheetViews>
    <sheetView showGridLines="0" topLeftCell="A7" workbookViewId="0">
      <selection activeCell="C21" sqref="C21"/>
    </sheetView>
  </sheetViews>
  <sheetFormatPr baseColWidth="10" defaultRowHeight="14.4" x14ac:dyDescent="0.3"/>
  <cols>
    <col min="1" max="1" width="29.109375" bestFit="1" customWidth="1"/>
    <col min="2" max="2" width="9" bestFit="1" customWidth="1"/>
    <col min="6" max="6" width="4" customWidth="1"/>
    <col min="7" max="7" width="26.5546875" bestFit="1" customWidth="1"/>
  </cols>
  <sheetData>
    <row r="6" spans="1:8" x14ac:dyDescent="0.3">
      <c r="A6" s="1" t="s">
        <v>322</v>
      </c>
      <c r="B6" s="2"/>
      <c r="C6" s="2"/>
      <c r="D6" s="3"/>
      <c r="E6" s="3"/>
      <c r="F6" s="4"/>
      <c r="G6" s="277" t="s">
        <v>0</v>
      </c>
      <c r="H6" s="277"/>
    </row>
    <row r="7" spans="1:8" x14ac:dyDescent="0.3">
      <c r="A7" s="13" t="s">
        <v>1</v>
      </c>
      <c r="B7" s="14" t="s">
        <v>2</v>
      </c>
      <c r="C7" s="14" t="s">
        <v>3</v>
      </c>
      <c r="D7" s="28" t="s">
        <v>4</v>
      </c>
      <c r="E7" s="28" t="s">
        <v>5</v>
      </c>
      <c r="F7" s="4"/>
      <c r="G7" s="5" t="s">
        <v>6</v>
      </c>
      <c r="H7" s="6">
        <f>SUM(Tabla1103453454455456479108135149219379380381[Total costo])</f>
        <v>132580.99999991999</v>
      </c>
    </row>
    <row r="8" spans="1:8" x14ac:dyDescent="0.3">
      <c r="A8" s="7" t="s">
        <v>158</v>
      </c>
      <c r="B8" s="8" t="s">
        <v>349</v>
      </c>
      <c r="C8" s="9">
        <v>24</v>
      </c>
      <c r="D8" s="10">
        <f>+VLOOKUP(Tabla1103453454455456479108135149219379380381[[#This Row],[Ingrediente]],Tabla34[#All],3,0)</f>
        <v>5524.2083333299997</v>
      </c>
      <c r="E8" s="11">
        <f>+Tabla1103453454455456479108135149219379380381[[#This Row],[Costo]]*Tabla1103453454455456479108135149219379380381[[#This Row],[Cant.]]</f>
        <v>132580.99999991999</v>
      </c>
      <c r="F8" s="4"/>
      <c r="G8" s="5" t="s">
        <v>113</v>
      </c>
      <c r="H8" s="12"/>
    </row>
    <row r="9" spans="1:8" x14ac:dyDescent="0.3">
      <c r="A9" s="13"/>
      <c r="B9" s="14"/>
      <c r="C9" s="14"/>
      <c r="D9" s="15"/>
      <c r="E9" s="15">
        <f>SUBTOTAL(109,Tabla1103453454455456479108135149219379380381[Total costo])</f>
        <v>132580.99999991999</v>
      </c>
      <c r="F9" s="4"/>
      <c r="G9" s="5" t="s">
        <v>9</v>
      </c>
      <c r="H9" s="12">
        <f>+H7+H8</f>
        <v>132580.99999991999</v>
      </c>
    </row>
    <row r="10" spans="1:8" x14ac:dyDescent="0.3">
      <c r="F10" s="4"/>
      <c r="G10" s="17" t="s">
        <v>10</v>
      </c>
      <c r="H10" s="18">
        <v>337000</v>
      </c>
    </row>
    <row r="11" spans="1:8" x14ac:dyDescent="0.3">
      <c r="F11" s="4"/>
      <c r="G11" s="5" t="s">
        <v>11</v>
      </c>
      <c r="H11" s="12">
        <f>+H10/1.08*0.08</f>
        <v>24962.962962962964</v>
      </c>
    </row>
    <row r="12" spans="1:8" x14ac:dyDescent="0.3">
      <c r="F12" s="4"/>
      <c r="G12" s="5" t="s">
        <v>12</v>
      </c>
      <c r="H12" s="12">
        <f>+H10-H11</f>
        <v>312037.03703703702</v>
      </c>
    </row>
    <row r="13" spans="1:8" x14ac:dyDescent="0.3">
      <c r="F13" s="4"/>
      <c r="G13" s="5" t="s">
        <v>13</v>
      </c>
      <c r="H13" s="19">
        <f>+H9/H12</f>
        <v>0.42488866468817094</v>
      </c>
    </row>
    <row r="14" spans="1:8" x14ac:dyDescent="0.3">
      <c r="F14" s="4"/>
      <c r="G14" s="5" t="s">
        <v>14</v>
      </c>
      <c r="H14" s="20">
        <f>+H12-H9</f>
        <v>179456.03703711703</v>
      </c>
    </row>
    <row r="15" spans="1:8" x14ac:dyDescent="0.3">
      <c r="F15" s="4"/>
      <c r="G15" s="5" t="s">
        <v>15</v>
      </c>
      <c r="H15" s="22">
        <f>+H14/H9</f>
        <v>1.3535577272552275</v>
      </c>
    </row>
    <row r="18" spans="1:8" x14ac:dyDescent="0.3">
      <c r="A18" s="1" t="s">
        <v>323</v>
      </c>
      <c r="B18" s="2"/>
      <c r="C18" s="2"/>
      <c r="D18" s="3"/>
      <c r="E18" s="3"/>
      <c r="F18" s="4"/>
      <c r="G18" s="277" t="s">
        <v>0</v>
      </c>
      <c r="H18" s="277"/>
    </row>
    <row r="19" spans="1:8" x14ac:dyDescent="0.3">
      <c r="A19" s="13" t="s">
        <v>1</v>
      </c>
      <c r="B19" s="14" t="s">
        <v>2</v>
      </c>
      <c r="C19" s="14" t="s">
        <v>3</v>
      </c>
      <c r="D19" s="28" t="s">
        <v>4</v>
      </c>
      <c r="E19" s="28" t="s">
        <v>5</v>
      </c>
      <c r="F19" s="4"/>
      <c r="G19" s="5" t="s">
        <v>6</v>
      </c>
      <c r="H19" s="6">
        <f>SUM(Tabla1103453454455456479108135149219379380381395[Total costo])</f>
        <v>73584</v>
      </c>
    </row>
    <row r="20" spans="1:8" x14ac:dyDescent="0.3">
      <c r="A20" s="7" t="s">
        <v>192</v>
      </c>
      <c r="B20" s="8" t="s">
        <v>349</v>
      </c>
      <c r="C20" s="9">
        <v>24</v>
      </c>
      <c r="D20" s="10">
        <f>+VLOOKUP(Tabla1103453454455456479108135149219379380381395[[#This Row],[Ingrediente]],Tabla34[#All],3,0)</f>
        <v>3066</v>
      </c>
      <c r="E20" s="11">
        <f>+Tabla1103453454455456479108135149219379380381395[[#This Row],[Costo]]*Tabla1103453454455456479108135149219379380381395[[#This Row],[Cant.]]</f>
        <v>73584</v>
      </c>
      <c r="F20" s="4"/>
      <c r="G20" s="5" t="s">
        <v>113</v>
      </c>
      <c r="H20" s="12"/>
    </row>
    <row r="21" spans="1:8" x14ac:dyDescent="0.3">
      <c r="A21" s="13"/>
      <c r="B21" s="14"/>
      <c r="C21" s="14"/>
      <c r="D21" s="15"/>
      <c r="E21" s="15">
        <f>SUBTOTAL(109,Tabla1103453454455456479108135149219379380381395[Total costo])</f>
        <v>73584</v>
      </c>
      <c r="F21" s="4"/>
      <c r="G21" s="5" t="s">
        <v>9</v>
      </c>
      <c r="H21" s="12">
        <f>+H19+H20</f>
        <v>73584</v>
      </c>
    </row>
    <row r="22" spans="1:8" x14ac:dyDescent="0.3">
      <c r="F22" s="4"/>
      <c r="G22" s="17" t="s">
        <v>10</v>
      </c>
      <c r="H22" s="18">
        <v>209000</v>
      </c>
    </row>
    <row r="23" spans="1:8" x14ac:dyDescent="0.3">
      <c r="F23" s="4"/>
      <c r="G23" s="5" t="s">
        <v>11</v>
      </c>
      <c r="H23" s="12">
        <f>+H22/1.08*0.08</f>
        <v>15481.481481481482</v>
      </c>
    </row>
    <row r="24" spans="1:8" x14ac:dyDescent="0.3">
      <c r="F24" s="4"/>
      <c r="G24" s="5" t="s">
        <v>12</v>
      </c>
      <c r="H24" s="12">
        <f>+H22-H23</f>
        <v>193518.51851851851</v>
      </c>
    </row>
    <row r="25" spans="1:8" x14ac:dyDescent="0.3">
      <c r="F25" s="4"/>
      <c r="G25" s="5" t="s">
        <v>13</v>
      </c>
      <c r="H25" s="19">
        <f>+H21/H24</f>
        <v>0.38024267942583734</v>
      </c>
    </row>
    <row r="26" spans="1:8" x14ac:dyDescent="0.3">
      <c r="F26" s="4"/>
      <c r="G26" s="5" t="s">
        <v>14</v>
      </c>
      <c r="H26" s="20">
        <f>+H24-H21</f>
        <v>119934.51851851851</v>
      </c>
    </row>
    <row r="27" spans="1:8" x14ac:dyDescent="0.3">
      <c r="F27" s="4"/>
      <c r="G27" s="5" t="s">
        <v>15</v>
      </c>
      <c r="H27" s="22">
        <f>+H26/H21</f>
        <v>1.6298994145265073</v>
      </c>
    </row>
    <row r="30" spans="1:8" x14ac:dyDescent="0.3">
      <c r="A30" s="1" t="s">
        <v>775</v>
      </c>
      <c r="B30" s="2"/>
      <c r="C30" s="2"/>
      <c r="D30" s="3"/>
      <c r="E30" s="3"/>
      <c r="F30" s="4"/>
      <c r="G30" s="277" t="s">
        <v>0</v>
      </c>
      <c r="H30" s="277"/>
    </row>
    <row r="31" spans="1:8" x14ac:dyDescent="0.3">
      <c r="A31" s="13" t="s">
        <v>1</v>
      </c>
      <c r="B31" s="14" t="s">
        <v>2</v>
      </c>
      <c r="C31" s="14" t="s">
        <v>3</v>
      </c>
      <c r="D31" s="28" t="s">
        <v>4</v>
      </c>
      <c r="E31" s="28" t="s">
        <v>5</v>
      </c>
      <c r="F31" s="4"/>
      <c r="G31" s="5" t="s">
        <v>6</v>
      </c>
      <c r="H31" s="6">
        <f>SUM(Tabla1103453454455456479108135149219379380381396[Total costo])</f>
        <v>131161.99999991999</v>
      </c>
    </row>
    <row r="32" spans="1:8" x14ac:dyDescent="0.3">
      <c r="A32" s="7" t="s">
        <v>641</v>
      </c>
      <c r="B32" s="8" t="s">
        <v>349</v>
      </c>
      <c r="C32" s="9">
        <v>24</v>
      </c>
      <c r="D32" s="10">
        <f>+VLOOKUP(Tabla1103453454455456479108135149219379380381396[[#This Row],[Ingrediente]],Tabla34[#All],3,0)</f>
        <v>5465.0833333299997</v>
      </c>
      <c r="E32" s="11">
        <f>+Tabla1103453454455456479108135149219379380381396[[#This Row],[Costo]]*Tabla1103453454455456479108135149219379380381396[[#This Row],[Cant.]]</f>
        <v>131161.99999991999</v>
      </c>
      <c r="F32" s="4"/>
      <c r="G32" s="5" t="s">
        <v>113</v>
      </c>
      <c r="H32" s="12"/>
    </row>
    <row r="33" spans="1:8" x14ac:dyDescent="0.3">
      <c r="A33" s="13"/>
      <c r="B33" s="14"/>
      <c r="C33" s="14"/>
      <c r="D33" s="15"/>
      <c r="E33" s="15">
        <f>SUBTOTAL(109,Tabla1103453454455456479108135149219379380381396[Total costo])</f>
        <v>131161.99999991999</v>
      </c>
      <c r="F33" s="4"/>
      <c r="G33" s="5" t="s">
        <v>9</v>
      </c>
      <c r="H33" s="12">
        <f>+H31+H32</f>
        <v>131161.99999991999</v>
      </c>
    </row>
    <row r="34" spans="1:8" x14ac:dyDescent="0.3">
      <c r="F34" s="4"/>
      <c r="G34" s="17" t="s">
        <v>10</v>
      </c>
      <c r="H34" s="18">
        <v>398000</v>
      </c>
    </row>
    <row r="35" spans="1:8" x14ac:dyDescent="0.3">
      <c r="F35" s="4"/>
      <c r="G35" s="5" t="s">
        <v>11</v>
      </c>
      <c r="H35" s="12">
        <f>+H34/1.08*0.08</f>
        <v>29481.481481481478</v>
      </c>
    </row>
    <row r="36" spans="1:8" x14ac:dyDescent="0.3">
      <c r="F36" s="4"/>
      <c r="G36" s="5" t="s">
        <v>12</v>
      </c>
      <c r="H36" s="12">
        <f>+H34-H35</f>
        <v>368518.51851851854</v>
      </c>
    </row>
    <row r="37" spans="1:8" x14ac:dyDescent="0.3">
      <c r="F37" s="4"/>
      <c r="G37" s="5" t="s">
        <v>13</v>
      </c>
      <c r="H37" s="19">
        <f>+H33/H36</f>
        <v>0.35591698492440599</v>
      </c>
    </row>
    <row r="38" spans="1:8" x14ac:dyDescent="0.3">
      <c r="F38" s="4"/>
      <c r="G38" s="5" t="s">
        <v>14</v>
      </c>
      <c r="H38" s="20">
        <f>+H36-H33</f>
        <v>237356.51851859855</v>
      </c>
    </row>
    <row r="39" spans="1:8" x14ac:dyDescent="0.3">
      <c r="F39" s="4"/>
      <c r="G39" s="5" t="s">
        <v>15</v>
      </c>
      <c r="H39" s="22">
        <f>+H38/H33</f>
        <v>1.8096439404609821</v>
      </c>
    </row>
    <row r="42" spans="1:8" x14ac:dyDescent="0.3">
      <c r="A42" s="1" t="s">
        <v>324</v>
      </c>
      <c r="B42" s="2"/>
      <c r="C42" s="2"/>
      <c r="D42" s="3"/>
      <c r="E42" s="3"/>
      <c r="F42" s="4"/>
      <c r="G42" s="277" t="s">
        <v>0</v>
      </c>
      <c r="H42" s="277"/>
    </row>
    <row r="43" spans="1:8" x14ac:dyDescent="0.3">
      <c r="A43" s="13" t="s">
        <v>1</v>
      </c>
      <c r="B43" s="14" t="s">
        <v>2</v>
      </c>
      <c r="C43" s="14" t="s">
        <v>3</v>
      </c>
      <c r="D43" s="28" t="s">
        <v>4</v>
      </c>
      <c r="E43" s="28" t="s">
        <v>5</v>
      </c>
      <c r="F43" s="4"/>
      <c r="G43" s="5" t="s">
        <v>6</v>
      </c>
      <c r="H43" s="6">
        <f>SUM(Tabla1103453454455456479108135149219379380381397[Total costo])</f>
        <v>98149.999999920008</v>
      </c>
    </row>
    <row r="44" spans="1:8" x14ac:dyDescent="0.3">
      <c r="A44" s="7" t="s">
        <v>162</v>
      </c>
      <c r="B44" s="8" t="s">
        <v>321</v>
      </c>
      <c r="C44" s="9">
        <v>24</v>
      </c>
      <c r="D44" s="10">
        <f>+VLOOKUP(Tabla1103453454455456479108135149219379380381397[[#This Row],[Ingrediente]],Tabla34[#All],3,0)</f>
        <v>4089.5833333300002</v>
      </c>
      <c r="E44" s="11">
        <f>+Tabla1103453454455456479108135149219379380381397[[#This Row],[Costo]]*Tabla1103453454455456479108135149219379380381397[[#This Row],[Cant.]]</f>
        <v>98149.999999920008</v>
      </c>
      <c r="F44" s="4"/>
      <c r="G44" s="5" t="s">
        <v>113</v>
      </c>
      <c r="H44" s="12"/>
    </row>
    <row r="45" spans="1:8" x14ac:dyDescent="0.3">
      <c r="A45" s="13"/>
      <c r="B45" s="14"/>
      <c r="C45" s="14"/>
      <c r="D45" s="15"/>
      <c r="E45" s="15">
        <f>SUBTOTAL(109,Tabla1103453454455456479108135149219379380381397[Total costo])</f>
        <v>98149.999999920008</v>
      </c>
      <c r="F45" s="4"/>
      <c r="G45" s="5" t="s">
        <v>9</v>
      </c>
      <c r="H45" s="12">
        <f>+H43+H44</f>
        <v>98149.999999920008</v>
      </c>
    </row>
    <row r="46" spans="1:8" x14ac:dyDescent="0.3">
      <c r="F46" s="4"/>
      <c r="G46" s="17" t="s">
        <v>10</v>
      </c>
      <c r="H46" s="18">
        <v>268000</v>
      </c>
    </row>
    <row r="47" spans="1:8" x14ac:dyDescent="0.3">
      <c r="F47" s="4"/>
      <c r="G47" s="5" t="s">
        <v>11</v>
      </c>
      <c r="H47" s="12">
        <f>+H46/1.08*0.08</f>
        <v>19851.85185185185</v>
      </c>
    </row>
    <row r="48" spans="1:8" x14ac:dyDescent="0.3">
      <c r="F48" s="4"/>
      <c r="G48" s="5" t="s">
        <v>12</v>
      </c>
      <c r="H48" s="12">
        <f>+H46-H47</f>
        <v>248148.14814814815</v>
      </c>
    </row>
    <row r="49" spans="1:8" x14ac:dyDescent="0.3">
      <c r="F49" s="4"/>
      <c r="G49" s="5" t="s">
        <v>13</v>
      </c>
      <c r="H49" s="19">
        <f>+H45/H48</f>
        <v>0.39552985074594632</v>
      </c>
    </row>
    <row r="50" spans="1:8" x14ac:dyDescent="0.3">
      <c r="F50" s="4"/>
      <c r="G50" s="5" t="s">
        <v>14</v>
      </c>
      <c r="H50" s="20">
        <f>+H48-H45</f>
        <v>149998.14814822812</v>
      </c>
    </row>
    <row r="51" spans="1:8" x14ac:dyDescent="0.3">
      <c r="F51" s="4"/>
      <c r="G51" s="5" t="s">
        <v>15</v>
      </c>
      <c r="H51" s="22">
        <f>+H50/H45</f>
        <v>1.5282541838853834</v>
      </c>
    </row>
    <row r="56" spans="1:8" x14ac:dyDescent="0.3">
      <c r="A56" s="1" t="s">
        <v>325</v>
      </c>
      <c r="B56" s="2"/>
      <c r="C56" s="2"/>
      <c r="D56" s="3"/>
      <c r="E56" s="3"/>
      <c r="F56" s="4"/>
      <c r="G56" s="277" t="s">
        <v>0</v>
      </c>
      <c r="H56" s="277"/>
    </row>
    <row r="57" spans="1:8" x14ac:dyDescent="0.3">
      <c r="A57" s="13" t="s">
        <v>1</v>
      </c>
      <c r="B57" s="14" t="s">
        <v>2</v>
      </c>
      <c r="C57" s="14" t="s">
        <v>3</v>
      </c>
      <c r="D57" s="28" t="s">
        <v>4</v>
      </c>
      <c r="E57" s="28" t="s">
        <v>5</v>
      </c>
      <c r="F57" s="4"/>
      <c r="G57" s="5" t="s">
        <v>6</v>
      </c>
      <c r="H57" s="6">
        <f>SUM(Tabla1103453454455456479108135149219379380381398[Total costo])</f>
        <v>11048.416666659999</v>
      </c>
    </row>
    <row r="58" spans="1:8" x14ac:dyDescent="0.3">
      <c r="A58" s="7" t="s">
        <v>158</v>
      </c>
      <c r="B58" s="8" t="s">
        <v>349</v>
      </c>
      <c r="C58" s="9">
        <v>2</v>
      </c>
      <c r="D58" s="10">
        <f>+VLOOKUP(Tabla1103453454455456479108135149219379380381398[[#This Row],[Ingrediente]],Tabla34[#All],3,0)</f>
        <v>5524.2083333299997</v>
      </c>
      <c r="E58" s="11">
        <f>+Tabla1103453454455456479108135149219379380381398[[#This Row],[Costo]]*Tabla1103453454455456479108135149219379380381398[[#This Row],[Cant.]]</f>
        <v>11048.416666659999</v>
      </c>
      <c r="F58" s="4"/>
      <c r="G58" s="5" t="s">
        <v>113</v>
      </c>
      <c r="H58" s="12"/>
    </row>
    <row r="59" spans="1:8" x14ac:dyDescent="0.3">
      <c r="A59" s="13"/>
      <c r="B59" s="14"/>
      <c r="C59" s="14"/>
      <c r="D59" s="15"/>
      <c r="E59" s="15">
        <f>SUBTOTAL(109,Tabla1103453454455456479108135149219379380381398[Total costo])</f>
        <v>11048.416666659999</v>
      </c>
      <c r="F59" s="4"/>
      <c r="G59" s="5" t="s">
        <v>9</v>
      </c>
      <c r="H59" s="12">
        <f>+H57+H58</f>
        <v>11048.416666659999</v>
      </c>
    </row>
    <row r="60" spans="1:8" x14ac:dyDescent="0.3">
      <c r="F60" s="4"/>
      <c r="G60" s="17" t="s">
        <v>10</v>
      </c>
      <c r="H60" s="18">
        <v>29000</v>
      </c>
    </row>
    <row r="61" spans="1:8" x14ac:dyDescent="0.3">
      <c r="F61" s="4"/>
      <c r="G61" s="5" t="s">
        <v>11</v>
      </c>
      <c r="H61" s="12">
        <f>+H60/1.08*0.08</f>
        <v>2148.1481481481483</v>
      </c>
    </row>
    <row r="62" spans="1:8" x14ac:dyDescent="0.3">
      <c r="F62" s="4"/>
      <c r="G62" s="5" t="s">
        <v>12</v>
      </c>
      <c r="H62" s="12">
        <f>+H60-H61</f>
        <v>26851.85185185185</v>
      </c>
    </row>
    <row r="63" spans="1:8" x14ac:dyDescent="0.3">
      <c r="F63" s="4"/>
      <c r="G63" s="5" t="s">
        <v>13</v>
      </c>
      <c r="H63" s="19">
        <f>+H59/H62</f>
        <v>0.41145827586182071</v>
      </c>
    </row>
    <row r="64" spans="1:8" x14ac:dyDescent="0.3">
      <c r="F64" s="4"/>
      <c r="G64" s="5" t="s">
        <v>14</v>
      </c>
      <c r="H64" s="20">
        <f>+H62-H59</f>
        <v>15803.435185191851</v>
      </c>
    </row>
    <row r="65" spans="1:8" x14ac:dyDescent="0.3">
      <c r="F65" s="4"/>
      <c r="G65" s="5" t="s">
        <v>15</v>
      </c>
      <c r="H65" s="22">
        <f>+H64/H59</f>
        <v>1.4303800863051015</v>
      </c>
    </row>
    <row r="69" spans="1:8" x14ac:dyDescent="0.3">
      <c r="A69" s="1" t="s">
        <v>326</v>
      </c>
      <c r="B69" s="2"/>
      <c r="C69" s="2"/>
      <c r="D69" s="3"/>
      <c r="E69" s="3"/>
      <c r="F69" s="4"/>
      <c r="G69" s="277" t="s">
        <v>0</v>
      </c>
      <c r="H69" s="277"/>
    </row>
    <row r="70" spans="1:8" x14ac:dyDescent="0.3">
      <c r="A70" s="13" t="s">
        <v>1</v>
      </c>
      <c r="B70" s="14" t="s">
        <v>2</v>
      </c>
      <c r="C70" s="14" t="s">
        <v>3</v>
      </c>
      <c r="D70" s="28" t="s">
        <v>4</v>
      </c>
      <c r="E70" s="28" t="s">
        <v>5</v>
      </c>
      <c r="F70" s="4"/>
      <c r="G70" s="5" t="s">
        <v>6</v>
      </c>
      <c r="H70" s="6">
        <f>SUM(Tabla1103453454455456479108135149219379380381399[Total costo])</f>
        <v>6132</v>
      </c>
    </row>
    <row r="71" spans="1:8" x14ac:dyDescent="0.3">
      <c r="A71" s="7" t="s">
        <v>192</v>
      </c>
      <c r="B71" s="8" t="s">
        <v>349</v>
      </c>
      <c r="C71" s="9">
        <v>2</v>
      </c>
      <c r="D71" s="10">
        <f>+VLOOKUP(Tabla1103453454455456479108135149219379380381399[[#This Row],[Ingrediente]],Tabla34[#All],3,0)</f>
        <v>3066</v>
      </c>
      <c r="E71" s="11">
        <f>+Tabla1103453454455456479108135149219379380381399[[#This Row],[Costo]]*Tabla1103453454455456479108135149219379380381399[[#This Row],[Cant.]]</f>
        <v>6132</v>
      </c>
      <c r="F71" s="4"/>
      <c r="G71" s="5" t="s">
        <v>113</v>
      </c>
      <c r="H71" s="12"/>
    </row>
    <row r="72" spans="1:8" x14ac:dyDescent="0.3">
      <c r="A72" s="13"/>
      <c r="B72" s="14"/>
      <c r="C72" s="14"/>
      <c r="D72" s="15"/>
      <c r="E72" s="15">
        <f>SUBTOTAL(109,Tabla1103453454455456479108135149219379380381399[Total costo])</f>
        <v>6132</v>
      </c>
      <c r="F72" s="4"/>
      <c r="G72" s="5" t="s">
        <v>9</v>
      </c>
      <c r="H72" s="12">
        <f>+H70+H71</f>
        <v>6132</v>
      </c>
    </row>
    <row r="73" spans="1:8" x14ac:dyDescent="0.3">
      <c r="F73" s="4"/>
      <c r="G73" s="17" t="s">
        <v>10</v>
      </c>
      <c r="H73" s="18">
        <v>22000</v>
      </c>
    </row>
    <row r="74" spans="1:8" x14ac:dyDescent="0.3">
      <c r="F74" s="4"/>
      <c r="G74" s="5" t="s">
        <v>11</v>
      </c>
      <c r="H74" s="12">
        <f>+H73/1.08*0.08</f>
        <v>1629.6296296296296</v>
      </c>
    </row>
    <row r="75" spans="1:8" x14ac:dyDescent="0.3">
      <c r="F75" s="4"/>
      <c r="G75" s="5" t="s">
        <v>12</v>
      </c>
      <c r="H75" s="12">
        <f>+H73-H74</f>
        <v>20370.370370370372</v>
      </c>
    </row>
    <row r="76" spans="1:8" x14ac:dyDescent="0.3">
      <c r="F76" s="4"/>
      <c r="G76" s="5" t="s">
        <v>13</v>
      </c>
      <c r="H76" s="19">
        <f>+H72/H75</f>
        <v>0.30102545454545454</v>
      </c>
    </row>
    <row r="77" spans="1:8" x14ac:dyDescent="0.3">
      <c r="F77" s="4"/>
      <c r="G77" s="5" t="s">
        <v>14</v>
      </c>
      <c r="H77" s="20">
        <f>+H75-H72</f>
        <v>14238.370370370372</v>
      </c>
    </row>
    <row r="78" spans="1:8" x14ac:dyDescent="0.3">
      <c r="F78" s="4"/>
      <c r="G78" s="5" t="s">
        <v>15</v>
      </c>
      <c r="H78" s="22">
        <f>+H77/H72</f>
        <v>2.3219782078229572</v>
      </c>
    </row>
    <row r="80" spans="1:8" x14ac:dyDescent="0.3">
      <c r="A80" s="1" t="s">
        <v>327</v>
      </c>
      <c r="B80" s="2"/>
      <c r="C80" s="2"/>
      <c r="D80" s="3"/>
      <c r="E80" s="3"/>
      <c r="F80" s="4"/>
      <c r="G80" s="277" t="s">
        <v>0</v>
      </c>
      <c r="H80" s="277"/>
    </row>
    <row r="81" spans="1:8" x14ac:dyDescent="0.3">
      <c r="A81" s="13" t="s">
        <v>1</v>
      </c>
      <c r="B81" s="14" t="s">
        <v>2</v>
      </c>
      <c r="C81" s="14" t="s">
        <v>3</v>
      </c>
      <c r="D81" s="28" t="s">
        <v>4</v>
      </c>
      <c r="E81" s="28" t="s">
        <v>5</v>
      </c>
      <c r="F81" s="4"/>
      <c r="G81" s="5" t="s">
        <v>6</v>
      </c>
      <c r="H81" s="6">
        <f>SUM(Tabla1103453454455456479108135149219379380381400[Total costo])</f>
        <v>10930.166666659999</v>
      </c>
    </row>
    <row r="82" spans="1:8" x14ac:dyDescent="0.3">
      <c r="A82" s="7" t="s">
        <v>641</v>
      </c>
      <c r="B82" s="8" t="s">
        <v>349</v>
      </c>
      <c r="C82" s="9">
        <v>2</v>
      </c>
      <c r="D82" s="10">
        <f>+VLOOKUP(Tabla1103453454455456479108135149219379380381400[[#This Row],[Ingrediente]],Tabla34[#All],3,0)</f>
        <v>5465.0833333299997</v>
      </c>
      <c r="E82" s="11">
        <f>+Tabla1103453454455456479108135149219379380381400[[#This Row],[Costo]]*Tabla1103453454455456479108135149219379380381400[[#This Row],[Cant.]]</f>
        <v>10930.166666659999</v>
      </c>
      <c r="F82" s="4"/>
      <c r="G82" s="5" t="s">
        <v>113</v>
      </c>
      <c r="H82" s="12"/>
    </row>
    <row r="83" spans="1:8" x14ac:dyDescent="0.3">
      <c r="A83" s="13"/>
      <c r="B83" s="14"/>
      <c r="C83" s="14"/>
      <c r="D83" s="15"/>
      <c r="E83" s="15">
        <f>SUBTOTAL(109,Tabla1103453454455456479108135149219379380381400[Total costo])</f>
        <v>10930.166666659999</v>
      </c>
      <c r="F83" s="4"/>
      <c r="G83" s="5" t="s">
        <v>9</v>
      </c>
      <c r="H83" s="12">
        <f>+H81+H82</f>
        <v>10930.166666659999</v>
      </c>
    </row>
    <row r="84" spans="1:8" x14ac:dyDescent="0.3">
      <c r="F84" s="4"/>
      <c r="G84" s="17" t="s">
        <v>10</v>
      </c>
      <c r="H84" s="18">
        <v>33000</v>
      </c>
    </row>
    <row r="85" spans="1:8" x14ac:dyDescent="0.3">
      <c r="F85" s="4"/>
      <c r="G85" s="5" t="s">
        <v>11</v>
      </c>
      <c r="H85" s="12">
        <f>+H84/1.08*0.08</f>
        <v>2444.4444444444443</v>
      </c>
    </row>
    <row r="86" spans="1:8" x14ac:dyDescent="0.3">
      <c r="F86" s="4"/>
      <c r="G86" s="5" t="s">
        <v>12</v>
      </c>
      <c r="H86" s="12">
        <f>+H84-H85</f>
        <v>30555.555555555555</v>
      </c>
    </row>
    <row r="87" spans="1:8" x14ac:dyDescent="0.3">
      <c r="F87" s="4"/>
      <c r="G87" s="5" t="s">
        <v>13</v>
      </c>
      <c r="H87" s="19">
        <f>+H83/H86</f>
        <v>0.35771454545432724</v>
      </c>
    </row>
    <row r="88" spans="1:8" x14ac:dyDescent="0.3">
      <c r="F88" s="4"/>
      <c r="G88" s="5" t="s">
        <v>14</v>
      </c>
      <c r="H88" s="20">
        <f>+H86-H83</f>
        <v>19625.388888895555</v>
      </c>
    </row>
    <row r="89" spans="1:8" x14ac:dyDescent="0.3">
      <c r="F89" s="4"/>
      <c r="G89" s="5" t="s">
        <v>15</v>
      </c>
      <c r="H89" s="22">
        <f>+H88/H83</f>
        <v>1.7955251266898211</v>
      </c>
    </row>
    <row r="92" spans="1:8" x14ac:dyDescent="0.3">
      <c r="A92" s="1" t="s">
        <v>328</v>
      </c>
      <c r="B92" s="2"/>
      <c r="C92" s="2"/>
      <c r="D92" s="3"/>
      <c r="E92" s="3"/>
      <c r="F92" s="4"/>
      <c r="G92" s="277" t="s">
        <v>0</v>
      </c>
      <c r="H92" s="277"/>
    </row>
    <row r="93" spans="1:8" x14ac:dyDescent="0.3">
      <c r="A93" s="13" t="s">
        <v>1</v>
      </c>
      <c r="B93" s="14" t="s">
        <v>2</v>
      </c>
      <c r="C93" s="14" t="s">
        <v>3</v>
      </c>
      <c r="D93" s="28" t="s">
        <v>4</v>
      </c>
      <c r="E93" s="28" t="s">
        <v>5</v>
      </c>
      <c r="F93" s="4"/>
      <c r="G93" s="5" t="s">
        <v>6</v>
      </c>
      <c r="H93" s="6">
        <f>SUM(Tabla1103453454455456479108135149219379380381397401[Total costo])</f>
        <v>8179.1666666600004</v>
      </c>
    </row>
    <row r="94" spans="1:8" x14ac:dyDescent="0.3">
      <c r="A94" s="7" t="s">
        <v>162</v>
      </c>
      <c r="B94" s="8" t="s">
        <v>321</v>
      </c>
      <c r="C94" s="9">
        <v>2</v>
      </c>
      <c r="D94" s="10">
        <f>+VLOOKUP(Tabla1103453454455456479108135149219379380381397401[[#This Row],[Ingrediente]],Tabla34[#All],3,0)</f>
        <v>4089.5833333300002</v>
      </c>
      <c r="E94" s="11">
        <f>+Tabla1103453454455456479108135149219379380381397401[[#This Row],[Costo]]*Tabla1103453454455456479108135149219379380381397401[[#This Row],[Cant.]]</f>
        <v>8179.1666666600004</v>
      </c>
      <c r="F94" s="4"/>
      <c r="G94" s="5" t="s">
        <v>113</v>
      </c>
      <c r="H94" s="12"/>
    </row>
    <row r="95" spans="1:8" x14ac:dyDescent="0.3">
      <c r="A95" s="13"/>
      <c r="B95" s="14"/>
      <c r="C95" s="14"/>
      <c r="D95" s="15"/>
      <c r="E95" s="15">
        <f>SUBTOTAL(109,Tabla1103453454455456479108135149219379380381397401[Total costo])</f>
        <v>8179.1666666600004</v>
      </c>
      <c r="F95" s="4"/>
      <c r="G95" s="5" t="s">
        <v>9</v>
      </c>
      <c r="H95" s="12">
        <f>+H93+H94</f>
        <v>8179.1666666600004</v>
      </c>
    </row>
    <row r="96" spans="1:8" x14ac:dyDescent="0.3">
      <c r="F96" s="4"/>
      <c r="G96" s="17" t="s">
        <v>10</v>
      </c>
      <c r="H96" s="18">
        <v>28000</v>
      </c>
    </row>
    <row r="97" spans="6:8" x14ac:dyDescent="0.3">
      <c r="F97" s="4"/>
      <c r="G97" s="5" t="s">
        <v>11</v>
      </c>
      <c r="H97" s="12">
        <f>+H96/1.08*0.08</f>
        <v>2074.0740740740739</v>
      </c>
    </row>
    <row r="98" spans="6:8" x14ac:dyDescent="0.3">
      <c r="F98" s="4"/>
      <c r="G98" s="5" t="s">
        <v>12</v>
      </c>
      <c r="H98" s="12">
        <f>+H96-H97</f>
        <v>25925.925925925927</v>
      </c>
    </row>
    <row r="99" spans="6:8" x14ac:dyDescent="0.3">
      <c r="F99" s="4"/>
      <c r="G99" s="5" t="s">
        <v>13</v>
      </c>
      <c r="H99" s="19">
        <f>+H95/H98</f>
        <v>0.31548214285688569</v>
      </c>
    </row>
    <row r="100" spans="6:8" x14ac:dyDescent="0.3">
      <c r="F100" s="4"/>
      <c r="G100" s="5" t="s">
        <v>14</v>
      </c>
      <c r="H100" s="20">
        <f>+H98-H95</f>
        <v>17746.759259265928</v>
      </c>
    </row>
    <row r="101" spans="6:8" x14ac:dyDescent="0.3">
      <c r="F101" s="4"/>
      <c r="G101" s="5" t="s">
        <v>15</v>
      </c>
      <c r="H101" s="22">
        <f>+H100/H95</f>
        <v>2.1697515141249588</v>
      </c>
    </row>
  </sheetData>
  <mergeCells count="8">
    <mergeCell ref="G80:H80"/>
    <mergeCell ref="G92:H92"/>
    <mergeCell ref="G6:H6"/>
    <mergeCell ref="G18:H18"/>
    <mergeCell ref="G30:H30"/>
    <mergeCell ref="G42:H42"/>
    <mergeCell ref="G56:H56"/>
    <mergeCell ref="G69:H69"/>
  </mergeCells>
  <conditionalFormatting sqref="H13">
    <cfRule type="cellIs" dxfId="371" priority="15" operator="lessThan">
      <formula>0.3</formula>
    </cfRule>
    <cfRule type="cellIs" dxfId="370" priority="16" operator="greaterThan">
      <formula>0.3</formula>
    </cfRule>
  </conditionalFormatting>
  <conditionalFormatting sqref="H25">
    <cfRule type="cellIs" dxfId="369" priority="13" operator="lessThan">
      <formula>0.3</formula>
    </cfRule>
    <cfRule type="cellIs" dxfId="368" priority="14" operator="greaterThan">
      <formula>0.3</formula>
    </cfRule>
  </conditionalFormatting>
  <conditionalFormatting sqref="H37">
    <cfRule type="cellIs" dxfId="367" priority="11" operator="lessThan">
      <formula>0.3</formula>
    </cfRule>
    <cfRule type="cellIs" dxfId="366" priority="12" operator="greaterThan">
      <formula>0.3</formula>
    </cfRule>
  </conditionalFormatting>
  <conditionalFormatting sqref="H49">
    <cfRule type="cellIs" dxfId="365" priority="9" operator="lessThan">
      <formula>0.3</formula>
    </cfRule>
    <cfRule type="cellIs" dxfId="364" priority="10" operator="greaterThan">
      <formula>0.3</formula>
    </cfRule>
  </conditionalFormatting>
  <conditionalFormatting sqref="H63">
    <cfRule type="cellIs" dxfId="363" priority="7" operator="lessThan">
      <formula>0.3</formula>
    </cfRule>
    <cfRule type="cellIs" dxfId="362" priority="8" operator="greaterThan">
      <formula>0.3</formula>
    </cfRule>
  </conditionalFormatting>
  <conditionalFormatting sqref="H76">
    <cfRule type="cellIs" dxfId="361" priority="5" operator="lessThan">
      <formula>0.3</formula>
    </cfRule>
    <cfRule type="cellIs" dxfId="360" priority="6" operator="greaterThan">
      <formula>0.3</formula>
    </cfRule>
  </conditionalFormatting>
  <conditionalFormatting sqref="H87">
    <cfRule type="cellIs" dxfId="359" priority="3" operator="lessThan">
      <formula>0.3</formula>
    </cfRule>
    <cfRule type="cellIs" dxfId="358" priority="4" operator="greaterThan">
      <formula>0.3</formula>
    </cfRule>
  </conditionalFormatting>
  <conditionalFormatting sqref="H99">
    <cfRule type="cellIs" dxfId="357" priority="1" operator="lessThan">
      <formula>0.3</formula>
    </cfRule>
    <cfRule type="cellIs" dxfId="356" priority="2" operator="greaterThan">
      <formula>0.3</formula>
    </cfRule>
  </conditionalFormatting>
  <pageMargins left="0.7" right="0.7" top="0.75" bottom="0.75" header="0.3" footer="0.3"/>
  <drawing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48E1C-DF0A-457E-A583-267CA9F71534}">
  <dimension ref="A6:H90"/>
  <sheetViews>
    <sheetView showGridLines="0" topLeftCell="A67" workbookViewId="0">
      <selection activeCell="D91" sqref="D91"/>
    </sheetView>
  </sheetViews>
  <sheetFormatPr baseColWidth="10" defaultRowHeight="14.4" x14ac:dyDescent="0.3"/>
  <cols>
    <col min="1" max="1" width="31.6640625" bestFit="1" customWidth="1"/>
    <col min="2" max="2" width="9" bestFit="1" customWidth="1"/>
    <col min="6" max="6" width="4" customWidth="1"/>
    <col min="7" max="7" width="26.5546875" bestFit="1" customWidth="1"/>
  </cols>
  <sheetData>
    <row r="6" spans="1:8" x14ac:dyDescent="0.3">
      <c r="A6" s="1" t="s">
        <v>771</v>
      </c>
      <c r="B6" s="2"/>
      <c r="C6" s="2"/>
      <c r="D6" s="3"/>
      <c r="E6" s="3"/>
      <c r="F6" s="4"/>
      <c r="G6" s="277" t="s">
        <v>0</v>
      </c>
      <c r="H6" s="277"/>
    </row>
    <row r="7" spans="1:8" x14ac:dyDescent="0.3">
      <c r="A7" s="13" t="s">
        <v>1</v>
      </c>
      <c r="B7" s="14" t="s">
        <v>2</v>
      </c>
      <c r="C7" s="14" t="s">
        <v>3</v>
      </c>
      <c r="D7" s="28" t="s">
        <v>4</v>
      </c>
      <c r="E7" s="28" t="s">
        <v>5</v>
      </c>
      <c r="F7" s="4"/>
      <c r="G7" s="5" t="s">
        <v>6</v>
      </c>
      <c r="H7" s="6">
        <f>SUM(Tabla1103453454455456479108135149219379[Total costo])</f>
        <v>0</v>
      </c>
    </row>
    <row r="8" spans="1:8" x14ac:dyDescent="0.3">
      <c r="A8" s="7" t="s">
        <v>607</v>
      </c>
      <c r="B8" s="8" t="s">
        <v>570</v>
      </c>
      <c r="C8" s="9">
        <v>1</v>
      </c>
      <c r="D8" s="10">
        <f>+VLOOKUP(Tabla1103453454455456479108135149219379[[#This Row],[Ingrediente]],Tabla34[#All],3,0)</f>
        <v>0</v>
      </c>
      <c r="E8" s="11">
        <f>+Tabla1103453454455456479108135149219379[[#This Row],[Costo]]*Tabla1103453454455456479108135149219379[[#This Row],[Cant.]]</f>
        <v>0</v>
      </c>
      <c r="F8" s="4"/>
      <c r="G8" s="5" t="s">
        <v>113</v>
      </c>
      <c r="H8" s="12"/>
    </row>
    <row r="9" spans="1:8" x14ac:dyDescent="0.3">
      <c r="A9" s="13"/>
      <c r="B9" s="14"/>
      <c r="C9" s="14"/>
      <c r="D9" s="15"/>
      <c r="E9" s="15">
        <f>SUBTOTAL(109,Tabla1103453454455456479108135149219379[Total costo])</f>
        <v>0</v>
      </c>
      <c r="F9" s="4"/>
      <c r="G9" s="5" t="s">
        <v>9</v>
      </c>
      <c r="H9" s="12">
        <f>+H7+H8</f>
        <v>0</v>
      </c>
    </row>
    <row r="10" spans="1:8" x14ac:dyDescent="0.3">
      <c r="F10" s="4"/>
      <c r="G10" s="17" t="s">
        <v>10</v>
      </c>
      <c r="H10" s="18">
        <v>120000</v>
      </c>
    </row>
    <row r="11" spans="1:8" x14ac:dyDescent="0.3">
      <c r="F11" s="4"/>
      <c r="G11" s="5" t="s">
        <v>11</v>
      </c>
      <c r="H11" s="12">
        <f>+H10/1.08*0.08</f>
        <v>8888.8888888888887</v>
      </c>
    </row>
    <row r="12" spans="1:8" x14ac:dyDescent="0.3">
      <c r="F12" s="4"/>
      <c r="G12" s="5" t="s">
        <v>12</v>
      </c>
      <c r="H12" s="12">
        <f>+H10-H11</f>
        <v>111111.11111111111</v>
      </c>
    </row>
    <row r="13" spans="1:8" x14ac:dyDescent="0.3">
      <c r="F13" s="4"/>
      <c r="G13" s="5" t="s">
        <v>13</v>
      </c>
      <c r="H13" s="19">
        <f>+H9/H12</f>
        <v>0</v>
      </c>
    </row>
    <row r="14" spans="1:8" x14ac:dyDescent="0.3">
      <c r="F14" s="4"/>
      <c r="G14" s="5" t="s">
        <v>14</v>
      </c>
      <c r="H14" s="20">
        <f>+H12-H9</f>
        <v>111111.11111111111</v>
      </c>
    </row>
    <row r="15" spans="1:8" x14ac:dyDescent="0.3">
      <c r="F15" s="4"/>
      <c r="G15" s="5" t="s">
        <v>15</v>
      </c>
      <c r="H15" s="22" t="e">
        <f>+H14/H9</f>
        <v>#DIV/0!</v>
      </c>
    </row>
    <row r="18" spans="1:8" x14ac:dyDescent="0.3">
      <c r="A18" s="1" t="s">
        <v>311</v>
      </c>
      <c r="B18" s="2"/>
      <c r="C18" s="2"/>
      <c r="D18" s="3"/>
      <c r="E18" s="3"/>
      <c r="F18" s="4"/>
      <c r="G18" s="277" t="s">
        <v>0</v>
      </c>
      <c r="H18" s="277"/>
    </row>
    <row r="19" spans="1:8" x14ac:dyDescent="0.3">
      <c r="A19" s="13" t="s">
        <v>1</v>
      </c>
      <c r="B19" s="14" t="s">
        <v>2</v>
      </c>
      <c r="C19" s="14" t="s">
        <v>3</v>
      </c>
      <c r="D19" s="28" t="s">
        <v>4</v>
      </c>
      <c r="E19" s="28" t="s">
        <v>5</v>
      </c>
      <c r="F19" s="4"/>
      <c r="G19" s="5" t="s">
        <v>6</v>
      </c>
      <c r="H19" s="6">
        <f>SUM(Tabla1103453454455456479108135149219379382[Total costo])</f>
        <v>77000</v>
      </c>
    </row>
    <row r="20" spans="1:8" x14ac:dyDescent="0.3">
      <c r="A20" s="7" t="s">
        <v>310</v>
      </c>
      <c r="B20" s="8" t="s">
        <v>107</v>
      </c>
      <c r="C20" s="9">
        <v>22</v>
      </c>
      <c r="D20" s="10">
        <f>+VLOOKUP(Tabla1103453454455456479108135149219379382[[#This Row],[Ingrediente]],Tabla34[#All],3,0)</f>
        <v>3500</v>
      </c>
      <c r="E20" s="11">
        <f>+Tabla1103453454455456479108135149219379382[[#This Row],[Costo]]*Tabla1103453454455456479108135149219379382[[#This Row],[Cant.]]</f>
        <v>77000</v>
      </c>
      <c r="F20" s="4"/>
      <c r="G20" s="5" t="s">
        <v>113</v>
      </c>
      <c r="H20" s="12"/>
    </row>
    <row r="21" spans="1:8" x14ac:dyDescent="0.3">
      <c r="A21" s="13"/>
      <c r="B21" s="14"/>
      <c r="C21" s="14"/>
      <c r="D21" s="15"/>
      <c r="E21" s="15">
        <f>SUBTOTAL(109,Tabla1103453454455456479108135149219379382[Total costo])</f>
        <v>77000</v>
      </c>
      <c r="F21" s="4"/>
      <c r="G21" s="5" t="s">
        <v>9</v>
      </c>
      <c r="H21" s="12">
        <f>+H19+H20</f>
        <v>77000</v>
      </c>
    </row>
    <row r="22" spans="1:8" x14ac:dyDescent="0.3">
      <c r="F22" s="4"/>
      <c r="G22" s="17" t="s">
        <v>10</v>
      </c>
      <c r="H22" s="18">
        <v>260000</v>
      </c>
    </row>
    <row r="23" spans="1:8" x14ac:dyDescent="0.3">
      <c r="F23" s="4"/>
      <c r="G23" s="5" t="s">
        <v>11</v>
      </c>
      <c r="H23" s="12">
        <f>+H22/1.08*0.08</f>
        <v>19259.259259259259</v>
      </c>
    </row>
    <row r="24" spans="1:8" x14ac:dyDescent="0.3">
      <c r="F24" s="4"/>
      <c r="G24" s="5" t="s">
        <v>12</v>
      </c>
      <c r="H24" s="12">
        <f>+H22-H23</f>
        <v>240740.74074074073</v>
      </c>
    </row>
    <row r="25" spans="1:8" x14ac:dyDescent="0.3">
      <c r="F25" s="4"/>
      <c r="G25" s="5" t="s">
        <v>13</v>
      </c>
      <c r="H25" s="19">
        <f>+H21/H24</f>
        <v>0.31984615384615384</v>
      </c>
    </row>
    <row r="26" spans="1:8" x14ac:dyDescent="0.3">
      <c r="F26" s="4"/>
      <c r="G26" s="5" t="s">
        <v>14</v>
      </c>
      <c r="H26" s="20">
        <f>+H24-H21</f>
        <v>163740.74074074073</v>
      </c>
    </row>
    <row r="27" spans="1:8" x14ac:dyDescent="0.3">
      <c r="F27" s="4"/>
      <c r="G27" s="5" t="s">
        <v>15</v>
      </c>
      <c r="H27" s="22">
        <f>+H26/H21</f>
        <v>2.1265031265031262</v>
      </c>
    </row>
    <row r="29" spans="1:8" x14ac:dyDescent="0.3">
      <c r="A29" s="1" t="s">
        <v>313</v>
      </c>
      <c r="B29" s="2"/>
      <c r="C29" s="2"/>
      <c r="D29" s="3"/>
      <c r="E29" s="3"/>
      <c r="F29" s="4"/>
      <c r="G29" s="277" t="s">
        <v>0</v>
      </c>
      <c r="H29" s="277"/>
    </row>
    <row r="30" spans="1:8" x14ac:dyDescent="0.3">
      <c r="A30" s="13" t="s">
        <v>1</v>
      </c>
      <c r="B30" s="14" t="s">
        <v>2</v>
      </c>
      <c r="C30" s="14" t="s">
        <v>3</v>
      </c>
      <c r="D30" s="28" t="s">
        <v>4</v>
      </c>
      <c r="E30" s="28" t="s">
        <v>5</v>
      </c>
      <c r="F30" s="4"/>
      <c r="G30" s="5" t="s">
        <v>6</v>
      </c>
      <c r="H30" s="6">
        <f>SUM(Tabla1103453454455456479108135149219379383[Total costo])</f>
        <v>17454.545454539999</v>
      </c>
    </row>
    <row r="31" spans="1:8" x14ac:dyDescent="0.3">
      <c r="A31" s="7" t="s">
        <v>636</v>
      </c>
      <c r="B31" s="8" t="s">
        <v>349</v>
      </c>
      <c r="C31" s="9">
        <v>2</v>
      </c>
      <c r="D31" s="10">
        <f>+VLOOKUP(Tabla1103453454455456479108135149219379383[[#This Row],[Ingrediente]],Tabla34[#All],3,0)</f>
        <v>8727.2727272699995</v>
      </c>
      <c r="E31" s="11">
        <f>+Tabla1103453454455456479108135149219379383[[#This Row],[Costo]]*Tabla1103453454455456479108135149219379383[[#This Row],[Cant.]]</f>
        <v>17454.545454539999</v>
      </c>
      <c r="F31" s="4"/>
      <c r="G31" s="5" t="s">
        <v>113</v>
      </c>
      <c r="H31" s="12"/>
    </row>
    <row r="32" spans="1:8" x14ac:dyDescent="0.3">
      <c r="A32" s="13"/>
      <c r="B32" s="14"/>
      <c r="C32" s="14"/>
      <c r="D32" s="15"/>
      <c r="E32" s="15">
        <f>SUBTOTAL(109,Tabla1103453454455456479108135149219379383[Total costo])</f>
        <v>17454.545454539999</v>
      </c>
      <c r="F32" s="4"/>
      <c r="G32" s="5" t="s">
        <v>9</v>
      </c>
      <c r="H32" s="12">
        <f>+H30+H31</f>
        <v>17454.545454539999</v>
      </c>
    </row>
    <row r="33" spans="1:8" x14ac:dyDescent="0.3">
      <c r="F33" s="4"/>
      <c r="G33" s="17" t="s">
        <v>10</v>
      </c>
      <c r="H33" s="18">
        <v>45000</v>
      </c>
    </row>
    <row r="34" spans="1:8" x14ac:dyDescent="0.3">
      <c r="F34" s="4"/>
      <c r="G34" s="5" t="s">
        <v>11</v>
      </c>
      <c r="H34" s="12">
        <f>+H33/1.08*0.08</f>
        <v>3333.333333333333</v>
      </c>
    </row>
    <row r="35" spans="1:8" x14ac:dyDescent="0.3">
      <c r="F35" s="4"/>
      <c r="G35" s="5" t="s">
        <v>12</v>
      </c>
      <c r="H35" s="12">
        <f>+H33-H34</f>
        <v>41666.666666666664</v>
      </c>
    </row>
    <row r="36" spans="1:8" x14ac:dyDescent="0.3">
      <c r="F36" s="4"/>
      <c r="G36" s="5" t="s">
        <v>13</v>
      </c>
      <c r="H36" s="19">
        <f>+H32/H35</f>
        <v>0.41890909090896</v>
      </c>
    </row>
    <row r="37" spans="1:8" x14ac:dyDescent="0.3">
      <c r="F37" s="4"/>
      <c r="G37" s="5" t="s">
        <v>14</v>
      </c>
      <c r="H37" s="20">
        <f>+H35-H32</f>
        <v>24212.121212126665</v>
      </c>
    </row>
    <row r="38" spans="1:8" x14ac:dyDescent="0.3">
      <c r="F38" s="4"/>
      <c r="G38" s="5" t="s">
        <v>15</v>
      </c>
      <c r="H38" s="22">
        <f>+H37/H32</f>
        <v>1.3871527777785237</v>
      </c>
    </row>
    <row r="42" spans="1:8" x14ac:dyDescent="0.3">
      <c r="A42" s="1" t="s">
        <v>312</v>
      </c>
      <c r="B42" s="2"/>
      <c r="C42" s="2"/>
      <c r="D42" s="3"/>
      <c r="E42" s="3"/>
      <c r="F42" s="4"/>
      <c r="G42" s="277" t="s">
        <v>0</v>
      </c>
      <c r="H42" s="277"/>
    </row>
    <row r="43" spans="1:8" x14ac:dyDescent="0.3">
      <c r="A43" s="13" t="s">
        <v>1</v>
      </c>
      <c r="B43" s="14" t="s">
        <v>2</v>
      </c>
      <c r="C43" s="14" t="s">
        <v>3</v>
      </c>
      <c r="D43" s="28" t="s">
        <v>4</v>
      </c>
      <c r="E43" s="28" t="s">
        <v>5</v>
      </c>
      <c r="F43" s="4"/>
      <c r="G43" s="5" t="s">
        <v>6</v>
      </c>
      <c r="H43" s="6">
        <f>SUM(Tabla1103453454455456479108135149219379385[Total costo])</f>
        <v>7000</v>
      </c>
    </row>
    <row r="44" spans="1:8" x14ac:dyDescent="0.3">
      <c r="A44" s="7" t="s">
        <v>310</v>
      </c>
      <c r="B44" s="8" t="s">
        <v>107</v>
      </c>
      <c r="C44" s="9">
        <v>2</v>
      </c>
      <c r="D44" s="10">
        <f>+VLOOKUP(Tabla1103453454455456479108135149219379385[[#This Row],[Ingrediente]],Tabla34[#All],3,0)</f>
        <v>3500</v>
      </c>
      <c r="E44" s="11">
        <f>+Tabla1103453454455456479108135149219379385[[#This Row],[Costo]]*Tabla1103453454455456479108135149219379385[[#This Row],[Cant.]]</f>
        <v>7000</v>
      </c>
      <c r="F44" s="4"/>
      <c r="G44" s="5" t="s">
        <v>113</v>
      </c>
      <c r="H44" s="12"/>
    </row>
    <row r="45" spans="1:8" x14ac:dyDescent="0.3">
      <c r="A45" s="13"/>
      <c r="B45" s="14"/>
      <c r="C45" s="14"/>
      <c r="D45" s="15"/>
      <c r="E45" s="15">
        <f>SUBTOTAL(109,Tabla1103453454455456479108135149219379385[Total costo])</f>
        <v>7000</v>
      </c>
      <c r="F45" s="4"/>
      <c r="G45" s="5" t="s">
        <v>9</v>
      </c>
      <c r="H45" s="12">
        <f>+H43+H44</f>
        <v>7000</v>
      </c>
    </row>
    <row r="46" spans="1:8" x14ac:dyDescent="0.3">
      <c r="F46" s="4"/>
      <c r="G46" s="17" t="s">
        <v>10</v>
      </c>
      <c r="H46" s="18">
        <v>28000</v>
      </c>
    </row>
    <row r="47" spans="1:8" x14ac:dyDescent="0.3">
      <c r="F47" s="4"/>
      <c r="G47" s="5" t="s">
        <v>11</v>
      </c>
      <c r="H47" s="12">
        <f>+H46/1.08*0.08</f>
        <v>2074.0740740740739</v>
      </c>
    </row>
    <row r="48" spans="1:8" x14ac:dyDescent="0.3">
      <c r="F48" s="4"/>
      <c r="G48" s="5" t="s">
        <v>12</v>
      </c>
      <c r="H48" s="12">
        <f>+H46-H47</f>
        <v>25925.925925925927</v>
      </c>
    </row>
    <row r="49" spans="1:8" x14ac:dyDescent="0.3">
      <c r="F49" s="4"/>
      <c r="G49" s="5" t="s">
        <v>13</v>
      </c>
      <c r="H49" s="19">
        <f>+H45/H48</f>
        <v>0.26999999999999996</v>
      </c>
    </row>
    <row r="50" spans="1:8" x14ac:dyDescent="0.3">
      <c r="F50" s="4"/>
      <c r="G50" s="5" t="s">
        <v>14</v>
      </c>
      <c r="H50" s="20">
        <f>+H48-H45</f>
        <v>18925.925925925927</v>
      </c>
    </row>
    <row r="51" spans="1:8" x14ac:dyDescent="0.3">
      <c r="F51" s="4"/>
      <c r="G51" s="5" t="s">
        <v>15</v>
      </c>
      <c r="H51" s="22">
        <f>+H50/H45</f>
        <v>2.7037037037037037</v>
      </c>
    </row>
    <row r="53" spans="1:8" x14ac:dyDescent="0.3">
      <c r="A53" s="1" t="s">
        <v>772</v>
      </c>
      <c r="B53" s="2"/>
      <c r="C53" s="2"/>
      <c r="D53" s="3"/>
      <c r="E53" s="3"/>
      <c r="F53" s="4"/>
      <c r="G53" s="277" t="s">
        <v>0</v>
      </c>
      <c r="H53" s="277"/>
    </row>
    <row r="54" spans="1:8" x14ac:dyDescent="0.3">
      <c r="A54" s="13" t="s">
        <v>1</v>
      </c>
      <c r="B54" s="14" t="s">
        <v>2</v>
      </c>
      <c r="C54" s="14" t="s">
        <v>3</v>
      </c>
      <c r="D54" s="28" t="s">
        <v>4</v>
      </c>
      <c r="E54" s="28" t="s">
        <v>5</v>
      </c>
      <c r="F54" s="4"/>
      <c r="G54" s="5" t="s">
        <v>6</v>
      </c>
      <c r="H54" s="6">
        <f>SUM(Tabla110345345445545647910813514921937938671[Total costo])</f>
        <v>191999.99999993999</v>
      </c>
    </row>
    <row r="55" spans="1:8" x14ac:dyDescent="0.3">
      <c r="A55" s="7" t="s">
        <v>636</v>
      </c>
      <c r="B55" s="8" t="s">
        <v>349</v>
      </c>
      <c r="C55" s="9">
        <v>22</v>
      </c>
      <c r="D55" s="10">
        <f>+VLOOKUP(Tabla110345345445545647910813514921937938671[[#This Row],[Ingrediente]],Tabla34[#All],3,0)</f>
        <v>8727.2727272699995</v>
      </c>
      <c r="E55" s="11">
        <f>+Tabla110345345445545647910813514921937938671[[#This Row],[Costo]]*Tabla110345345445545647910813514921937938671[[#This Row],[Cant.]]</f>
        <v>191999.99999993999</v>
      </c>
      <c r="F55" s="4"/>
      <c r="G55" s="5" t="s">
        <v>113</v>
      </c>
      <c r="H55" s="12"/>
    </row>
    <row r="56" spans="1:8" x14ac:dyDescent="0.3">
      <c r="A56" s="13"/>
      <c r="B56" s="14"/>
      <c r="C56" s="14"/>
      <c r="D56" s="15"/>
      <c r="E56" s="15">
        <f>SUBTOTAL(109,Tabla110345345445545647910813514921937938671[Total costo])</f>
        <v>191999.99999993999</v>
      </c>
      <c r="F56" s="4"/>
      <c r="G56" s="5" t="s">
        <v>9</v>
      </c>
      <c r="H56" s="12">
        <f>+H54+H55</f>
        <v>191999.99999993999</v>
      </c>
    </row>
    <row r="57" spans="1:8" x14ac:dyDescent="0.3">
      <c r="F57" s="4"/>
      <c r="G57" s="17" t="s">
        <v>10</v>
      </c>
      <c r="H57" s="18">
        <v>364000</v>
      </c>
    </row>
    <row r="58" spans="1:8" x14ac:dyDescent="0.3">
      <c r="F58" s="4"/>
      <c r="G58" s="5" t="s">
        <v>11</v>
      </c>
      <c r="H58" s="12">
        <f>+H57/1.08*0.08</f>
        <v>26962.962962962964</v>
      </c>
    </row>
    <row r="59" spans="1:8" x14ac:dyDescent="0.3">
      <c r="F59" s="4"/>
      <c r="G59" s="5" t="s">
        <v>12</v>
      </c>
      <c r="H59" s="12">
        <f>+H57-H58</f>
        <v>337037.03703703702</v>
      </c>
    </row>
    <row r="60" spans="1:8" x14ac:dyDescent="0.3">
      <c r="F60" s="4"/>
      <c r="G60" s="5" t="s">
        <v>13</v>
      </c>
      <c r="H60" s="19">
        <f>+H56/H59</f>
        <v>0.56967032967015163</v>
      </c>
    </row>
    <row r="61" spans="1:8" x14ac:dyDescent="0.3">
      <c r="F61" s="4"/>
      <c r="G61" s="5" t="s">
        <v>14</v>
      </c>
      <c r="H61" s="20">
        <f>+H59-H56</f>
        <v>145037.03703709703</v>
      </c>
    </row>
    <row r="62" spans="1:8" x14ac:dyDescent="0.3">
      <c r="F62" s="4"/>
      <c r="G62" s="5" t="s">
        <v>15</v>
      </c>
      <c r="H62" s="22">
        <f>+H61/H56</f>
        <v>0.75540123456844988</v>
      </c>
    </row>
    <row r="68" spans="1:8" x14ac:dyDescent="0.3">
      <c r="A68" s="1" t="s">
        <v>1272</v>
      </c>
      <c r="B68" s="2"/>
      <c r="C68" s="2"/>
      <c r="D68" s="3"/>
      <c r="E68" s="3"/>
      <c r="F68" s="4"/>
      <c r="G68" s="277" t="s">
        <v>0</v>
      </c>
      <c r="H68" s="277"/>
    </row>
    <row r="69" spans="1:8" x14ac:dyDescent="0.3">
      <c r="A69" s="13" t="s">
        <v>1</v>
      </c>
      <c r="B69" s="14" t="s">
        <v>2</v>
      </c>
      <c r="C69" s="14" t="s">
        <v>3</v>
      </c>
      <c r="D69" s="28" t="s">
        <v>4</v>
      </c>
      <c r="E69" s="28" t="s">
        <v>5</v>
      </c>
      <c r="F69" s="4"/>
      <c r="G69" s="5" t="s">
        <v>6</v>
      </c>
      <c r="H69" s="6">
        <f>SUM(Tabla11034534544554564791081351492193793867152[Total costo])</f>
        <v>208000</v>
      </c>
    </row>
    <row r="70" spans="1:8" x14ac:dyDescent="0.3">
      <c r="A70" s="7" t="s">
        <v>1271</v>
      </c>
      <c r="B70" s="8" t="s">
        <v>349</v>
      </c>
      <c r="C70" s="9">
        <v>24</v>
      </c>
      <c r="D70" s="10">
        <f>+VLOOKUP(Tabla11034534544554564791081351492193793867152[[#This Row],[Ingrediente]],Tabla34[#All],3,0)</f>
        <v>8666.6666666666661</v>
      </c>
      <c r="E70" s="11">
        <f>+Tabla11034534544554564791081351492193793867152[[#This Row],[Costo]]*Tabla11034534544554564791081351492193793867152[[#This Row],[Cant.]]</f>
        <v>208000</v>
      </c>
      <c r="F70" s="4"/>
      <c r="G70" s="5" t="s">
        <v>113</v>
      </c>
      <c r="H70" s="12"/>
    </row>
    <row r="71" spans="1:8" x14ac:dyDescent="0.3">
      <c r="A71" s="13"/>
      <c r="B71" s="14"/>
      <c r="C71" s="14"/>
      <c r="D71" s="15"/>
      <c r="E71" s="15">
        <f>SUBTOTAL(109,Tabla11034534544554564791081351492193793867152[Total costo])</f>
        <v>208000</v>
      </c>
      <c r="F71" s="4"/>
      <c r="G71" s="5" t="s">
        <v>9</v>
      </c>
      <c r="H71" s="12">
        <f>+H69+H70</f>
        <v>208000</v>
      </c>
    </row>
    <row r="72" spans="1:8" x14ac:dyDescent="0.3">
      <c r="F72" s="4"/>
      <c r="G72" s="17" t="s">
        <v>10</v>
      </c>
      <c r="H72" s="18">
        <v>364000</v>
      </c>
    </row>
    <row r="73" spans="1:8" x14ac:dyDescent="0.3">
      <c r="F73" s="4"/>
      <c r="G73" s="5" t="s">
        <v>11</v>
      </c>
      <c r="H73" s="12">
        <f>+H72/1.08*0.08</f>
        <v>26962.962962962964</v>
      </c>
    </row>
    <row r="74" spans="1:8" x14ac:dyDescent="0.3">
      <c r="F74" s="4"/>
      <c r="G74" s="5" t="s">
        <v>12</v>
      </c>
      <c r="H74" s="12">
        <f>+H72-H73</f>
        <v>337037.03703703702</v>
      </c>
    </row>
    <row r="75" spans="1:8" x14ac:dyDescent="0.3">
      <c r="F75" s="4"/>
      <c r="G75" s="5" t="s">
        <v>13</v>
      </c>
      <c r="H75" s="19">
        <f>+H71/H74</f>
        <v>0.61714285714285722</v>
      </c>
    </row>
    <row r="76" spans="1:8" x14ac:dyDescent="0.3">
      <c r="F76" s="4"/>
      <c r="G76" s="5" t="s">
        <v>14</v>
      </c>
      <c r="H76" s="20">
        <f>+H74-H71</f>
        <v>129037.03703703702</v>
      </c>
    </row>
    <row r="77" spans="1:8" x14ac:dyDescent="0.3">
      <c r="F77" s="4"/>
      <c r="G77" s="5" t="s">
        <v>15</v>
      </c>
      <c r="H77" s="22">
        <f>+H76/H71</f>
        <v>0.62037037037037035</v>
      </c>
    </row>
    <row r="81" spans="1:8" x14ac:dyDescent="0.3">
      <c r="A81" s="1" t="s">
        <v>1273</v>
      </c>
      <c r="B81" s="2"/>
      <c r="C81" s="2"/>
      <c r="D81" s="3"/>
      <c r="E81" s="3"/>
      <c r="F81" s="4"/>
      <c r="G81" s="277" t="s">
        <v>0</v>
      </c>
      <c r="H81" s="277"/>
    </row>
    <row r="82" spans="1:8" x14ac:dyDescent="0.3">
      <c r="A82" s="13" t="s">
        <v>1</v>
      </c>
      <c r="B82" s="14" t="s">
        <v>2</v>
      </c>
      <c r="C82" s="14" t="s">
        <v>3</v>
      </c>
      <c r="D82" s="28" t="s">
        <v>4</v>
      </c>
      <c r="E82" s="28" t="s">
        <v>5</v>
      </c>
      <c r="F82" s="4"/>
      <c r="G82" s="5" t="s">
        <v>6</v>
      </c>
      <c r="H82" s="6">
        <f>SUM(Tabla1103453454455456479108135149219379386715270[Total costo])</f>
        <v>17333.333333333332</v>
      </c>
    </row>
    <row r="83" spans="1:8" x14ac:dyDescent="0.3">
      <c r="A83" s="7" t="s">
        <v>1271</v>
      </c>
      <c r="B83" s="8" t="s">
        <v>349</v>
      </c>
      <c r="C83" s="9">
        <v>2</v>
      </c>
      <c r="D83" s="10">
        <f>+VLOOKUP(Tabla1103453454455456479108135149219379386715270[[#This Row],[Ingrediente]],Tabla34[#All],3,0)</f>
        <v>8666.6666666666661</v>
      </c>
      <c r="E83" s="11">
        <f>+Tabla1103453454455456479108135149219379386715270[[#This Row],[Costo]]*Tabla1103453454455456479108135149219379386715270[[#This Row],[Cant.]]</f>
        <v>17333.333333333332</v>
      </c>
      <c r="F83" s="4"/>
      <c r="G83" s="5" t="s">
        <v>113</v>
      </c>
      <c r="H83" s="12"/>
    </row>
    <row r="84" spans="1:8" x14ac:dyDescent="0.3">
      <c r="A84" s="13"/>
      <c r="B84" s="14"/>
      <c r="C84" s="14"/>
      <c r="D84" s="15"/>
      <c r="E84" s="15">
        <f>SUBTOTAL(109,Tabla1103453454455456479108135149219379386715270[Total costo])</f>
        <v>17333.333333333332</v>
      </c>
      <c r="F84" s="4"/>
      <c r="G84" s="5" t="s">
        <v>9</v>
      </c>
      <c r="H84" s="12">
        <f>+H82+H83</f>
        <v>17333.333333333332</v>
      </c>
    </row>
    <row r="85" spans="1:8" x14ac:dyDescent="0.3">
      <c r="F85" s="4"/>
      <c r="G85" s="17" t="s">
        <v>10</v>
      </c>
      <c r="H85" s="18">
        <v>364000</v>
      </c>
    </row>
    <row r="86" spans="1:8" x14ac:dyDescent="0.3">
      <c r="F86" s="4"/>
      <c r="G86" s="5" t="s">
        <v>11</v>
      </c>
      <c r="H86" s="12">
        <f>+H85/1.08*0.08</f>
        <v>26962.962962962964</v>
      </c>
    </row>
    <row r="87" spans="1:8" x14ac:dyDescent="0.3">
      <c r="F87" s="4"/>
      <c r="G87" s="5" t="s">
        <v>12</v>
      </c>
      <c r="H87" s="12">
        <f>+H85-H86</f>
        <v>337037.03703703702</v>
      </c>
    </row>
    <row r="88" spans="1:8" x14ac:dyDescent="0.3">
      <c r="F88" s="4"/>
      <c r="G88" s="5" t="s">
        <v>13</v>
      </c>
      <c r="H88" s="19">
        <f>+H84/H87</f>
        <v>5.1428571428571428E-2</v>
      </c>
    </row>
    <row r="89" spans="1:8" x14ac:dyDescent="0.3">
      <c r="F89" s="4"/>
      <c r="G89" s="5" t="s">
        <v>14</v>
      </c>
      <c r="H89" s="20">
        <f>+H87-H84</f>
        <v>319703.70370370371</v>
      </c>
    </row>
    <row r="90" spans="1:8" x14ac:dyDescent="0.3">
      <c r="F90" s="4"/>
      <c r="G90" s="5" t="s">
        <v>15</v>
      </c>
      <c r="H90" s="22">
        <f>+H89/H84</f>
        <v>18.444444444444446</v>
      </c>
    </row>
  </sheetData>
  <mergeCells count="7">
    <mergeCell ref="G68:H68"/>
    <mergeCell ref="G81:H81"/>
    <mergeCell ref="G53:H53"/>
    <mergeCell ref="G6:H6"/>
    <mergeCell ref="G18:H18"/>
    <mergeCell ref="G29:H29"/>
    <mergeCell ref="G42:H42"/>
  </mergeCells>
  <conditionalFormatting sqref="H13">
    <cfRule type="cellIs" dxfId="355" priority="19" operator="lessThan">
      <formula>0.3</formula>
    </cfRule>
    <cfRule type="cellIs" dxfId="354" priority="20" operator="greaterThan">
      <formula>0.3</formula>
    </cfRule>
  </conditionalFormatting>
  <conditionalFormatting sqref="H25">
    <cfRule type="cellIs" dxfId="353" priority="17" operator="lessThan">
      <formula>0.3</formula>
    </cfRule>
    <cfRule type="cellIs" dxfId="352" priority="18" operator="greaterThan">
      <formula>0.3</formula>
    </cfRule>
  </conditionalFormatting>
  <conditionalFormatting sqref="H36">
    <cfRule type="cellIs" dxfId="351" priority="15" operator="lessThan">
      <formula>0.3</formula>
    </cfRule>
    <cfRule type="cellIs" dxfId="350" priority="16" operator="greaterThan">
      <formula>0.3</formula>
    </cfRule>
  </conditionalFormatting>
  <conditionalFormatting sqref="H49">
    <cfRule type="cellIs" dxfId="349" priority="11" operator="lessThan">
      <formula>0.3</formula>
    </cfRule>
    <cfRule type="cellIs" dxfId="348" priority="12" operator="greaterThan">
      <formula>0.3</formula>
    </cfRule>
  </conditionalFormatting>
  <conditionalFormatting sqref="H60">
    <cfRule type="cellIs" dxfId="347" priority="5" operator="lessThan">
      <formula>0.3</formula>
    </cfRule>
    <cfRule type="cellIs" dxfId="346" priority="6" operator="greaterThan">
      <formula>0.3</formula>
    </cfRule>
  </conditionalFormatting>
  <conditionalFormatting sqref="H75">
    <cfRule type="cellIs" dxfId="345" priority="3" operator="lessThan">
      <formula>0.3</formula>
    </cfRule>
    <cfRule type="cellIs" dxfId="344" priority="4" operator="greaterThan">
      <formula>0.3</formula>
    </cfRule>
  </conditionalFormatting>
  <conditionalFormatting sqref="H88">
    <cfRule type="cellIs" dxfId="343" priority="1" operator="lessThan">
      <formula>0.3</formula>
    </cfRule>
    <cfRule type="cellIs" dxfId="342" priority="2" operator="greaterThan">
      <formula>0.3</formula>
    </cfRule>
  </conditionalFormatting>
  <pageMargins left="0.7" right="0.7" top="0.75" bottom="0.75" header="0.3" footer="0.3"/>
  <drawing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AF3B7-9A0A-4917-AF23-29AF9254D40D}">
  <dimension ref="B6:K50"/>
  <sheetViews>
    <sheetView showGridLines="0" workbookViewId="0">
      <selection activeCell="G8" sqref="G8"/>
    </sheetView>
  </sheetViews>
  <sheetFormatPr baseColWidth="10" defaultRowHeight="14.4" x14ac:dyDescent="0.3"/>
  <cols>
    <col min="1" max="1" width="6.33203125" customWidth="1"/>
    <col min="2" max="2" width="40.109375" bestFit="1" customWidth="1"/>
    <col min="3" max="3" width="7.77734375" customWidth="1"/>
    <col min="4" max="4" width="11.5546875" bestFit="1" customWidth="1"/>
    <col min="5" max="5" width="7.77734375" customWidth="1"/>
    <col min="6" max="6" width="11.5546875" bestFit="1" customWidth="1"/>
    <col min="7" max="8" width="10.77734375" customWidth="1"/>
    <col min="9" max="9" width="3.77734375" customWidth="1"/>
    <col min="10" max="10" width="26.109375" bestFit="1" customWidth="1"/>
  </cols>
  <sheetData>
    <row r="6" spans="2:11" x14ac:dyDescent="0.3">
      <c r="B6" s="1" t="s">
        <v>870</v>
      </c>
      <c r="C6" s="2"/>
      <c r="D6" s="2"/>
      <c r="E6" s="3"/>
      <c r="F6" s="3"/>
      <c r="G6" s="99"/>
      <c r="H6" s="99"/>
      <c r="I6" s="4"/>
      <c r="J6" s="277" t="s">
        <v>0</v>
      </c>
      <c r="K6" s="277"/>
    </row>
    <row r="7" spans="2:11" s="108" customFormat="1" ht="26.4" x14ac:dyDescent="0.3">
      <c r="B7" s="100" t="s">
        <v>1</v>
      </c>
      <c r="C7" s="87" t="s">
        <v>2</v>
      </c>
      <c r="D7" s="87" t="s">
        <v>571</v>
      </c>
      <c r="E7" s="87" t="s">
        <v>572</v>
      </c>
      <c r="F7" s="87" t="s">
        <v>573</v>
      </c>
      <c r="G7" s="101" t="s">
        <v>4</v>
      </c>
      <c r="H7" s="101" t="s">
        <v>5</v>
      </c>
      <c r="I7" s="105"/>
      <c r="J7" s="106" t="s">
        <v>6</v>
      </c>
      <c r="K7" s="107">
        <f>SUM(Tabla1103453454455456479108135112172299306316200[Total costo])</f>
        <v>8897.6391940199992</v>
      </c>
    </row>
    <row r="8" spans="2:11" x14ac:dyDescent="0.3">
      <c r="B8" s="7" t="s">
        <v>368</v>
      </c>
      <c r="C8" s="8" t="s">
        <v>188</v>
      </c>
      <c r="D8" s="9">
        <v>119.99999699999999</v>
      </c>
      <c r="E8" s="9">
        <v>10</v>
      </c>
      <c r="F8" s="9">
        <v>133.33332999999999</v>
      </c>
      <c r="G8" s="10">
        <f>+VLOOKUP(Tabla1103453454455456479108135112172299306316200[[#This Row],[Ingrediente]],Tabla34[#All],3,0)</f>
        <v>37</v>
      </c>
      <c r="H8" s="11">
        <f>+Tabla1103453454455456479108135112172299306316200[[#This Row],[Costo]]*Tabla1103453454455456479108135112172299306316200[[#This Row],[Unidades]]</f>
        <v>4933.3332099999998</v>
      </c>
      <c r="I8" s="4"/>
      <c r="J8" s="5" t="s">
        <v>113</v>
      </c>
      <c r="K8" s="12">
        <f>+K7*5%</f>
        <v>444.88195970099997</v>
      </c>
    </row>
    <row r="9" spans="2:11" x14ac:dyDescent="0.3">
      <c r="B9" s="21" t="s">
        <v>526</v>
      </c>
      <c r="C9" s="8" t="s">
        <v>188</v>
      </c>
      <c r="D9" s="9">
        <v>20</v>
      </c>
      <c r="E9" s="9">
        <v>0</v>
      </c>
      <c r="F9" s="9">
        <v>20</v>
      </c>
      <c r="G9" s="10">
        <f>+VLOOKUP(Tabla1103453454455456479108135112172299306316200[[#This Row],[Ingrediente]],Tabla34[#All],3,0)</f>
        <v>23.747277729999997</v>
      </c>
      <c r="H9" s="11">
        <f>+Tabla1103453454455456479108135112172299306316200[[#This Row],[Costo]]*Tabla1103453454455456479108135112172299306316200[[#This Row],[Unidades]]</f>
        <v>474.94555459999992</v>
      </c>
      <c r="I9" s="4"/>
      <c r="J9" s="5" t="s">
        <v>9</v>
      </c>
      <c r="K9" s="12">
        <f>+K7+K8</f>
        <v>9342.5211537209998</v>
      </c>
    </row>
    <row r="10" spans="2:11" x14ac:dyDescent="0.3">
      <c r="B10" s="21" t="s">
        <v>402</v>
      </c>
      <c r="C10" s="8" t="s">
        <v>188</v>
      </c>
      <c r="D10" s="9">
        <v>20</v>
      </c>
      <c r="E10" s="9">
        <v>0</v>
      </c>
      <c r="F10" s="9">
        <v>20</v>
      </c>
      <c r="G10" s="10">
        <f>+VLOOKUP(Tabla1103453454455456479108135112172299306316200[[#This Row],[Ingrediente]],Tabla34[#All],3,0)</f>
        <v>13.050000000000002</v>
      </c>
      <c r="H10" s="11">
        <f>+Tabla1103453454455456479108135112172299306316200[[#This Row],[Costo]]*Tabla1103453454455456479108135112172299306316200[[#This Row],[Unidades]]</f>
        <v>261.00000000000006</v>
      </c>
      <c r="I10" s="4"/>
      <c r="J10" s="17" t="s">
        <v>10</v>
      </c>
      <c r="K10" s="18">
        <v>32000</v>
      </c>
    </row>
    <row r="11" spans="2:11" x14ac:dyDescent="0.3">
      <c r="B11" s="21" t="s">
        <v>35</v>
      </c>
      <c r="C11" s="8" t="s">
        <v>188</v>
      </c>
      <c r="D11" s="9">
        <v>10</v>
      </c>
      <c r="E11" s="9">
        <v>0</v>
      </c>
      <c r="F11" s="9">
        <v>10</v>
      </c>
      <c r="G11" s="10">
        <f>+VLOOKUP(Tabla1103453454455456479108135112172299306316200[[#This Row],[Ingrediente]],Tabla34[#All],3,0)</f>
        <v>4.7460000000000004</v>
      </c>
      <c r="H11" s="11">
        <f>+Tabla1103453454455456479108135112172299306316200[[#This Row],[Costo]]*Tabla1103453454455456479108135112172299306316200[[#This Row],[Unidades]]</f>
        <v>47.460000000000008</v>
      </c>
      <c r="I11" s="4"/>
      <c r="J11" s="5" t="s">
        <v>11</v>
      </c>
      <c r="K11" s="12">
        <f>+K10/1.08*0.08</f>
        <v>2370.3703703703704</v>
      </c>
    </row>
    <row r="12" spans="2:11" x14ac:dyDescent="0.3">
      <c r="B12" s="7" t="s">
        <v>393</v>
      </c>
      <c r="C12" s="8" t="s">
        <v>188</v>
      </c>
      <c r="D12" s="9">
        <v>1</v>
      </c>
      <c r="E12" s="9">
        <v>0</v>
      </c>
      <c r="F12" s="9">
        <v>1</v>
      </c>
      <c r="G12" s="10">
        <f>+VLOOKUP(Tabla1103453454455456479108135112172299306316200[[#This Row],[Ingrediente]],Tabla34[#All],3,0)</f>
        <v>18.828275860000002</v>
      </c>
      <c r="H12" s="11">
        <f>+Tabla1103453454455456479108135112172299306316200[[#This Row],[Costo]]*Tabla1103453454455456479108135112172299306316200[[#This Row],[Unidades]]</f>
        <v>18.828275860000002</v>
      </c>
      <c r="I12" s="4"/>
      <c r="J12" s="5" t="s">
        <v>12</v>
      </c>
      <c r="K12" s="12">
        <f>+K10-K11</f>
        <v>29629.629629629628</v>
      </c>
    </row>
    <row r="13" spans="2:11" x14ac:dyDescent="0.3">
      <c r="B13" s="7" t="s">
        <v>482</v>
      </c>
      <c r="C13" s="8" t="s">
        <v>188</v>
      </c>
      <c r="D13" s="9">
        <v>1</v>
      </c>
      <c r="E13" s="9">
        <v>0</v>
      </c>
      <c r="F13" s="9">
        <v>1</v>
      </c>
      <c r="G13" s="10">
        <f>+VLOOKUP(Tabla1103453454455456479108135112172299306316200[[#This Row],[Ingrediente]],Tabla34[#All],3,0)</f>
        <v>2.6999075600000002</v>
      </c>
      <c r="H13" s="11">
        <f>+Tabla1103453454455456479108135112172299306316200[[#This Row],[Costo]]*Tabla1103453454455456479108135112172299306316200[[#This Row],[Unidades]]</f>
        <v>2.6999075600000002</v>
      </c>
      <c r="I13" s="4"/>
      <c r="J13" s="5" t="s">
        <v>13</v>
      </c>
      <c r="K13" s="19">
        <f>+K9/K12</f>
        <v>0.31531008893808377</v>
      </c>
    </row>
    <row r="14" spans="2:11" x14ac:dyDescent="0.3">
      <c r="B14" s="7" t="s">
        <v>371</v>
      </c>
      <c r="C14" s="8" t="s">
        <v>68</v>
      </c>
      <c r="D14" s="9">
        <v>150</v>
      </c>
      <c r="E14" s="9">
        <v>0</v>
      </c>
      <c r="F14" s="9">
        <v>150</v>
      </c>
      <c r="G14" s="10">
        <f>+VLOOKUP(Tabla1103453454455456479108135112172299306316200[[#This Row],[Ingrediente]],Tabla34[#All],3,0)</f>
        <v>21.062481640000001</v>
      </c>
      <c r="H14" s="11">
        <f>+Tabla1103453454455456479108135112172299306316200[[#This Row],[Costo]]*Tabla1103453454455456479108135112172299306316200[[#This Row],[Unidades]]</f>
        <v>3159.3722460000004</v>
      </c>
      <c r="I14" s="4"/>
      <c r="J14" s="5" t="s">
        <v>14</v>
      </c>
      <c r="K14" s="20">
        <f>+K12-K9</f>
        <v>20287.10847590863</v>
      </c>
    </row>
    <row r="15" spans="2:11" x14ac:dyDescent="0.3">
      <c r="B15" s="13"/>
      <c r="C15" s="14"/>
      <c r="D15" s="14"/>
      <c r="E15" s="14"/>
      <c r="F15" s="14"/>
      <c r="G15" s="15"/>
      <c r="H15" s="15">
        <f>SUBTOTAL(109,Tabla1103453454455456479108135112172299306316200[Total costo])</f>
        <v>8897.6391940199992</v>
      </c>
      <c r="I15" s="4"/>
      <c r="J15" s="5" t="s">
        <v>15</v>
      </c>
      <c r="K15" s="22">
        <f>+K14/K9</f>
        <v>2.1714811389887565</v>
      </c>
    </row>
    <row r="16" spans="2:11" x14ac:dyDescent="0.3">
      <c r="I16" s="23"/>
    </row>
    <row r="17" spans="2:11" x14ac:dyDescent="0.3">
      <c r="G17" s="4"/>
      <c r="H17" s="4"/>
      <c r="I17" s="4"/>
    </row>
    <row r="18" spans="2:11" x14ac:dyDescent="0.3">
      <c r="B18" s="16" t="s">
        <v>871</v>
      </c>
      <c r="C18" s="2"/>
      <c r="D18" s="2"/>
      <c r="E18" s="3"/>
      <c r="F18" s="3"/>
      <c r="G18" s="99"/>
      <c r="H18" s="99"/>
      <c r="I18" s="24"/>
      <c r="J18" s="277" t="s">
        <v>0</v>
      </c>
      <c r="K18" s="277"/>
    </row>
    <row r="19" spans="2:11" s="108" customFormat="1" ht="26.4" x14ac:dyDescent="0.3">
      <c r="B19" s="100" t="s">
        <v>1</v>
      </c>
      <c r="C19" s="87" t="s">
        <v>2</v>
      </c>
      <c r="D19" s="87" t="s">
        <v>571</v>
      </c>
      <c r="E19" s="87" t="s">
        <v>572</v>
      </c>
      <c r="F19" s="87" t="s">
        <v>573</v>
      </c>
      <c r="G19" s="101" t="s">
        <v>4</v>
      </c>
      <c r="H19" s="101" t="s">
        <v>5</v>
      </c>
      <c r="J19" s="5" t="s">
        <v>6</v>
      </c>
      <c r="K19" s="6">
        <f>SUM(Tabla1103453454455456479108129136156173300307317201[Total costo])</f>
        <v>7064.3059840200003</v>
      </c>
    </row>
    <row r="20" spans="2:11" x14ac:dyDescent="0.3">
      <c r="B20" s="7" t="s">
        <v>526</v>
      </c>
      <c r="C20" s="8" t="s">
        <v>188</v>
      </c>
      <c r="D20" s="9">
        <v>20</v>
      </c>
      <c r="E20" s="9">
        <v>0</v>
      </c>
      <c r="F20" s="9">
        <v>20</v>
      </c>
      <c r="G20" s="10">
        <f>+VLOOKUP(Tabla1103453454455456479108129136156173300307317201[[#This Row],[Ingrediente]],Tabla34[#All],3,0)</f>
        <v>23.747277729999997</v>
      </c>
      <c r="H20" s="11">
        <f>+Tabla1103453454455456479108129136156173300307317201[[#This Row],[Costo]]*Tabla1103453454455456479108129136156173300307317201[[#This Row],[Unidades]]</f>
        <v>474.94555459999992</v>
      </c>
      <c r="J20" s="106" t="s">
        <v>113</v>
      </c>
      <c r="K20" s="107">
        <f>+K19*5%</f>
        <v>353.21529920100005</v>
      </c>
    </row>
    <row r="21" spans="2:11" x14ac:dyDescent="0.3">
      <c r="B21" s="7" t="s">
        <v>402</v>
      </c>
      <c r="C21" s="8" t="s">
        <v>188</v>
      </c>
      <c r="D21" s="9">
        <v>20</v>
      </c>
      <c r="E21" s="9">
        <v>0</v>
      </c>
      <c r="F21" s="9">
        <v>20</v>
      </c>
      <c r="G21" s="10">
        <f>+VLOOKUP(Tabla1103453454455456479108129136156173300307317201[[#This Row],[Ingrediente]],Tabla34[#All],3,0)</f>
        <v>13.050000000000002</v>
      </c>
      <c r="H21" s="11">
        <f>+Tabla1103453454455456479108129136156173300307317201[[#This Row],[Costo]]*Tabla1103453454455456479108129136156173300307317201[[#This Row],[Unidades]]</f>
        <v>261.00000000000006</v>
      </c>
      <c r="J21" s="5" t="s">
        <v>9</v>
      </c>
      <c r="K21" s="12">
        <f>+K19+K20</f>
        <v>7417.521283221</v>
      </c>
    </row>
    <row r="22" spans="2:11" x14ac:dyDescent="0.3">
      <c r="B22" s="21" t="s">
        <v>35</v>
      </c>
      <c r="C22" s="8" t="s">
        <v>188</v>
      </c>
      <c r="D22" s="9">
        <v>10</v>
      </c>
      <c r="E22" s="9">
        <v>0</v>
      </c>
      <c r="F22" s="9">
        <v>10</v>
      </c>
      <c r="G22" s="10">
        <f>+VLOOKUP(Tabla1103453454455456479108129136156173300307317201[[#This Row],[Ingrediente]],Tabla34[#All],3,0)</f>
        <v>4.7460000000000004</v>
      </c>
      <c r="H22" s="11">
        <f>+Tabla1103453454455456479108129136156173300307317201[[#This Row],[Costo]]*Tabla1103453454455456479108129136156173300307317201[[#This Row],[Unidades]]</f>
        <v>47.460000000000008</v>
      </c>
      <c r="J22" s="17" t="s">
        <v>10</v>
      </c>
      <c r="K22" s="18">
        <v>32000</v>
      </c>
    </row>
    <row r="23" spans="2:11" x14ac:dyDescent="0.3">
      <c r="B23" s="7" t="s">
        <v>393</v>
      </c>
      <c r="C23" s="8" t="s">
        <v>188</v>
      </c>
      <c r="D23" s="9">
        <v>1</v>
      </c>
      <c r="E23" s="9">
        <v>0</v>
      </c>
      <c r="F23" s="9">
        <v>1</v>
      </c>
      <c r="G23" s="10">
        <f>+VLOOKUP(Tabla1103453454455456479108129136156173300307317201[[#This Row],[Ingrediente]],Tabla34[#All],3,0)</f>
        <v>18.828275860000002</v>
      </c>
      <c r="H23" s="11">
        <f>+Tabla1103453454455456479108129136156173300307317201[[#This Row],[Costo]]*Tabla1103453454455456479108129136156173300307317201[[#This Row],[Unidades]]</f>
        <v>18.828275860000002</v>
      </c>
      <c r="J23" s="5" t="s">
        <v>11</v>
      </c>
      <c r="K23" s="12">
        <f>+K22/1.08*0.08</f>
        <v>2370.3703703703704</v>
      </c>
    </row>
    <row r="24" spans="2:11" x14ac:dyDescent="0.3">
      <c r="B24" s="21" t="s">
        <v>482</v>
      </c>
      <c r="C24" s="8" t="s">
        <v>188</v>
      </c>
      <c r="D24" s="9">
        <v>1</v>
      </c>
      <c r="E24" s="9">
        <v>0</v>
      </c>
      <c r="F24" s="9">
        <v>1</v>
      </c>
      <c r="G24" s="10">
        <f>+VLOOKUP(Tabla1103453454455456479108129136156173300307317201[[#This Row],[Ingrediente]],Tabla34[#All],3,0)</f>
        <v>2.6999075600000002</v>
      </c>
      <c r="H24" s="11">
        <f>+Tabla1103453454455456479108129136156173300307317201[[#This Row],[Costo]]*Tabla1103453454455456479108129136156173300307317201[[#This Row],[Unidades]]</f>
        <v>2.6999075600000002</v>
      </c>
      <c r="J24" s="5" t="s">
        <v>12</v>
      </c>
      <c r="K24" s="12">
        <f>+K22-K23</f>
        <v>29629.629629629628</v>
      </c>
    </row>
    <row r="25" spans="2:11" x14ac:dyDescent="0.3">
      <c r="B25" s="21" t="s">
        <v>386</v>
      </c>
      <c r="C25" s="8" t="s">
        <v>188</v>
      </c>
      <c r="D25" s="9">
        <v>100</v>
      </c>
      <c r="E25" s="9">
        <v>50</v>
      </c>
      <c r="F25" s="9">
        <v>200</v>
      </c>
      <c r="G25" s="10">
        <f>+VLOOKUP(Tabla1103453454455456479108129136156173300307317201[[#This Row],[Ingrediente]],Tabla34[#All],3,0)</f>
        <v>15.5</v>
      </c>
      <c r="H25" s="11">
        <f>+Tabla1103453454455456479108129136156173300307317201[[#This Row],[Costo]]*Tabla1103453454455456479108129136156173300307317201[[#This Row],[Unidades]]</f>
        <v>3100</v>
      </c>
      <c r="I25" s="4"/>
      <c r="J25" s="5" t="s">
        <v>13</v>
      </c>
      <c r="K25" s="19">
        <f>+K21/K24</f>
        <v>0.25034134330870877</v>
      </c>
    </row>
    <row r="26" spans="2:11" x14ac:dyDescent="0.3">
      <c r="B26" s="7" t="s">
        <v>371</v>
      </c>
      <c r="C26" s="8" t="s">
        <v>68</v>
      </c>
      <c r="D26" s="9">
        <v>150</v>
      </c>
      <c r="E26" s="9">
        <v>0</v>
      </c>
      <c r="F26" s="9">
        <v>150</v>
      </c>
      <c r="G26" s="10">
        <f>+VLOOKUP(Tabla1103453454455456479108129136156173300307317201[[#This Row],[Ingrediente]],Tabla34[#All],3,0)</f>
        <v>21.062481640000001</v>
      </c>
      <c r="H26" s="11">
        <f>+Tabla1103453454455456479108129136156173300307317201[[#This Row],[Costo]]*Tabla1103453454455456479108129136156173300307317201[[#This Row],[Unidades]]</f>
        <v>3159.3722460000004</v>
      </c>
      <c r="I26" s="4"/>
      <c r="J26" s="5" t="s">
        <v>14</v>
      </c>
      <c r="K26" s="20">
        <f>+K24-K21</f>
        <v>22212.108346408626</v>
      </c>
    </row>
    <row r="27" spans="2:11" x14ac:dyDescent="0.3">
      <c r="B27" s="13"/>
      <c r="C27" s="14"/>
      <c r="D27" s="14"/>
      <c r="E27" s="14"/>
      <c r="F27" s="14"/>
      <c r="G27" s="15"/>
      <c r="H27" s="15">
        <f>SUBTOTAL(109,Tabla1103453454455456479108129136156173300307317201[Total costo])</f>
        <v>7064.3059840200003</v>
      </c>
      <c r="I27" s="23"/>
      <c r="J27" s="5" t="s">
        <v>15</v>
      </c>
      <c r="K27" s="22">
        <f>+K26/K21</f>
        <v>2.994545953869268</v>
      </c>
    </row>
    <row r="28" spans="2:11" x14ac:dyDescent="0.3">
      <c r="I28" s="4"/>
    </row>
    <row r="29" spans="2:11" x14ac:dyDescent="0.3">
      <c r="G29" s="4"/>
      <c r="H29" s="4"/>
      <c r="I29" s="4"/>
    </row>
    <row r="30" spans="2:11" x14ac:dyDescent="0.3">
      <c r="B30" s="1" t="s">
        <v>873</v>
      </c>
      <c r="C30" s="2"/>
      <c r="D30" s="2"/>
      <c r="E30" s="3"/>
      <c r="F30" s="3"/>
      <c r="G30" s="99"/>
      <c r="H30" s="99"/>
      <c r="I30" s="4"/>
      <c r="J30" s="277" t="s">
        <v>0</v>
      </c>
      <c r="K30" s="277"/>
    </row>
    <row r="31" spans="2:11" ht="26.4" x14ac:dyDescent="0.3">
      <c r="B31" s="91" t="s">
        <v>1</v>
      </c>
      <c r="C31" s="14" t="s">
        <v>2</v>
      </c>
      <c r="D31" s="87" t="s">
        <v>571</v>
      </c>
      <c r="E31" s="87" t="s">
        <v>572</v>
      </c>
      <c r="F31" s="87" t="s">
        <v>573</v>
      </c>
      <c r="G31" s="92" t="s">
        <v>4</v>
      </c>
      <c r="H31" s="92" t="s">
        <v>5</v>
      </c>
      <c r="I31" s="4"/>
      <c r="J31" s="5" t="s">
        <v>6</v>
      </c>
      <c r="K31" s="6">
        <f>SUM(Tabla1103453454455456479108130137157174301308318204[Total costo])</f>
        <v>9338.7504294200007</v>
      </c>
    </row>
    <row r="32" spans="2:11" x14ac:dyDescent="0.3">
      <c r="B32" s="7" t="s">
        <v>371</v>
      </c>
      <c r="C32" s="8" t="s">
        <v>68</v>
      </c>
      <c r="D32" s="9">
        <v>150</v>
      </c>
      <c r="E32" s="9">
        <v>0</v>
      </c>
      <c r="F32" s="9">
        <v>150</v>
      </c>
      <c r="G32" s="10">
        <f>+VLOOKUP(Tabla1103453454455456479108130137157174301308318204[[#This Row],[Ingrediente]],INSUMOS!A26:C424,3,0)</f>
        <v>21.062481640000001</v>
      </c>
      <c r="H32" s="11">
        <f>+Tabla1103453454455456479108130137157174301308318204[[#This Row],[Costo]]*Tabla1103453454455456479108130137157174301308318204[[#This Row],[Unidades]]</f>
        <v>3159.3722460000004</v>
      </c>
      <c r="I32" s="4"/>
      <c r="J32" s="5" t="s">
        <v>113</v>
      </c>
      <c r="K32" s="12">
        <f>+K31*5%</f>
        <v>466.93752147100008</v>
      </c>
    </row>
    <row r="33" spans="2:11" x14ac:dyDescent="0.3">
      <c r="B33" s="21" t="s">
        <v>393</v>
      </c>
      <c r="C33" s="8" t="s">
        <v>188</v>
      </c>
      <c r="D33" s="9">
        <v>1</v>
      </c>
      <c r="E33" s="9">
        <v>0</v>
      </c>
      <c r="F33" s="9">
        <v>1</v>
      </c>
      <c r="G33" s="10">
        <f>+VLOOKUP(Tabla1103453454455456479108130137157174301308318204[[#This Row],[Ingrediente]],INSUMOS!A27:C424,3,0)</f>
        <v>18.828275860000002</v>
      </c>
      <c r="H33" s="11">
        <f>+Tabla1103453454455456479108130137157174301308318204[[#This Row],[Costo]]*Tabla1103453454455456479108130137157174301308318204[[#This Row],[Unidades]]</f>
        <v>18.828275860000002</v>
      </c>
      <c r="I33" s="4"/>
      <c r="J33" s="5" t="s">
        <v>9</v>
      </c>
      <c r="K33" s="12">
        <f>+K31+K32</f>
        <v>9805.6879508910006</v>
      </c>
    </row>
    <row r="34" spans="2:11" x14ac:dyDescent="0.3">
      <c r="B34" s="21" t="s">
        <v>420</v>
      </c>
      <c r="C34" s="8" t="s">
        <v>188</v>
      </c>
      <c r="D34" s="9">
        <v>2</v>
      </c>
      <c r="E34" s="9">
        <v>0</v>
      </c>
      <c r="F34" s="9">
        <v>2</v>
      </c>
      <c r="G34" s="10">
        <f>+VLOOKUP(Tabla1103453454455456479108130137157174301308318204[[#This Row],[Ingrediente]],INSUMOS!A28:C424,3,0)</f>
        <v>8.9250000000000007</v>
      </c>
      <c r="H34" s="11">
        <f>+Tabla1103453454455456479108130137157174301308318204[[#This Row],[Costo]]*Tabla1103453454455456479108130137157174301308318204[[#This Row],[Unidades]]</f>
        <v>17.850000000000001</v>
      </c>
      <c r="I34" s="4"/>
      <c r="J34" s="17" t="s">
        <v>10</v>
      </c>
      <c r="K34" s="18">
        <v>32000</v>
      </c>
    </row>
    <row r="35" spans="2:11" x14ac:dyDescent="0.3">
      <c r="B35" s="7" t="s">
        <v>482</v>
      </c>
      <c r="C35" s="8" t="s">
        <v>188</v>
      </c>
      <c r="D35" s="9">
        <v>1</v>
      </c>
      <c r="E35" s="9">
        <v>0</v>
      </c>
      <c r="F35" s="9">
        <v>1</v>
      </c>
      <c r="G35" s="10">
        <f>+VLOOKUP(Tabla1103453454455456479108130137157174301308318204[[#This Row],[Ingrediente]],INSUMOS!A29:C424,3,0)</f>
        <v>2.6999075600000002</v>
      </c>
      <c r="H35" s="11">
        <f>+Tabla1103453454455456479108130137157174301308318204[[#This Row],[Costo]]*Tabla1103453454455456479108130137157174301308318204[[#This Row],[Unidades]]</f>
        <v>2.6999075600000002</v>
      </c>
      <c r="I35" s="4"/>
      <c r="J35" s="5" t="s">
        <v>11</v>
      </c>
      <c r="K35" s="12">
        <f>+K34/1.08*0.08</f>
        <v>2370.3703703703704</v>
      </c>
    </row>
    <row r="36" spans="2:11" x14ac:dyDescent="0.3">
      <c r="B36" s="21" t="s">
        <v>366</v>
      </c>
      <c r="C36" s="8" t="s">
        <v>570</v>
      </c>
      <c r="D36" s="9">
        <v>0.5</v>
      </c>
      <c r="E36" s="9">
        <v>0</v>
      </c>
      <c r="F36" s="9">
        <v>0.5</v>
      </c>
      <c r="G36" s="10">
        <f>+VLOOKUP(Tabla1103453454455456479108130137157174301308318204[[#This Row],[Ingrediente]],INSUMOS!A30:C424,3,0)</f>
        <v>12280</v>
      </c>
      <c r="H36" s="11">
        <f>+Tabla1103453454455456479108130137157174301308318204[[#This Row],[Costo]]*Tabla1103453454455456479108130137157174301308318204[[#This Row],[Unidades]]</f>
        <v>6140</v>
      </c>
      <c r="I36" s="4"/>
      <c r="J36" s="5" t="s">
        <v>12</v>
      </c>
      <c r="K36" s="12">
        <f>+K34-K35</f>
        <v>29629.629629629628</v>
      </c>
    </row>
    <row r="37" spans="2:11" x14ac:dyDescent="0.3">
      <c r="B37" s="13"/>
      <c r="C37" s="14"/>
      <c r="D37" s="14"/>
      <c r="E37" s="14"/>
      <c r="F37" s="14"/>
      <c r="G37" s="15"/>
      <c r="H37" s="15">
        <f>SUBTOTAL(109,Tabla1103453454455456479108130137157174301308318204[Total costo])</f>
        <v>9338.7504294200007</v>
      </c>
      <c r="I37" s="24"/>
      <c r="J37" s="5" t="s">
        <v>13</v>
      </c>
      <c r="K37" s="19">
        <f>+K33/K36</f>
        <v>0.33094196834257128</v>
      </c>
    </row>
    <row r="38" spans="2:11" x14ac:dyDescent="0.3">
      <c r="I38" s="23"/>
      <c r="J38" s="5" t="s">
        <v>14</v>
      </c>
      <c r="K38" s="20">
        <f>+K36-K33</f>
        <v>19823.941678738629</v>
      </c>
    </row>
    <row r="39" spans="2:11" x14ac:dyDescent="0.3">
      <c r="I39" s="23"/>
      <c r="J39" s="5" t="s">
        <v>15</v>
      </c>
      <c r="K39" s="22">
        <f>+K38/K33</f>
        <v>2.0216778035382323</v>
      </c>
    </row>
    <row r="40" spans="2:11" x14ac:dyDescent="0.3">
      <c r="H40" s="4"/>
      <c r="I40" s="24"/>
    </row>
    <row r="41" spans="2:11" x14ac:dyDescent="0.3">
      <c r="H41" s="4"/>
    </row>
    <row r="42" spans="2:11" x14ac:dyDescent="0.3">
      <c r="H42" s="24"/>
    </row>
    <row r="46" spans="2:11" x14ac:dyDescent="0.3">
      <c r="G46" s="4"/>
    </row>
    <row r="47" spans="2:11" x14ac:dyDescent="0.3">
      <c r="G47" s="4"/>
    </row>
    <row r="48" spans="2:11" x14ac:dyDescent="0.3">
      <c r="G48" s="4"/>
    </row>
    <row r="49" spans="7:7" x14ac:dyDescent="0.3">
      <c r="G49" s="4"/>
    </row>
    <row r="50" spans="7:7" x14ac:dyDescent="0.3">
      <c r="G50" s="24"/>
    </row>
  </sheetData>
  <mergeCells count="3">
    <mergeCell ref="J6:K6"/>
    <mergeCell ref="J18:K18"/>
    <mergeCell ref="J30:K30"/>
  </mergeCells>
  <conditionalFormatting sqref="K13">
    <cfRule type="cellIs" dxfId="341" priority="13" operator="lessThan">
      <formula>0.3</formula>
    </cfRule>
    <cfRule type="cellIs" dxfId="340" priority="14" operator="greaterThan">
      <formula>0.3</formula>
    </cfRule>
  </conditionalFormatting>
  <conditionalFormatting sqref="K25">
    <cfRule type="cellIs" dxfId="339" priority="11" operator="lessThan">
      <formula>0.3</formula>
    </cfRule>
    <cfRule type="cellIs" dxfId="338" priority="12" operator="greaterThan">
      <formula>0.3</formula>
    </cfRule>
  </conditionalFormatting>
  <conditionalFormatting sqref="K37">
    <cfRule type="cellIs" dxfId="337" priority="9" operator="lessThan">
      <formula>0.3</formula>
    </cfRule>
    <cfRule type="cellIs" dxfId="336" priority="10" operator="greaterThan">
      <formula>0.3</formula>
    </cfRule>
  </conditionalFormatting>
  <pageMargins left="0.7" right="0.7" top="0.75" bottom="0.75" header="0.3" footer="0.3"/>
  <pageSetup orientation="portrait" horizontalDpi="360" verticalDpi="360" r:id="rId1"/>
  <drawing r:id="rId2"/>
  <tableParts count="3">
    <tablePart r:id="rId3"/>
    <tablePart r:id="rId4"/>
    <tablePart r:id="rId5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2CE34-925A-4CA2-804A-11F5667DBE48}">
  <dimension ref="B6:I149"/>
  <sheetViews>
    <sheetView showGridLines="0" topLeftCell="A127" workbookViewId="0">
      <selection activeCell="B135" sqref="B135"/>
    </sheetView>
  </sheetViews>
  <sheetFormatPr baseColWidth="10" defaultRowHeight="14.4" x14ac:dyDescent="0.3"/>
  <cols>
    <col min="1" max="1" width="6.33203125" customWidth="1"/>
    <col min="2" max="2" width="40.109375" bestFit="1" customWidth="1"/>
    <col min="7" max="7" width="3.5546875" customWidth="1"/>
    <col min="8" max="8" width="27.33203125" bestFit="1" customWidth="1"/>
  </cols>
  <sheetData>
    <row r="6" spans="2:9" x14ac:dyDescent="0.3">
      <c r="B6" s="1" t="s">
        <v>299</v>
      </c>
      <c r="C6" s="2"/>
      <c r="D6" s="2"/>
      <c r="E6" s="3"/>
      <c r="F6" s="3"/>
      <c r="G6" s="4"/>
      <c r="H6" s="277" t="s">
        <v>0</v>
      </c>
      <c r="I6" s="277"/>
    </row>
    <row r="7" spans="2:9" x14ac:dyDescent="0.3">
      <c r="B7" s="13" t="s">
        <v>1</v>
      </c>
      <c r="C7" s="14" t="s">
        <v>2</v>
      </c>
      <c r="D7" s="14" t="s">
        <v>3</v>
      </c>
      <c r="E7" s="28" t="s">
        <v>4</v>
      </c>
      <c r="F7" s="28" t="s">
        <v>5</v>
      </c>
      <c r="G7" s="4"/>
      <c r="H7" s="5" t="s">
        <v>6</v>
      </c>
      <c r="I7" s="6">
        <f>SUM(Tabla11034534544554564791081351121722993063164246276207228336343[Total costo])</f>
        <v>93956</v>
      </c>
    </row>
    <row r="8" spans="2:9" x14ac:dyDescent="0.3">
      <c r="B8" s="7" t="s">
        <v>298</v>
      </c>
      <c r="C8" s="8" t="s">
        <v>61</v>
      </c>
      <c r="D8" s="9">
        <v>1</v>
      </c>
      <c r="E8" s="10">
        <f>+VLOOKUP(Tabla11034534544554564791081351121722993063164246276207228336343[[#This Row],[Ingrediente]],Tabla34[#All],3,0)</f>
        <v>93956</v>
      </c>
      <c r="F8" s="11">
        <f>+Tabla11034534544554564791081351121722993063164246276207228336343[[#This Row],[Costo]]*Tabla11034534544554564791081351121722993063164246276207228336343[[#This Row],[Cant.]]</f>
        <v>93956</v>
      </c>
      <c r="G8" s="4"/>
      <c r="H8" s="5" t="s">
        <v>113</v>
      </c>
      <c r="I8" s="12"/>
    </row>
    <row r="9" spans="2:9" x14ac:dyDescent="0.3">
      <c r="B9" s="13"/>
      <c r="C9" s="14"/>
      <c r="D9" s="14"/>
      <c r="E9" s="15"/>
      <c r="F9" s="15">
        <f>SUBTOTAL(109,Tabla11034534544554564791081351121722993063164246276207228336343[Total costo])</f>
        <v>93956</v>
      </c>
      <c r="G9" s="4"/>
      <c r="H9" s="5" t="s">
        <v>9</v>
      </c>
      <c r="I9" s="12">
        <f>+I7+I8</f>
        <v>93956</v>
      </c>
    </row>
    <row r="10" spans="2:9" x14ac:dyDescent="0.3">
      <c r="G10" s="4"/>
      <c r="H10" s="17" t="s">
        <v>10</v>
      </c>
      <c r="I10" s="18">
        <v>257000</v>
      </c>
    </row>
    <row r="11" spans="2:9" x14ac:dyDescent="0.3">
      <c r="G11" s="4"/>
      <c r="H11" s="5" t="s">
        <v>11</v>
      </c>
      <c r="I11" s="12">
        <f>+I10/1.08*0.08</f>
        <v>19037.037037037036</v>
      </c>
    </row>
    <row r="12" spans="2:9" x14ac:dyDescent="0.3">
      <c r="G12" s="4"/>
      <c r="H12" s="5" t="s">
        <v>12</v>
      </c>
      <c r="I12" s="12">
        <f>+I10-I11</f>
        <v>237962.96296296298</v>
      </c>
    </row>
    <row r="13" spans="2:9" x14ac:dyDescent="0.3">
      <c r="G13" s="4"/>
      <c r="H13" s="5" t="s">
        <v>13</v>
      </c>
      <c r="I13" s="19">
        <f>+I9/I12</f>
        <v>0.39483455252918287</v>
      </c>
    </row>
    <row r="14" spans="2:9" x14ac:dyDescent="0.3">
      <c r="G14" s="4"/>
      <c r="H14" s="5" t="s">
        <v>14</v>
      </c>
      <c r="I14" s="20">
        <f>+I12-I9</f>
        <v>144006.96296296298</v>
      </c>
    </row>
    <row r="15" spans="2:9" x14ac:dyDescent="0.3">
      <c r="G15" s="4"/>
      <c r="H15" s="5" t="s">
        <v>15</v>
      </c>
      <c r="I15" s="22">
        <f>+I14/I9</f>
        <v>1.5327064047316081</v>
      </c>
    </row>
    <row r="16" spans="2:9" x14ac:dyDescent="0.3">
      <c r="G16" s="4"/>
      <c r="H16" s="4"/>
      <c r="I16" s="23"/>
    </row>
    <row r="18" spans="2:9" x14ac:dyDescent="0.3">
      <c r="B18" s="1" t="s">
        <v>768</v>
      </c>
      <c r="C18" s="2"/>
      <c r="D18" s="2"/>
      <c r="E18" s="3"/>
      <c r="F18" s="3"/>
      <c r="G18" s="4"/>
      <c r="H18" s="277" t="s">
        <v>0</v>
      </c>
      <c r="I18" s="277"/>
    </row>
    <row r="19" spans="2:9" x14ac:dyDescent="0.3">
      <c r="B19" s="13" t="s">
        <v>1</v>
      </c>
      <c r="C19" s="14" t="s">
        <v>2</v>
      </c>
      <c r="D19" s="14" t="s">
        <v>3</v>
      </c>
      <c r="E19" s="28" t="s">
        <v>4</v>
      </c>
      <c r="F19" s="28" t="s">
        <v>5</v>
      </c>
      <c r="G19" s="4"/>
      <c r="H19" s="5" t="s">
        <v>6</v>
      </c>
      <c r="I19" s="6">
        <f>SUM(Tabla11034534544554564791081351121722993063164246276207228336343367[Total costo])</f>
        <v>129039</v>
      </c>
    </row>
    <row r="20" spans="2:9" x14ac:dyDescent="0.3">
      <c r="B20" s="7" t="s">
        <v>519</v>
      </c>
      <c r="C20" s="8" t="s">
        <v>349</v>
      </c>
      <c r="D20" s="9">
        <v>24</v>
      </c>
      <c r="E20" s="10">
        <f>+VLOOKUP(Tabla11034534544554564791081351121722993063164246276207228336343367[[#This Row],[Ingrediente]],Tabla34[#All],3,0)</f>
        <v>5376.625</v>
      </c>
      <c r="F20" s="11">
        <f>+Tabla11034534544554564791081351121722993063164246276207228336343367[[#This Row],[Costo]]*Tabla11034534544554564791081351121722993063164246276207228336343367[[#This Row],[Cant.]]</f>
        <v>129039</v>
      </c>
      <c r="G20" s="4"/>
      <c r="H20" s="5" t="s">
        <v>113</v>
      </c>
      <c r="I20" s="12"/>
    </row>
    <row r="21" spans="2:9" x14ac:dyDescent="0.3">
      <c r="B21" s="13"/>
      <c r="C21" s="14"/>
      <c r="D21" s="14"/>
      <c r="E21" s="15"/>
      <c r="F21" s="15">
        <f>SUBTOTAL(109,Tabla11034534544554564791081351121722993063164246276207228336343367[Total costo])</f>
        <v>129039</v>
      </c>
      <c r="G21" s="4"/>
      <c r="H21" s="5" t="s">
        <v>9</v>
      </c>
      <c r="I21" s="12">
        <f>+I19+I20</f>
        <v>129039</v>
      </c>
    </row>
    <row r="22" spans="2:9" x14ac:dyDescent="0.3">
      <c r="G22" s="4"/>
      <c r="H22" s="17" t="s">
        <v>10</v>
      </c>
      <c r="I22" s="18">
        <v>345000</v>
      </c>
    </row>
    <row r="23" spans="2:9" x14ac:dyDescent="0.3">
      <c r="G23" s="4"/>
      <c r="H23" s="5" t="s">
        <v>11</v>
      </c>
      <c r="I23" s="12">
        <f>+I22/1.08*0.08</f>
        <v>25555.555555555555</v>
      </c>
    </row>
    <row r="24" spans="2:9" x14ac:dyDescent="0.3">
      <c r="G24" s="4"/>
      <c r="H24" s="5" t="s">
        <v>12</v>
      </c>
      <c r="I24" s="12">
        <f>+I22-I23</f>
        <v>319444.44444444444</v>
      </c>
    </row>
    <row r="25" spans="2:9" x14ac:dyDescent="0.3">
      <c r="G25" s="4"/>
      <c r="H25" s="5" t="s">
        <v>13</v>
      </c>
      <c r="I25" s="19">
        <f>+I21/I24</f>
        <v>0.4039481739130435</v>
      </c>
    </row>
    <row r="26" spans="2:9" x14ac:dyDescent="0.3">
      <c r="G26" s="4"/>
      <c r="H26" s="5" t="s">
        <v>14</v>
      </c>
      <c r="I26" s="20">
        <f>+I24-I21</f>
        <v>190405.44444444444</v>
      </c>
    </row>
    <row r="27" spans="2:9" x14ac:dyDescent="0.3">
      <c r="G27" s="4"/>
      <c r="H27" s="5" t="s">
        <v>15</v>
      </c>
      <c r="I27" s="22">
        <f>+I26/I21</f>
        <v>1.4755650961681697</v>
      </c>
    </row>
    <row r="30" spans="2:9" x14ac:dyDescent="0.3">
      <c r="B30" s="1" t="s">
        <v>302</v>
      </c>
      <c r="C30" s="2"/>
      <c r="D30" s="2"/>
      <c r="E30" s="3"/>
      <c r="F30" s="3"/>
      <c r="G30" s="4"/>
      <c r="H30" s="277" t="s">
        <v>0</v>
      </c>
      <c r="I30" s="277"/>
    </row>
    <row r="31" spans="2:9" x14ac:dyDescent="0.3">
      <c r="B31" s="13" t="s">
        <v>1</v>
      </c>
      <c r="C31" s="14" t="s">
        <v>2</v>
      </c>
      <c r="D31" s="14" t="s">
        <v>3</v>
      </c>
      <c r="E31" s="28" t="s">
        <v>4</v>
      </c>
      <c r="F31" s="28" t="s">
        <v>5</v>
      </c>
      <c r="G31" s="4"/>
      <c r="H31" s="5" t="s">
        <v>6</v>
      </c>
      <c r="I31" s="6">
        <f>SUM(Tabla11034534544554564791081351121722993063164246276207228336343367368[Total costo])</f>
        <v>86744</v>
      </c>
    </row>
    <row r="32" spans="2:9" x14ac:dyDescent="0.3">
      <c r="B32" s="7" t="s">
        <v>300</v>
      </c>
      <c r="C32" s="8" t="s">
        <v>61</v>
      </c>
      <c r="D32" s="9">
        <v>1</v>
      </c>
      <c r="E32" s="10">
        <f>+VLOOKUP(Tabla11034534544554564791081351121722993063164246276207228336343367368[[#This Row],[Ingrediente]],Tabla34[#All],3,0)</f>
        <v>86744</v>
      </c>
      <c r="F32" s="11">
        <f>+Tabla11034534544554564791081351121722993063164246276207228336343367368[[#This Row],[Costo]]*Tabla11034534544554564791081351121722993063164246276207228336343367368[[#This Row],[Cant.]]</f>
        <v>86744</v>
      </c>
      <c r="G32" s="4"/>
      <c r="H32" s="5" t="s">
        <v>113</v>
      </c>
      <c r="I32" s="12"/>
    </row>
    <row r="33" spans="2:9" x14ac:dyDescent="0.3">
      <c r="B33" s="13"/>
      <c r="C33" s="14"/>
      <c r="D33" s="14"/>
      <c r="E33" s="15"/>
      <c r="F33" s="15">
        <f>SUBTOTAL(109,Tabla11034534544554564791081351121722993063164246276207228336343367368[Total costo])</f>
        <v>86744</v>
      </c>
      <c r="G33" s="4"/>
      <c r="H33" s="5" t="s">
        <v>9</v>
      </c>
      <c r="I33" s="12">
        <f>+I31+I32</f>
        <v>86744</v>
      </c>
    </row>
    <row r="34" spans="2:9" x14ac:dyDescent="0.3">
      <c r="G34" s="4"/>
      <c r="H34" s="17" t="s">
        <v>10</v>
      </c>
      <c r="I34" s="18">
        <v>220000</v>
      </c>
    </row>
    <row r="35" spans="2:9" x14ac:dyDescent="0.3">
      <c r="G35" s="4"/>
      <c r="H35" s="5" t="s">
        <v>11</v>
      </c>
      <c r="I35" s="12">
        <f>+I34/1.08*0.08</f>
        <v>16296.296296296294</v>
      </c>
    </row>
    <row r="36" spans="2:9" x14ac:dyDescent="0.3">
      <c r="G36" s="4"/>
      <c r="H36" s="5" t="s">
        <v>12</v>
      </c>
      <c r="I36" s="12">
        <f>+I34-I35</f>
        <v>203703.70370370371</v>
      </c>
    </row>
    <row r="37" spans="2:9" x14ac:dyDescent="0.3">
      <c r="G37" s="4"/>
      <c r="H37" s="5" t="s">
        <v>13</v>
      </c>
      <c r="I37" s="19">
        <f>+I33/I36</f>
        <v>0.42583418181818183</v>
      </c>
    </row>
    <row r="38" spans="2:9" x14ac:dyDescent="0.3">
      <c r="G38" s="4"/>
      <c r="H38" s="5" t="s">
        <v>14</v>
      </c>
      <c r="I38" s="20">
        <f>+I36-I33</f>
        <v>116959.70370370371</v>
      </c>
    </row>
    <row r="39" spans="2:9" x14ac:dyDescent="0.3">
      <c r="G39" s="4"/>
      <c r="H39" s="5" t="s">
        <v>15</v>
      </c>
      <c r="I39" s="22">
        <f>+I38/I33</f>
        <v>1.3483319157947951</v>
      </c>
    </row>
    <row r="42" spans="2:9" x14ac:dyDescent="0.3">
      <c r="B42" s="1" t="s">
        <v>303</v>
      </c>
      <c r="C42" s="2"/>
      <c r="D42" s="2"/>
      <c r="E42" s="3"/>
      <c r="F42" s="3"/>
      <c r="G42" s="4"/>
      <c r="H42" s="277" t="s">
        <v>0</v>
      </c>
      <c r="I42" s="277"/>
    </row>
    <row r="43" spans="2:9" x14ac:dyDescent="0.3">
      <c r="B43" s="13" t="s">
        <v>1</v>
      </c>
      <c r="C43" s="14" t="s">
        <v>2</v>
      </c>
      <c r="D43" s="14" t="s">
        <v>3</v>
      </c>
      <c r="E43" s="28" t="s">
        <v>4</v>
      </c>
      <c r="F43" s="28" t="s">
        <v>5</v>
      </c>
      <c r="G43" s="4"/>
      <c r="H43" s="5" t="s">
        <v>6</v>
      </c>
      <c r="I43" s="6">
        <f>SUM(Tabla11034534544554564791081351121722993063164246276207228336343367369[Total costo])</f>
        <v>147712.00000008001</v>
      </c>
    </row>
    <row r="44" spans="2:9" x14ac:dyDescent="0.3">
      <c r="B44" s="7" t="s">
        <v>301</v>
      </c>
      <c r="C44" s="8" t="s">
        <v>107</v>
      </c>
      <c r="D44" s="9">
        <v>24</v>
      </c>
      <c r="E44" s="10">
        <f>+VLOOKUP(Tabla11034534544554564791081351121722993063164246276207228336343367369[[#This Row],[Ingrediente]],Tabla34[#All],3,0)</f>
        <v>6154.6666666700003</v>
      </c>
      <c r="F44" s="11">
        <f>+Tabla11034534544554564791081351121722993063164246276207228336343367369[[#This Row],[Costo]]*Tabla11034534544554564791081351121722993063164246276207228336343367369[[#This Row],[Cant.]]</f>
        <v>147712.00000008001</v>
      </c>
      <c r="G44" s="4"/>
      <c r="H44" s="5" t="s">
        <v>113</v>
      </c>
      <c r="I44" s="12"/>
    </row>
    <row r="45" spans="2:9" x14ac:dyDescent="0.3">
      <c r="B45" s="13"/>
      <c r="C45" s="14"/>
      <c r="D45" s="14"/>
      <c r="E45" s="15"/>
      <c r="F45" s="15">
        <f>SUBTOTAL(109,Tabla11034534544554564791081351121722993063164246276207228336343367369[Total costo])</f>
        <v>147712.00000008001</v>
      </c>
      <c r="G45" s="4"/>
      <c r="H45" s="5" t="s">
        <v>9</v>
      </c>
      <c r="I45" s="12">
        <f>+I43+I44</f>
        <v>147712.00000008001</v>
      </c>
    </row>
    <row r="46" spans="2:9" x14ac:dyDescent="0.3">
      <c r="G46" s="4"/>
      <c r="H46" s="17" t="s">
        <v>10</v>
      </c>
      <c r="I46" s="18">
        <v>384000</v>
      </c>
    </row>
    <row r="47" spans="2:9" x14ac:dyDescent="0.3">
      <c r="G47" s="4"/>
      <c r="H47" s="5" t="s">
        <v>11</v>
      </c>
      <c r="I47" s="12">
        <f>+I46/1.08*0.08</f>
        <v>28444.444444444442</v>
      </c>
    </row>
    <row r="48" spans="2:9" x14ac:dyDescent="0.3">
      <c r="G48" s="4"/>
      <c r="H48" s="5" t="s">
        <v>12</v>
      </c>
      <c r="I48" s="12">
        <f>+I46-I47</f>
        <v>355555.55555555556</v>
      </c>
    </row>
    <row r="49" spans="2:9" x14ac:dyDescent="0.3">
      <c r="G49" s="4"/>
      <c r="H49" s="5" t="s">
        <v>13</v>
      </c>
      <c r="I49" s="19">
        <f>+I45/I48</f>
        <v>0.41544000000022502</v>
      </c>
    </row>
    <row r="50" spans="2:9" x14ac:dyDescent="0.3">
      <c r="G50" s="4"/>
      <c r="H50" s="5" t="s">
        <v>14</v>
      </c>
      <c r="I50" s="20">
        <f>+I48-I45</f>
        <v>207843.55555547556</v>
      </c>
    </row>
    <row r="51" spans="2:9" x14ac:dyDescent="0.3">
      <c r="G51" s="4"/>
      <c r="H51" s="5" t="s">
        <v>15</v>
      </c>
      <c r="I51" s="22">
        <f>+I50/I45</f>
        <v>1.4070864625444308</v>
      </c>
    </row>
    <row r="54" spans="2:9" x14ac:dyDescent="0.3">
      <c r="B54" s="1" t="s">
        <v>297</v>
      </c>
      <c r="C54" s="2"/>
      <c r="D54" s="2"/>
      <c r="E54" s="3"/>
      <c r="F54" s="3"/>
      <c r="G54" s="4"/>
      <c r="H54" s="277" t="s">
        <v>0</v>
      </c>
      <c r="I54" s="277"/>
    </row>
    <row r="55" spans="2:9" x14ac:dyDescent="0.3">
      <c r="B55" s="13" t="s">
        <v>1</v>
      </c>
      <c r="C55" s="14" t="s">
        <v>2</v>
      </c>
      <c r="D55" s="14" t="s">
        <v>3</v>
      </c>
      <c r="E55" s="28" t="s">
        <v>4</v>
      </c>
      <c r="F55" s="28" t="s">
        <v>5</v>
      </c>
      <c r="G55" s="4"/>
      <c r="H55" s="5" t="s">
        <v>6</v>
      </c>
      <c r="I55" s="6">
        <f>SUM(Tabla11034534544554564791081351121722993063164246276207228336343367370[Total costo])</f>
        <v>357526.99999992002</v>
      </c>
    </row>
    <row r="56" spans="2:9" x14ac:dyDescent="0.3">
      <c r="B56" s="7" t="s">
        <v>624</v>
      </c>
      <c r="C56" s="8" t="s">
        <v>349</v>
      </c>
      <c r="D56" s="9">
        <v>24</v>
      </c>
      <c r="E56" s="10">
        <f>+VLOOKUP(Tabla11034534544554564791081351121722993063164246276207228336343367370[[#This Row],[Ingrediente]],Tabla34[#All],3,0)</f>
        <v>14896.958333330002</v>
      </c>
      <c r="F56" s="11">
        <f>+Tabla11034534544554564791081351121722993063164246276207228336343367370[[#This Row],[Costo]]*Tabla11034534544554564791081351121722993063164246276207228336343367370[[#This Row],[Cant.]]</f>
        <v>357526.99999992002</v>
      </c>
      <c r="G56" s="4"/>
      <c r="H56" s="5" t="s">
        <v>113</v>
      </c>
      <c r="I56" s="12"/>
    </row>
    <row r="57" spans="2:9" x14ac:dyDescent="0.3">
      <c r="B57" s="13"/>
      <c r="C57" s="14"/>
      <c r="D57" s="14"/>
      <c r="E57" s="15"/>
      <c r="F57" s="15">
        <f>SUBTOTAL(109,Tabla11034534544554564791081351121722993063164246276207228336343367370[Total costo])</f>
        <v>357526.99999992002</v>
      </c>
      <c r="G57" s="4"/>
      <c r="H57" s="5" t="s">
        <v>9</v>
      </c>
      <c r="I57" s="12">
        <f>+I55+I56</f>
        <v>357526.99999992002</v>
      </c>
    </row>
    <row r="58" spans="2:9" x14ac:dyDescent="0.3">
      <c r="G58" s="4"/>
      <c r="H58" s="17" t="s">
        <v>10</v>
      </c>
      <c r="I58" s="18">
        <v>926000</v>
      </c>
    </row>
    <row r="59" spans="2:9" x14ac:dyDescent="0.3">
      <c r="G59" s="4"/>
      <c r="H59" s="5" t="s">
        <v>11</v>
      </c>
      <c r="I59" s="12">
        <f>+I58/1.08*0.08</f>
        <v>68592.592592592584</v>
      </c>
    </row>
    <row r="60" spans="2:9" x14ac:dyDescent="0.3">
      <c r="G60" s="4"/>
      <c r="H60" s="5" t="s">
        <v>12</v>
      </c>
      <c r="I60" s="12">
        <f>+I58-I59</f>
        <v>857407.40740740742</v>
      </c>
    </row>
    <row r="61" spans="2:9" x14ac:dyDescent="0.3">
      <c r="G61" s="4"/>
      <c r="H61" s="5" t="s">
        <v>13</v>
      </c>
      <c r="I61" s="19">
        <f>+I57/I60</f>
        <v>0.41698613390919398</v>
      </c>
    </row>
    <row r="62" spans="2:9" x14ac:dyDescent="0.3">
      <c r="G62" s="4"/>
      <c r="H62" s="5" t="s">
        <v>14</v>
      </c>
      <c r="I62" s="20">
        <f>+I60-I57</f>
        <v>499880.40740748739</v>
      </c>
    </row>
    <row r="63" spans="2:9" x14ac:dyDescent="0.3">
      <c r="G63" s="4"/>
      <c r="H63" s="5" t="s">
        <v>15</v>
      </c>
      <c r="I63" s="22">
        <f>+I62/I57</f>
        <v>1.3981612784701554</v>
      </c>
    </row>
    <row r="67" spans="2:9" x14ac:dyDescent="0.3">
      <c r="B67" s="1" t="s">
        <v>304</v>
      </c>
      <c r="C67" s="2"/>
      <c r="D67" s="2"/>
      <c r="E67" s="3"/>
      <c r="F67" s="3"/>
      <c r="G67" s="4"/>
      <c r="H67" s="277" t="s">
        <v>0</v>
      </c>
      <c r="I67" s="277"/>
    </row>
    <row r="68" spans="2:9" x14ac:dyDescent="0.3">
      <c r="B68" s="13" t="s">
        <v>1</v>
      </c>
      <c r="C68" s="14" t="s">
        <v>2</v>
      </c>
      <c r="D68" s="14" t="s">
        <v>3</v>
      </c>
      <c r="E68" s="28" t="s">
        <v>4</v>
      </c>
      <c r="F68" s="28" t="s">
        <v>5</v>
      </c>
      <c r="G68" s="4"/>
      <c r="H68" s="5" t="s">
        <v>6</v>
      </c>
      <c r="I68" s="6">
        <f>SUM(Tabla11034534544554564791081351121722993063164246276207228336343367371[Total costo])</f>
        <v>336999.99999995995</v>
      </c>
    </row>
    <row r="69" spans="2:9" x14ac:dyDescent="0.3">
      <c r="B69" s="7" t="s">
        <v>679</v>
      </c>
      <c r="C69" s="8" t="s">
        <v>349</v>
      </c>
      <c r="D69" s="9">
        <v>22</v>
      </c>
      <c r="E69" s="10">
        <f>+VLOOKUP(Tabla11034534544554564791081351121722993063164246276207228336343367371[[#This Row],[Ingrediente]],Tabla34[#All],3,0)</f>
        <v>15318.181818179999</v>
      </c>
      <c r="F69" s="11">
        <f>+Tabla11034534544554564791081351121722993063164246276207228336343367371[[#This Row],[Costo]]*Tabla11034534544554564791081351121722993063164246276207228336343367371[[#This Row],[Cant.]]</f>
        <v>336999.99999995995</v>
      </c>
      <c r="G69" s="4"/>
      <c r="H69" s="5" t="s">
        <v>113</v>
      </c>
      <c r="I69" s="12"/>
    </row>
    <row r="70" spans="2:9" x14ac:dyDescent="0.3">
      <c r="B70" s="13"/>
      <c r="C70" s="14"/>
      <c r="D70" s="14"/>
      <c r="E70" s="15"/>
      <c r="F70" s="15">
        <f>SUBTOTAL(109,Tabla11034534544554564791081351121722993063164246276207228336343367371[Total costo])</f>
        <v>336999.99999995995</v>
      </c>
      <c r="G70" s="4"/>
      <c r="H70" s="5" t="s">
        <v>9</v>
      </c>
      <c r="I70" s="12">
        <f>+I68+I69</f>
        <v>336999.99999995995</v>
      </c>
    </row>
    <row r="71" spans="2:9" x14ac:dyDescent="0.3">
      <c r="G71" s="4"/>
      <c r="H71" s="17" t="s">
        <v>10</v>
      </c>
      <c r="I71" s="18">
        <v>923000</v>
      </c>
    </row>
    <row r="72" spans="2:9" x14ac:dyDescent="0.3">
      <c r="G72" s="4"/>
      <c r="H72" s="5" t="s">
        <v>11</v>
      </c>
      <c r="I72" s="12">
        <f>+I71/1.08*0.08</f>
        <v>68370.370370370365</v>
      </c>
    </row>
    <row r="73" spans="2:9" x14ac:dyDescent="0.3">
      <c r="G73" s="4"/>
      <c r="H73" s="5" t="s">
        <v>12</v>
      </c>
      <c r="I73" s="12">
        <f>+I71-I72</f>
        <v>854629.62962962966</v>
      </c>
    </row>
    <row r="74" spans="2:9" x14ac:dyDescent="0.3">
      <c r="G74" s="4"/>
      <c r="H74" s="5" t="s">
        <v>13</v>
      </c>
      <c r="I74" s="19">
        <f>+I70/I73</f>
        <v>0.39432286023830632</v>
      </c>
    </row>
    <row r="75" spans="2:9" x14ac:dyDescent="0.3">
      <c r="G75" s="4"/>
      <c r="H75" s="5" t="s">
        <v>14</v>
      </c>
      <c r="I75" s="20">
        <f>+I73-I70</f>
        <v>517629.62962966971</v>
      </c>
    </row>
    <row r="76" spans="2:9" x14ac:dyDescent="0.3">
      <c r="G76" s="4"/>
      <c r="H76" s="5" t="s">
        <v>15</v>
      </c>
      <c r="I76" s="22">
        <f>+I75/I70</f>
        <v>1.53599296626033</v>
      </c>
    </row>
    <row r="78" spans="2:9" x14ac:dyDescent="0.3">
      <c r="B78" s="1" t="s">
        <v>769</v>
      </c>
      <c r="C78" s="2"/>
      <c r="D78" s="2"/>
      <c r="E78" s="3"/>
      <c r="F78" s="3"/>
      <c r="G78" s="4"/>
      <c r="H78" s="277" t="s">
        <v>0</v>
      </c>
      <c r="I78" s="277"/>
    </row>
    <row r="79" spans="2:9" x14ac:dyDescent="0.3">
      <c r="B79" s="13" t="s">
        <v>1</v>
      </c>
      <c r="C79" s="14" t="s">
        <v>2</v>
      </c>
      <c r="D79" s="14" t="s">
        <v>3</v>
      </c>
      <c r="E79" s="28" t="s">
        <v>4</v>
      </c>
      <c r="F79" s="28" t="s">
        <v>5</v>
      </c>
      <c r="G79" s="4"/>
      <c r="H79" s="5" t="s">
        <v>6</v>
      </c>
      <c r="I79" s="6">
        <f>SUM(Tabla11034534544554564791081351121722993063164246276207228336343367372[Total costo])</f>
        <v>149893.99999991999</v>
      </c>
    </row>
    <row r="80" spans="2:9" x14ac:dyDescent="0.3">
      <c r="B80" s="7" t="s">
        <v>454</v>
      </c>
      <c r="C80" s="8" t="s">
        <v>349</v>
      </c>
      <c r="D80" s="9">
        <v>24</v>
      </c>
      <c r="E80" s="10">
        <f>+VLOOKUP(Tabla11034534544554564791081351121722993063164246276207228336343367372[[#This Row],[Ingrediente]],Tabla34[#All],3,0)</f>
        <v>6245.5833333299997</v>
      </c>
      <c r="F80" s="11">
        <f>+Tabla11034534544554564791081351121722993063164246276207228336343367372[[#This Row],[Costo]]*Tabla11034534544554564791081351121722993063164246276207228336343367372[[#This Row],[Cant.]]</f>
        <v>149893.99999991999</v>
      </c>
      <c r="G80" s="4"/>
      <c r="H80" s="5" t="s">
        <v>113</v>
      </c>
      <c r="I80" s="12"/>
    </row>
    <row r="81" spans="2:9" x14ac:dyDescent="0.3">
      <c r="B81" s="13"/>
      <c r="C81" s="14"/>
      <c r="D81" s="14"/>
      <c r="E81" s="15"/>
      <c r="F81" s="15">
        <f>SUBTOTAL(109,Tabla11034534544554564791081351121722993063164246276207228336343367372[Total costo])</f>
        <v>149893.99999991999</v>
      </c>
      <c r="G81" s="4"/>
      <c r="H81" s="5" t="s">
        <v>9</v>
      </c>
      <c r="I81" s="12">
        <f>+I79+I80</f>
        <v>149893.99999991999</v>
      </c>
    </row>
    <row r="82" spans="2:9" x14ac:dyDescent="0.3">
      <c r="G82" s="4"/>
      <c r="H82" s="17" t="s">
        <v>10</v>
      </c>
      <c r="I82" s="18">
        <v>416000</v>
      </c>
    </row>
    <row r="83" spans="2:9" x14ac:dyDescent="0.3">
      <c r="G83" s="4"/>
      <c r="H83" s="5" t="s">
        <v>11</v>
      </c>
      <c r="I83" s="12">
        <f>+I82/1.08*0.08</f>
        <v>30814.814814814814</v>
      </c>
    </row>
    <row r="84" spans="2:9" x14ac:dyDescent="0.3">
      <c r="G84" s="4"/>
      <c r="H84" s="5" t="s">
        <v>12</v>
      </c>
      <c r="I84" s="12">
        <f>+I82-I83</f>
        <v>385185.18518518517</v>
      </c>
    </row>
    <row r="85" spans="2:9" x14ac:dyDescent="0.3">
      <c r="G85" s="4"/>
      <c r="H85" s="5" t="s">
        <v>13</v>
      </c>
      <c r="I85" s="19">
        <f>+I81/I84</f>
        <v>0.38914788461517691</v>
      </c>
    </row>
    <row r="86" spans="2:9" x14ac:dyDescent="0.3">
      <c r="G86" s="4"/>
      <c r="H86" s="5" t="s">
        <v>14</v>
      </c>
      <c r="I86" s="20">
        <f>+I84-I81</f>
        <v>235291.18518526517</v>
      </c>
    </row>
    <row r="87" spans="2:9" x14ac:dyDescent="0.3">
      <c r="G87" s="4"/>
      <c r="H87" s="5" t="s">
        <v>15</v>
      </c>
      <c r="I87" s="22">
        <f>+I86/I81</f>
        <v>1.5697171680346829</v>
      </c>
    </row>
    <row r="90" spans="2:9" x14ac:dyDescent="0.3">
      <c r="B90" s="1" t="s">
        <v>306</v>
      </c>
      <c r="C90" s="2"/>
      <c r="D90" s="2"/>
      <c r="E90" s="3"/>
      <c r="F90" s="3"/>
      <c r="G90" s="4"/>
      <c r="H90" s="277" t="s">
        <v>0</v>
      </c>
      <c r="I90" s="277"/>
    </row>
    <row r="91" spans="2:9" x14ac:dyDescent="0.3">
      <c r="B91" s="13" t="s">
        <v>1</v>
      </c>
      <c r="C91" s="14" t="s">
        <v>2</v>
      </c>
      <c r="D91" s="14" t="s">
        <v>3</v>
      </c>
      <c r="E91" s="28" t="s">
        <v>4</v>
      </c>
      <c r="F91" s="28" t="s">
        <v>5</v>
      </c>
      <c r="G91" s="4"/>
      <c r="H91" s="5" t="s">
        <v>6</v>
      </c>
      <c r="I91" s="6">
        <f>SUM(Tabla11034534544554564791081351121722993063164246276207228336343367373[Total costo])</f>
        <v>10753.25</v>
      </c>
    </row>
    <row r="92" spans="2:9" x14ac:dyDescent="0.3">
      <c r="B92" s="7" t="s">
        <v>519</v>
      </c>
      <c r="C92" s="8" t="s">
        <v>349</v>
      </c>
      <c r="D92" s="9">
        <v>2</v>
      </c>
      <c r="E92" s="10">
        <f>+VLOOKUP(Tabla11034534544554564791081351121722993063164246276207228336343367373[[#This Row],[Ingrediente]],Tabla34[#All],3,0)</f>
        <v>5376.625</v>
      </c>
      <c r="F92" s="11">
        <f>+Tabla11034534544554564791081351121722993063164246276207228336343367373[[#This Row],[Costo]]*Tabla11034534544554564791081351121722993063164246276207228336343367373[[#This Row],[Cant.]]</f>
        <v>10753.25</v>
      </c>
      <c r="G92" s="4"/>
      <c r="H92" s="5" t="s">
        <v>113</v>
      </c>
      <c r="I92" s="12"/>
    </row>
    <row r="93" spans="2:9" x14ac:dyDescent="0.3">
      <c r="B93" s="13"/>
      <c r="C93" s="14"/>
      <c r="D93" s="14"/>
      <c r="E93" s="15"/>
      <c r="F93" s="15">
        <f>SUBTOTAL(109,Tabla11034534544554564791081351121722993063164246276207228336343367373[Total costo])</f>
        <v>10753.25</v>
      </c>
      <c r="G93" s="4"/>
      <c r="H93" s="5" t="s">
        <v>9</v>
      </c>
      <c r="I93" s="12">
        <f>+I91+I92</f>
        <v>10753.25</v>
      </c>
    </row>
    <row r="94" spans="2:9" x14ac:dyDescent="0.3">
      <c r="G94" s="4"/>
      <c r="H94" s="17" t="s">
        <v>10</v>
      </c>
      <c r="I94" s="18">
        <v>29000</v>
      </c>
    </row>
    <row r="95" spans="2:9" x14ac:dyDescent="0.3">
      <c r="G95" s="4"/>
      <c r="H95" s="5" t="s">
        <v>11</v>
      </c>
      <c r="I95" s="12">
        <f>+I94/1.08*0.08</f>
        <v>2148.1481481481483</v>
      </c>
    </row>
    <row r="96" spans="2:9" x14ac:dyDescent="0.3">
      <c r="G96" s="4"/>
      <c r="H96" s="5" t="s">
        <v>12</v>
      </c>
      <c r="I96" s="12">
        <f>+I94-I95</f>
        <v>26851.85185185185</v>
      </c>
    </row>
    <row r="97" spans="2:9" x14ac:dyDescent="0.3">
      <c r="G97" s="4"/>
      <c r="H97" s="5" t="s">
        <v>13</v>
      </c>
      <c r="I97" s="19">
        <f>+I93/I96</f>
        <v>0.40046586206896556</v>
      </c>
    </row>
    <row r="98" spans="2:9" x14ac:dyDescent="0.3">
      <c r="G98" s="4"/>
      <c r="H98" s="5" t="s">
        <v>14</v>
      </c>
      <c r="I98" s="20">
        <f>+I96-I93</f>
        <v>16098.60185185185</v>
      </c>
    </row>
    <row r="99" spans="2:9" x14ac:dyDescent="0.3">
      <c r="G99" s="4"/>
      <c r="H99" s="5" t="s">
        <v>15</v>
      </c>
      <c r="I99" s="22">
        <f>+I98/I93</f>
        <v>1.4970917491783275</v>
      </c>
    </row>
    <row r="103" spans="2:9" x14ac:dyDescent="0.3">
      <c r="B103" s="1" t="s">
        <v>307</v>
      </c>
      <c r="C103" s="2"/>
      <c r="D103" s="2"/>
      <c r="E103" s="3"/>
      <c r="F103" s="3"/>
      <c r="G103" s="4"/>
      <c r="H103" s="277" t="s">
        <v>0</v>
      </c>
      <c r="I103" s="277"/>
    </row>
    <row r="104" spans="2:9" x14ac:dyDescent="0.3">
      <c r="B104" s="13" t="s">
        <v>1</v>
      </c>
      <c r="C104" s="14" t="s">
        <v>2</v>
      </c>
      <c r="D104" s="14" t="s">
        <v>3</v>
      </c>
      <c r="E104" s="28" t="s">
        <v>4</v>
      </c>
      <c r="F104" s="28" t="s">
        <v>5</v>
      </c>
      <c r="G104" s="4"/>
      <c r="H104" s="5" t="s">
        <v>6</v>
      </c>
      <c r="I104" s="6">
        <f>SUM(Tabla11034534544554564791081351121722993063164246276207228336343367374[Total costo])</f>
        <v>12309.333333340001</v>
      </c>
    </row>
    <row r="105" spans="2:9" x14ac:dyDescent="0.3">
      <c r="B105" s="7" t="s">
        <v>301</v>
      </c>
      <c r="C105" s="8" t="s">
        <v>107</v>
      </c>
      <c r="D105" s="9">
        <v>2</v>
      </c>
      <c r="E105" s="10">
        <f>+VLOOKUP(Tabla11034534544554564791081351121722993063164246276207228336343367374[[#This Row],[Ingrediente]],Tabla34[#All],3,0)</f>
        <v>6154.6666666700003</v>
      </c>
      <c r="F105" s="11">
        <f>+Tabla11034534544554564791081351121722993063164246276207228336343367374[[#This Row],[Costo]]*Tabla11034534544554564791081351121722993063164246276207228336343367374[[#This Row],[Cant.]]</f>
        <v>12309.333333340001</v>
      </c>
      <c r="G105" s="4"/>
      <c r="H105" s="5" t="s">
        <v>113</v>
      </c>
      <c r="I105" s="12"/>
    </row>
    <row r="106" spans="2:9" x14ac:dyDescent="0.3">
      <c r="B106" s="13"/>
      <c r="C106" s="14"/>
      <c r="D106" s="14"/>
      <c r="E106" s="15"/>
      <c r="F106" s="15">
        <f>SUBTOTAL(109,Tabla11034534544554564791081351121722993063164246276207228336343367374[Total costo])</f>
        <v>12309.333333340001</v>
      </c>
      <c r="G106" s="4"/>
      <c r="H106" s="5" t="s">
        <v>9</v>
      </c>
      <c r="I106" s="12">
        <f>+I104+I105</f>
        <v>12309.333333340001</v>
      </c>
    </row>
    <row r="107" spans="2:9" x14ac:dyDescent="0.3">
      <c r="G107" s="4"/>
      <c r="H107" s="17" t="s">
        <v>10</v>
      </c>
      <c r="I107" s="18">
        <v>32000</v>
      </c>
    </row>
    <row r="108" spans="2:9" x14ac:dyDescent="0.3">
      <c r="G108" s="4"/>
      <c r="H108" s="5" t="s">
        <v>11</v>
      </c>
      <c r="I108" s="12">
        <f>+I107/1.08*0.08</f>
        <v>2370.3703703703704</v>
      </c>
    </row>
    <row r="109" spans="2:9" x14ac:dyDescent="0.3">
      <c r="G109" s="4"/>
      <c r="H109" s="5" t="s">
        <v>12</v>
      </c>
      <c r="I109" s="12">
        <f>+I107-I108</f>
        <v>29629.629629629628</v>
      </c>
    </row>
    <row r="110" spans="2:9" x14ac:dyDescent="0.3">
      <c r="G110" s="4"/>
      <c r="H110" s="5" t="s">
        <v>13</v>
      </c>
      <c r="I110" s="19">
        <f>+I106/I109</f>
        <v>0.41544000000022502</v>
      </c>
    </row>
    <row r="111" spans="2:9" x14ac:dyDescent="0.3">
      <c r="G111" s="4"/>
      <c r="H111" s="5" t="s">
        <v>14</v>
      </c>
      <c r="I111" s="20">
        <f>+I109-I106</f>
        <v>17320.296296289627</v>
      </c>
    </row>
    <row r="112" spans="2:9" x14ac:dyDescent="0.3">
      <c r="G112" s="4"/>
      <c r="H112" s="5" t="s">
        <v>15</v>
      </c>
      <c r="I112" s="22">
        <f>+I111/I106</f>
        <v>1.4070864625444308</v>
      </c>
    </row>
    <row r="115" spans="2:9" x14ac:dyDescent="0.3">
      <c r="B115" s="1" t="s">
        <v>770</v>
      </c>
      <c r="C115" s="2"/>
      <c r="D115" s="2"/>
      <c r="E115" s="3"/>
      <c r="F115" s="3"/>
      <c r="G115" s="4"/>
      <c r="H115" s="277" t="s">
        <v>0</v>
      </c>
      <c r="I115" s="277"/>
    </row>
    <row r="116" spans="2:9" x14ac:dyDescent="0.3">
      <c r="B116" s="13" t="s">
        <v>1</v>
      </c>
      <c r="C116" s="14" t="s">
        <v>2</v>
      </c>
      <c r="D116" s="14" t="s">
        <v>3</v>
      </c>
      <c r="E116" s="28" t="s">
        <v>4</v>
      </c>
      <c r="F116" s="28" t="s">
        <v>5</v>
      </c>
      <c r="G116" s="4"/>
      <c r="H116" s="5" t="s">
        <v>6</v>
      </c>
      <c r="I116" s="6">
        <f>SUM(Tabla11034534544554564791081351121722993063164246276207228336343367374375[Total costo])</f>
        <v>29793.916666660003</v>
      </c>
    </row>
    <row r="117" spans="2:9" x14ac:dyDescent="0.3">
      <c r="B117" s="7" t="s">
        <v>624</v>
      </c>
      <c r="C117" s="8" t="s">
        <v>349</v>
      </c>
      <c r="D117" s="9">
        <v>2</v>
      </c>
      <c r="E117" s="10">
        <f>+VLOOKUP(Tabla11034534544554564791081351121722993063164246276207228336343367374375[[#This Row],[Ingrediente]],Tabla34[#All],3,0)</f>
        <v>14896.958333330002</v>
      </c>
      <c r="F117" s="11">
        <f>+Tabla11034534544554564791081351121722993063164246276207228336343367374375[[#This Row],[Costo]]*Tabla11034534544554564791081351121722993063164246276207228336343367374375[[#This Row],[Cant.]]</f>
        <v>29793.916666660003</v>
      </c>
      <c r="G117" s="4"/>
      <c r="H117" s="5" t="s">
        <v>113</v>
      </c>
      <c r="I117" s="12"/>
    </row>
    <row r="118" spans="2:9" x14ac:dyDescent="0.3">
      <c r="B118" s="13"/>
      <c r="C118" s="14"/>
      <c r="D118" s="14"/>
      <c r="E118" s="15"/>
      <c r="F118" s="15">
        <f>SUBTOTAL(109,Tabla11034534544554564791081351121722993063164246276207228336343367374375[Total costo])</f>
        <v>29793.916666660003</v>
      </c>
      <c r="G118" s="4"/>
      <c r="H118" s="5" t="s">
        <v>9</v>
      </c>
      <c r="I118" s="12">
        <f>+I116+I117</f>
        <v>29793.916666660003</v>
      </c>
    </row>
    <row r="119" spans="2:9" x14ac:dyDescent="0.3">
      <c r="G119" s="4"/>
      <c r="H119" s="17" t="s">
        <v>10</v>
      </c>
      <c r="I119" s="18">
        <v>78000</v>
      </c>
    </row>
    <row r="120" spans="2:9" x14ac:dyDescent="0.3">
      <c r="G120" s="4"/>
      <c r="H120" s="5" t="s">
        <v>11</v>
      </c>
      <c r="I120" s="12">
        <f>+I119/1.08*0.08</f>
        <v>5777.7777777777774</v>
      </c>
    </row>
    <row r="121" spans="2:9" x14ac:dyDescent="0.3">
      <c r="G121" s="4"/>
      <c r="H121" s="5" t="s">
        <v>12</v>
      </c>
      <c r="I121" s="12">
        <f>+I119-I120</f>
        <v>72222.222222222219</v>
      </c>
    </row>
    <row r="122" spans="2:9" x14ac:dyDescent="0.3">
      <c r="G122" s="4"/>
      <c r="H122" s="5" t="s">
        <v>13</v>
      </c>
      <c r="I122" s="19">
        <f>+I118/I121</f>
        <v>0.41253115384606159</v>
      </c>
    </row>
    <row r="123" spans="2:9" x14ac:dyDescent="0.3">
      <c r="G123" s="4"/>
      <c r="H123" s="5" t="s">
        <v>14</v>
      </c>
      <c r="I123" s="20">
        <f>+I121-I118</f>
        <v>42428.305555562212</v>
      </c>
    </row>
    <row r="124" spans="2:9" x14ac:dyDescent="0.3">
      <c r="G124" s="4"/>
      <c r="H124" s="5" t="s">
        <v>15</v>
      </c>
      <c r="I124" s="22">
        <f>+I123/I118</f>
        <v>1.4240593484320356</v>
      </c>
    </row>
    <row r="128" spans="2:9" x14ac:dyDescent="0.3">
      <c r="B128" s="1" t="s">
        <v>1269</v>
      </c>
      <c r="C128" s="2"/>
      <c r="D128" s="2"/>
      <c r="E128" s="3"/>
      <c r="F128" s="3"/>
      <c r="G128" s="4"/>
      <c r="H128" s="277" t="s">
        <v>0</v>
      </c>
      <c r="I128" s="277"/>
    </row>
    <row r="129" spans="2:9" x14ac:dyDescent="0.3">
      <c r="B129" s="13" t="s">
        <v>1</v>
      </c>
      <c r="C129" s="14" t="s">
        <v>2</v>
      </c>
      <c r="D129" s="14" t="s">
        <v>3</v>
      </c>
      <c r="E129" s="28" t="s">
        <v>4</v>
      </c>
      <c r="F129" s="28" t="s">
        <v>5</v>
      </c>
      <c r="G129" s="4"/>
      <c r="H129" s="5" t="s">
        <v>6</v>
      </c>
      <c r="I129" s="6">
        <f>SUM(Tabla11034534544554564791081351121722993063164246276207228336343367374375376[Total costo])</f>
        <v>30636.363636359998</v>
      </c>
    </row>
    <row r="130" spans="2:9" x14ac:dyDescent="0.3">
      <c r="B130" s="7" t="s">
        <v>679</v>
      </c>
      <c r="C130" s="8" t="s">
        <v>349</v>
      </c>
      <c r="D130" s="9">
        <v>2</v>
      </c>
      <c r="E130" s="10">
        <f>+VLOOKUP(Tabla11034534544554564791081351121722993063164246276207228336343367374375376[[#This Row],[Ingrediente]],Tabla34[#All],3,0)</f>
        <v>15318.181818179999</v>
      </c>
      <c r="F130" s="11">
        <f>+Tabla11034534544554564791081351121722993063164246276207228336343367374375376[[#This Row],[Costo]]*Tabla11034534544554564791081351121722993063164246276207228336343367374375376[[#This Row],[Cant.]]</f>
        <v>30636.363636359998</v>
      </c>
      <c r="G130" s="4"/>
      <c r="H130" s="5" t="s">
        <v>113</v>
      </c>
      <c r="I130" s="12"/>
    </row>
    <row r="131" spans="2:9" x14ac:dyDescent="0.3">
      <c r="B131" s="13"/>
      <c r="C131" s="14"/>
      <c r="D131" s="14"/>
      <c r="E131" s="15"/>
      <c r="F131" s="15">
        <f>SUBTOTAL(109,Tabla11034534544554564791081351121722993063164246276207228336343367374375376[Total costo])</f>
        <v>30636.363636359998</v>
      </c>
      <c r="G131" s="4"/>
      <c r="H131" s="5" t="s">
        <v>9</v>
      </c>
      <c r="I131" s="12">
        <f>+I129+I130</f>
        <v>30636.363636359998</v>
      </c>
    </row>
    <row r="132" spans="2:9" x14ac:dyDescent="0.3">
      <c r="G132" s="4"/>
      <c r="H132" s="17" t="s">
        <v>10</v>
      </c>
      <c r="I132" s="18">
        <v>78000</v>
      </c>
    </row>
    <row r="133" spans="2:9" x14ac:dyDescent="0.3">
      <c r="G133" s="4"/>
      <c r="H133" s="5" t="s">
        <v>11</v>
      </c>
      <c r="I133" s="12">
        <f>+I132/1.08*0.08</f>
        <v>5777.7777777777774</v>
      </c>
    </row>
    <row r="134" spans="2:9" x14ac:dyDescent="0.3">
      <c r="G134" s="4"/>
      <c r="H134" s="5" t="s">
        <v>12</v>
      </c>
      <c r="I134" s="12">
        <f>+I132-I133</f>
        <v>72222.222222222219</v>
      </c>
    </row>
    <row r="135" spans="2:9" x14ac:dyDescent="0.3">
      <c r="G135" s="4"/>
      <c r="H135" s="5" t="s">
        <v>13</v>
      </c>
      <c r="I135" s="19">
        <f>+I131/I134</f>
        <v>0.42419580419575381</v>
      </c>
    </row>
    <row r="136" spans="2:9" x14ac:dyDescent="0.3">
      <c r="G136" s="4"/>
      <c r="H136" s="5" t="s">
        <v>14</v>
      </c>
      <c r="I136" s="20">
        <f>+I134-I131</f>
        <v>41585.858585862225</v>
      </c>
    </row>
    <row r="137" spans="2:9" x14ac:dyDescent="0.3">
      <c r="G137" s="4"/>
      <c r="H137" s="5" t="s">
        <v>15</v>
      </c>
      <c r="I137" s="22">
        <f>+I136/I131</f>
        <v>1.3574019122983347</v>
      </c>
    </row>
    <row r="140" spans="2:9" x14ac:dyDescent="0.3">
      <c r="B140" s="1" t="s">
        <v>305</v>
      </c>
      <c r="C140" s="2"/>
      <c r="D140" s="2"/>
      <c r="E140" s="3"/>
      <c r="F140" s="3"/>
      <c r="G140" s="4"/>
      <c r="H140" s="277" t="s">
        <v>0</v>
      </c>
      <c r="I140" s="277"/>
    </row>
    <row r="141" spans="2:9" x14ac:dyDescent="0.3">
      <c r="B141" s="13" t="s">
        <v>1</v>
      </c>
      <c r="C141" s="14" t="s">
        <v>2</v>
      </c>
      <c r="D141" s="14" t="s">
        <v>3</v>
      </c>
      <c r="E141" s="28" t="s">
        <v>4</v>
      </c>
      <c r="F141" s="28" t="s">
        <v>5</v>
      </c>
      <c r="G141" s="4"/>
      <c r="H141" s="5" t="s">
        <v>6</v>
      </c>
      <c r="I141" s="6">
        <f>SUM(Tabla11034534544554564791081351121722993063164246276207228336343367374375377[Total costo])</f>
        <v>12491.166666659999</v>
      </c>
    </row>
    <row r="142" spans="2:9" x14ac:dyDescent="0.3">
      <c r="B142" s="7" t="s">
        <v>454</v>
      </c>
      <c r="C142" s="8" t="s">
        <v>349</v>
      </c>
      <c r="D142" s="9">
        <v>2</v>
      </c>
      <c r="E142" s="10">
        <f>+VLOOKUP(Tabla11034534544554564791081351121722993063164246276207228336343367374375377[[#This Row],[Ingrediente]],Tabla34[#All],3,0)</f>
        <v>6245.5833333299997</v>
      </c>
      <c r="F142" s="11">
        <f>+Tabla11034534544554564791081351121722993063164246276207228336343367374375377[[#This Row],[Costo]]*Tabla11034534544554564791081351121722993063164246276207228336343367374375377[[#This Row],[Cant.]]</f>
        <v>12491.166666659999</v>
      </c>
      <c r="G142" s="4"/>
      <c r="H142" s="5" t="s">
        <v>113</v>
      </c>
      <c r="I142" s="12"/>
    </row>
    <row r="143" spans="2:9" x14ac:dyDescent="0.3">
      <c r="B143" s="13"/>
      <c r="C143" s="14"/>
      <c r="D143" s="14"/>
      <c r="E143" s="15"/>
      <c r="F143" s="15">
        <f>SUBTOTAL(109,Tabla11034534544554564791081351121722993063164246276207228336343367374375377[Total costo])</f>
        <v>12491.166666659999</v>
      </c>
      <c r="G143" s="4"/>
      <c r="H143" s="5" t="s">
        <v>9</v>
      </c>
      <c r="I143" s="12">
        <f>+I141+I142</f>
        <v>12491.166666659999</v>
      </c>
    </row>
    <row r="144" spans="2:9" x14ac:dyDescent="0.3">
      <c r="G144" s="4"/>
      <c r="H144" s="17" t="s">
        <v>10</v>
      </c>
      <c r="I144" s="18">
        <v>35000</v>
      </c>
    </row>
    <row r="145" spans="7:9" x14ac:dyDescent="0.3">
      <c r="G145" s="4"/>
      <c r="H145" s="5" t="s">
        <v>11</v>
      </c>
      <c r="I145" s="12">
        <f>+I144/1.08*0.08</f>
        <v>2592.5925925925926</v>
      </c>
    </row>
    <row r="146" spans="7:9" x14ac:dyDescent="0.3">
      <c r="G146" s="4"/>
      <c r="H146" s="5" t="s">
        <v>12</v>
      </c>
      <c r="I146" s="12">
        <f>+I144-I145</f>
        <v>32407.407407407409</v>
      </c>
    </row>
    <row r="147" spans="7:9" x14ac:dyDescent="0.3">
      <c r="G147" s="4"/>
      <c r="H147" s="5" t="s">
        <v>13</v>
      </c>
      <c r="I147" s="19">
        <f>+I143/I146</f>
        <v>0.38544171428550855</v>
      </c>
    </row>
    <row r="148" spans="7:9" x14ac:dyDescent="0.3">
      <c r="G148" s="4"/>
      <c r="H148" s="5" t="s">
        <v>14</v>
      </c>
      <c r="I148" s="20">
        <f>+I146-I143</f>
        <v>19916.240740747409</v>
      </c>
    </row>
    <row r="149" spans="7:9" x14ac:dyDescent="0.3">
      <c r="G149" s="4"/>
      <c r="H149" s="5" t="s">
        <v>15</v>
      </c>
      <c r="I149" s="22">
        <f>+I148/I143</f>
        <v>1.5944259869580935</v>
      </c>
    </row>
  </sheetData>
  <mergeCells count="12">
    <mergeCell ref="H6:I6"/>
    <mergeCell ref="H128:I128"/>
    <mergeCell ref="H140:I140"/>
    <mergeCell ref="H18:I18"/>
    <mergeCell ref="H30:I30"/>
    <mergeCell ref="H42:I42"/>
    <mergeCell ref="H54:I54"/>
    <mergeCell ref="H67:I67"/>
    <mergeCell ref="H78:I78"/>
    <mergeCell ref="H90:I90"/>
    <mergeCell ref="H103:I103"/>
    <mergeCell ref="H115:I115"/>
  </mergeCells>
  <conditionalFormatting sqref="I13">
    <cfRule type="cellIs" dxfId="335" priority="39" operator="lessThan">
      <formula>0.3</formula>
    </cfRule>
    <cfRule type="cellIs" dxfId="334" priority="40" operator="greaterThan">
      <formula>0.3</formula>
    </cfRule>
  </conditionalFormatting>
  <conditionalFormatting sqref="I25">
    <cfRule type="cellIs" dxfId="333" priority="25" operator="lessThan">
      <formula>0.3</formula>
    </cfRule>
    <cfRule type="cellIs" dxfId="332" priority="26" operator="greaterThan">
      <formula>0.3</formula>
    </cfRule>
  </conditionalFormatting>
  <conditionalFormatting sqref="I37">
    <cfRule type="cellIs" dxfId="331" priority="23" operator="lessThan">
      <formula>0.3</formula>
    </cfRule>
    <cfRule type="cellIs" dxfId="330" priority="24" operator="greaterThan">
      <formula>0.3</formula>
    </cfRule>
  </conditionalFormatting>
  <conditionalFormatting sqref="I49">
    <cfRule type="cellIs" dxfId="329" priority="21" operator="lessThan">
      <formula>0.3</formula>
    </cfRule>
    <cfRule type="cellIs" dxfId="328" priority="22" operator="greaterThan">
      <formula>0.3</formula>
    </cfRule>
  </conditionalFormatting>
  <conditionalFormatting sqref="I61">
    <cfRule type="cellIs" dxfId="327" priority="19" operator="lessThan">
      <formula>0.3</formula>
    </cfRule>
    <cfRule type="cellIs" dxfId="326" priority="20" operator="greaterThan">
      <formula>0.3</formula>
    </cfRule>
  </conditionalFormatting>
  <conditionalFormatting sqref="I74">
    <cfRule type="cellIs" dxfId="325" priority="17" operator="lessThan">
      <formula>0.3</formula>
    </cfRule>
    <cfRule type="cellIs" dxfId="324" priority="18" operator="greaterThan">
      <formula>0.3</formula>
    </cfRule>
  </conditionalFormatting>
  <conditionalFormatting sqref="I85">
    <cfRule type="cellIs" dxfId="323" priority="15" operator="lessThan">
      <formula>0.3</formula>
    </cfRule>
    <cfRule type="cellIs" dxfId="322" priority="16" operator="greaterThan">
      <formula>0.3</formula>
    </cfRule>
  </conditionalFormatting>
  <conditionalFormatting sqref="I97">
    <cfRule type="cellIs" dxfId="321" priority="13" operator="lessThan">
      <formula>0.3</formula>
    </cfRule>
    <cfRule type="cellIs" dxfId="320" priority="14" operator="greaterThan">
      <formula>0.3</formula>
    </cfRule>
  </conditionalFormatting>
  <conditionalFormatting sqref="I110">
    <cfRule type="cellIs" dxfId="319" priority="11" operator="lessThan">
      <formula>0.3</formula>
    </cfRule>
    <cfRule type="cellIs" dxfId="318" priority="12" operator="greaterThan">
      <formula>0.3</formula>
    </cfRule>
  </conditionalFormatting>
  <conditionalFormatting sqref="I122">
    <cfRule type="cellIs" dxfId="317" priority="9" operator="lessThan">
      <formula>0.3</formula>
    </cfRule>
    <cfRule type="cellIs" dxfId="316" priority="10" operator="greaterThan">
      <formula>0.3</formula>
    </cfRule>
  </conditionalFormatting>
  <conditionalFormatting sqref="I135">
    <cfRule type="cellIs" dxfId="315" priority="7" operator="lessThan">
      <formula>0.3</formula>
    </cfRule>
    <cfRule type="cellIs" dxfId="314" priority="8" operator="greaterThan">
      <formula>0.3</formula>
    </cfRule>
  </conditionalFormatting>
  <conditionalFormatting sqref="I147">
    <cfRule type="cellIs" dxfId="313" priority="5" operator="lessThan">
      <formula>0.3</formula>
    </cfRule>
    <cfRule type="cellIs" dxfId="312" priority="6" operator="greaterThan">
      <formula>0.3</formula>
    </cfRule>
  </conditionalFormatting>
  <pageMargins left="0.7" right="0.7" top="0.75" bottom="0.75" header="0.3" footer="0.3"/>
  <drawing r:id="rId1"/>
  <tableParts count="12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74289-3E81-4131-A411-0A89864D7F42}">
  <dimension ref="B6:K68"/>
  <sheetViews>
    <sheetView showGridLines="0" topLeftCell="A46" workbookViewId="0">
      <selection activeCell="H70" sqref="H70"/>
    </sheetView>
  </sheetViews>
  <sheetFormatPr baseColWidth="10" defaultRowHeight="14.4" x14ac:dyDescent="0.3"/>
  <cols>
    <col min="1" max="1" width="2.5546875" customWidth="1"/>
    <col min="2" max="2" width="40.109375" bestFit="1" customWidth="1"/>
    <col min="3" max="6" width="7.77734375" customWidth="1"/>
    <col min="7" max="8" width="10.77734375" customWidth="1"/>
    <col min="9" max="9" width="3.77734375" customWidth="1"/>
    <col min="10" max="10" width="26.5546875" bestFit="1" customWidth="1"/>
  </cols>
  <sheetData>
    <row r="6" spans="2:11" x14ac:dyDescent="0.3">
      <c r="B6" s="1" t="s">
        <v>194</v>
      </c>
      <c r="C6" s="2"/>
      <c r="D6" s="2"/>
      <c r="E6" s="3"/>
      <c r="F6" s="3"/>
      <c r="G6" s="3"/>
      <c r="H6" s="3"/>
      <c r="I6" s="4"/>
      <c r="J6" s="277" t="s">
        <v>0</v>
      </c>
      <c r="K6" s="277"/>
    </row>
    <row r="7" spans="2:11" x14ac:dyDescent="0.3">
      <c r="B7" s="13" t="s">
        <v>1</v>
      </c>
      <c r="C7" s="14" t="s">
        <v>2</v>
      </c>
      <c r="D7" s="14" t="s">
        <v>3</v>
      </c>
      <c r="E7" s="14" t="s">
        <v>343</v>
      </c>
      <c r="F7" s="14" t="s">
        <v>585</v>
      </c>
      <c r="G7" s="28" t="s">
        <v>4</v>
      </c>
      <c r="H7" s="28" t="s">
        <v>5</v>
      </c>
      <c r="I7" s="4"/>
      <c r="J7" s="5" t="s">
        <v>6</v>
      </c>
      <c r="K7" s="6">
        <f>SUM(Tabla1103453454455456479108130137157174301308323326334339208229[Total costo])</f>
        <v>1175.6428484</v>
      </c>
    </row>
    <row r="8" spans="2:11" x14ac:dyDescent="0.3">
      <c r="B8" s="7" t="s">
        <v>167</v>
      </c>
      <c r="C8" s="8" t="s">
        <v>188</v>
      </c>
      <c r="D8" s="9">
        <v>2</v>
      </c>
      <c r="E8" s="9">
        <v>0</v>
      </c>
      <c r="F8" s="9">
        <v>2</v>
      </c>
      <c r="G8" s="10">
        <f>+VLOOKUP(Tabla1103453454455456479108130137157174301308323326334339208229[[#This Row],[Ingrediente]],Tabla34[#All],3,0)</f>
        <v>4.5</v>
      </c>
      <c r="H8" s="11">
        <f>+Tabla1103453454455456479108130137157174301308323326334339208229[[#This Row],[Costo]]*Tabla1103453454455456479108130137157174301308323326334339208229[[#This Row],[Columna2]]</f>
        <v>9</v>
      </c>
      <c r="I8" s="4"/>
      <c r="J8" s="5" t="s">
        <v>113</v>
      </c>
      <c r="K8" s="12">
        <f>+K7*5%</f>
        <v>58.782142420000007</v>
      </c>
    </row>
    <row r="9" spans="2:11" x14ac:dyDescent="0.3">
      <c r="B9" s="7" t="s">
        <v>90</v>
      </c>
      <c r="C9" s="8" t="s">
        <v>188</v>
      </c>
      <c r="D9" s="9">
        <v>40</v>
      </c>
      <c r="E9" s="9">
        <v>0</v>
      </c>
      <c r="F9" s="9">
        <v>40</v>
      </c>
      <c r="G9" s="10">
        <f>+VLOOKUP(Tabla1103453454455456479108130137157174301308323326334339208229[[#This Row],[Ingrediente]],Tabla34[#All],3,0)</f>
        <v>1.8699025499999999</v>
      </c>
      <c r="H9" s="11">
        <f>+Tabla1103453454455456479108130137157174301308323326334339208229[[#This Row],[Costo]]*Tabla1103453454455456479108130137157174301308323326334339208229[[#This Row],[Columna2]]</f>
        <v>74.796101999999991</v>
      </c>
      <c r="I9" s="4"/>
      <c r="J9" s="5" t="s">
        <v>9</v>
      </c>
      <c r="K9" s="12">
        <f>+K7+K8</f>
        <v>1234.4249908199999</v>
      </c>
    </row>
    <row r="10" spans="2:11" x14ac:dyDescent="0.3">
      <c r="B10" s="21" t="s">
        <v>534</v>
      </c>
      <c r="C10" s="8" t="s">
        <v>188</v>
      </c>
      <c r="D10" s="9">
        <v>140</v>
      </c>
      <c r="E10" s="9">
        <v>0</v>
      </c>
      <c r="F10" s="9">
        <v>140</v>
      </c>
      <c r="G10" s="10">
        <f>+VLOOKUP(Tabla1103453454455456479108130137157174301308323326334339208229[[#This Row],[Ingrediente]],Tabla34[#All],3,0)</f>
        <v>1</v>
      </c>
      <c r="H10" s="11">
        <f>+Tabla1103453454455456479108130137157174301308323326334339208229[[#This Row],[Costo]]*Tabla1103453454455456479108130137157174301308323326334339208229[[#This Row],[Columna2]]</f>
        <v>140</v>
      </c>
      <c r="I10" s="4"/>
      <c r="J10" s="17" t="s">
        <v>10</v>
      </c>
      <c r="K10" s="18">
        <v>10900</v>
      </c>
    </row>
    <row r="11" spans="2:11" x14ac:dyDescent="0.3">
      <c r="B11" s="7" t="s">
        <v>70</v>
      </c>
      <c r="C11" s="8" t="s">
        <v>188</v>
      </c>
      <c r="D11" s="9">
        <v>200</v>
      </c>
      <c r="E11" s="9">
        <v>0</v>
      </c>
      <c r="F11" s="9">
        <v>200</v>
      </c>
      <c r="G11" s="10">
        <v>0</v>
      </c>
      <c r="H11" s="11">
        <f>+Tabla1103453454455456479108130137157174301308323326334339208229[[#This Row],[Costo]]*Tabla1103453454455456479108130137157174301308323326334339208229[[#This Row],[Columna2]]</f>
        <v>0</v>
      </c>
      <c r="I11" s="4"/>
      <c r="J11" s="5" t="s">
        <v>11</v>
      </c>
      <c r="K11" s="12">
        <f>+K10/1.08*0.08</f>
        <v>807.40740740740728</v>
      </c>
    </row>
    <row r="12" spans="2:11" x14ac:dyDescent="0.3">
      <c r="B12" s="21" t="s">
        <v>156</v>
      </c>
      <c r="C12" s="8" t="s">
        <v>188</v>
      </c>
      <c r="D12" s="9">
        <v>60</v>
      </c>
      <c r="E12" s="9">
        <v>0</v>
      </c>
      <c r="F12" s="9">
        <v>60</v>
      </c>
      <c r="G12" s="10">
        <f>+VLOOKUP(Tabla1103453454455456479108130137157174301308323326334339208229[[#This Row],[Ingrediente]],Tabla34[#All],3,0)</f>
        <v>15.86411244</v>
      </c>
      <c r="H12" s="11">
        <f>+Tabla1103453454455456479108130137157174301308323326334339208229[[#This Row],[Costo]]*Tabla1103453454455456479108130137157174301308323326334339208229[[#This Row],[Columna2]]</f>
        <v>951.84674640000003</v>
      </c>
      <c r="I12" s="4"/>
      <c r="J12" s="5" t="s">
        <v>12</v>
      </c>
      <c r="K12" s="12">
        <f>+K10-K11</f>
        <v>10092.592592592593</v>
      </c>
    </row>
    <row r="13" spans="2:11" x14ac:dyDescent="0.3">
      <c r="B13" s="13"/>
      <c r="C13" s="14"/>
      <c r="D13" s="14"/>
      <c r="E13" s="14"/>
      <c r="F13" s="14"/>
      <c r="G13" s="15"/>
      <c r="H13" s="15">
        <f>SUBTOTAL(109,Tabla1103453454455456479108130137157174301308323326334339208229[Total costo])</f>
        <v>1175.6428484</v>
      </c>
      <c r="I13" s="24"/>
      <c r="J13" s="5" t="s">
        <v>13</v>
      </c>
      <c r="K13" s="19">
        <f>+K9/K12</f>
        <v>0.12230999909042201</v>
      </c>
    </row>
    <row r="14" spans="2:11" x14ac:dyDescent="0.3">
      <c r="J14" s="5" t="s">
        <v>14</v>
      </c>
      <c r="K14" s="20">
        <f>+K12-K9</f>
        <v>8858.1676017725931</v>
      </c>
    </row>
    <row r="15" spans="2:11" x14ac:dyDescent="0.3">
      <c r="J15" s="5" t="s">
        <v>15</v>
      </c>
      <c r="K15" s="22">
        <f>+K14/K9</f>
        <v>7.1759464265935815</v>
      </c>
    </row>
    <row r="16" spans="2:11" x14ac:dyDescent="0.3">
      <c r="G16" s="4"/>
    </row>
    <row r="17" spans="2:11" x14ac:dyDescent="0.3">
      <c r="G17" s="4"/>
    </row>
    <row r="18" spans="2:11" x14ac:dyDescent="0.3">
      <c r="B18" s="1" t="s">
        <v>195</v>
      </c>
      <c r="C18" s="2"/>
      <c r="D18" s="2"/>
      <c r="E18" s="3"/>
      <c r="F18" s="3"/>
      <c r="G18" s="3"/>
      <c r="H18" s="3"/>
      <c r="I18" s="4"/>
      <c r="J18" s="277" t="s">
        <v>0</v>
      </c>
      <c r="K18" s="277"/>
    </row>
    <row r="19" spans="2:11" x14ac:dyDescent="0.3">
      <c r="B19" s="13" t="s">
        <v>1</v>
      </c>
      <c r="C19" s="14" t="s">
        <v>2</v>
      </c>
      <c r="D19" s="14" t="s">
        <v>3</v>
      </c>
      <c r="E19" s="14" t="s">
        <v>343</v>
      </c>
      <c r="F19" s="14" t="s">
        <v>585</v>
      </c>
      <c r="G19" s="28" t="s">
        <v>4</v>
      </c>
      <c r="H19" s="28" t="s">
        <v>5</v>
      </c>
      <c r="I19" s="4"/>
      <c r="J19" s="5" t="s">
        <v>6</v>
      </c>
      <c r="K19" s="6">
        <f>SUM(Tabla1103453454455456479108130137157174301308323327335340214231[Total costo])</f>
        <v>1459.9761923999999</v>
      </c>
    </row>
    <row r="20" spans="2:11" x14ac:dyDescent="0.3">
      <c r="B20" s="7" t="s">
        <v>90</v>
      </c>
      <c r="C20" s="8" t="s">
        <v>188</v>
      </c>
      <c r="D20" s="9">
        <v>40</v>
      </c>
      <c r="E20" s="9">
        <v>0</v>
      </c>
      <c r="F20" s="9">
        <v>40</v>
      </c>
      <c r="G20" s="10">
        <f>+VLOOKUP(Tabla1103453454455456479108130137157174301308323327335340214231[[#This Row],[Ingrediente]],Tabla34[#All],3,0)</f>
        <v>1.8699025499999999</v>
      </c>
      <c r="H20" s="11">
        <f>+Tabla1103453454455456479108130137157174301308323327335340214231[[#This Row],[Costo]]*Tabla1103453454455456479108130137157174301308323327335340214231[[#This Row],[Columna2]]</f>
        <v>74.796101999999991</v>
      </c>
      <c r="I20" s="4"/>
      <c r="J20" s="5" t="s">
        <v>113</v>
      </c>
      <c r="K20" s="12">
        <f>+K19*5%</f>
        <v>72.998809620000003</v>
      </c>
    </row>
    <row r="21" spans="2:11" x14ac:dyDescent="0.3">
      <c r="B21" s="21" t="s">
        <v>70</v>
      </c>
      <c r="C21" s="8" t="s">
        <v>188</v>
      </c>
      <c r="D21" s="9">
        <v>200</v>
      </c>
      <c r="E21" s="9">
        <v>0</v>
      </c>
      <c r="F21" s="9">
        <v>200</v>
      </c>
      <c r="G21" s="10">
        <v>0</v>
      </c>
      <c r="H21" s="11">
        <f>+Tabla1103453454455456479108130137157174301308323327335340214231[[#This Row],[Costo]]*Tabla1103453454455456479108130137157174301308323327335340214231[[#This Row],[Columna2]]</f>
        <v>0</v>
      </c>
      <c r="I21" s="4"/>
      <c r="J21" s="5" t="s">
        <v>9</v>
      </c>
      <c r="K21" s="12">
        <f>+K19+K20</f>
        <v>1532.9750020199999</v>
      </c>
    </row>
    <row r="22" spans="2:11" x14ac:dyDescent="0.3">
      <c r="B22" s="7" t="s">
        <v>534</v>
      </c>
      <c r="C22" s="8" t="s">
        <v>188</v>
      </c>
      <c r="D22" s="9">
        <v>140</v>
      </c>
      <c r="E22" s="9">
        <v>0</v>
      </c>
      <c r="F22" s="9">
        <v>140</v>
      </c>
      <c r="G22" s="10">
        <f>+VLOOKUP(Tabla1103453454455456479108130137157174301308323327335340214231[[#This Row],[Ingrediente]],Tabla34[#All],3,0)</f>
        <v>1</v>
      </c>
      <c r="H22" s="11">
        <f>+Tabla1103453454455456479108130137157174301308323327335340214231[[#This Row],[Costo]]*Tabla1103453454455456479108130137157174301308323327335340214231[[#This Row],[Columna2]]</f>
        <v>140</v>
      </c>
      <c r="I22" s="4"/>
      <c r="J22" s="17" t="s">
        <v>10</v>
      </c>
      <c r="K22" s="18">
        <v>10900</v>
      </c>
    </row>
    <row r="23" spans="2:11" x14ac:dyDescent="0.3">
      <c r="B23" s="21" t="s">
        <v>553</v>
      </c>
      <c r="C23" s="8" t="s">
        <v>188</v>
      </c>
      <c r="D23" s="9">
        <v>11.000000399999999</v>
      </c>
      <c r="E23" s="9">
        <v>40</v>
      </c>
      <c r="F23" s="9">
        <v>18.333334000000001</v>
      </c>
      <c r="G23" s="10">
        <f>+VLOOKUP(Tabla1103453454455456479108130137157174301308323327335340214231[[#This Row],[Ingrediente]],Tabla34[#All],3,0)</f>
        <v>16</v>
      </c>
      <c r="H23" s="11">
        <f>+Tabla1103453454455456479108130137157174301308323327335340214231[[#This Row],[Costo]]*Tabla1103453454455456479108130137157174301308323327335340214231[[#This Row],[Columna2]]</f>
        <v>293.33334400000001</v>
      </c>
      <c r="I23" s="4"/>
      <c r="J23" s="5" t="s">
        <v>11</v>
      </c>
      <c r="K23" s="12">
        <f>+K22/1.08*0.08</f>
        <v>807.40740740740728</v>
      </c>
    </row>
    <row r="24" spans="2:11" x14ac:dyDescent="0.3">
      <c r="B24" s="7" t="s">
        <v>156</v>
      </c>
      <c r="C24" s="8" t="s">
        <v>188</v>
      </c>
      <c r="D24" s="9">
        <v>60</v>
      </c>
      <c r="E24" s="9">
        <v>0</v>
      </c>
      <c r="F24" s="9">
        <v>60</v>
      </c>
      <c r="G24" s="10">
        <f>+VLOOKUP(Tabla1103453454455456479108130137157174301308323327335340214231[[#This Row],[Ingrediente]],Tabla34[#All],3,0)</f>
        <v>15.86411244</v>
      </c>
      <c r="H24" s="11">
        <f>+Tabla1103453454455456479108130137157174301308323327335340214231[[#This Row],[Costo]]*Tabla1103453454455456479108130137157174301308323327335340214231[[#This Row],[Columna2]]</f>
        <v>951.84674640000003</v>
      </c>
      <c r="I24" s="4"/>
      <c r="J24" s="5" t="s">
        <v>12</v>
      </c>
      <c r="K24" s="12">
        <f>+K22-K23</f>
        <v>10092.592592592593</v>
      </c>
    </row>
    <row r="25" spans="2:11" x14ac:dyDescent="0.3">
      <c r="B25" s="13"/>
      <c r="C25" s="14"/>
      <c r="D25" s="14"/>
      <c r="E25" s="14"/>
      <c r="F25" s="14"/>
      <c r="G25" s="15"/>
      <c r="H25" s="15">
        <f>SUBTOTAL(109,Tabla1103453454455456479108130137157174301308323327335340214231[Total costo])</f>
        <v>1459.9761923999999</v>
      </c>
      <c r="I25" s="24"/>
      <c r="J25" s="5" t="s">
        <v>13</v>
      </c>
      <c r="K25" s="19">
        <f>+K21/K24</f>
        <v>0.15189110111757798</v>
      </c>
    </row>
    <row r="26" spans="2:11" x14ac:dyDescent="0.3">
      <c r="J26" s="5" t="s">
        <v>14</v>
      </c>
      <c r="K26" s="20">
        <f>+K24-K21</f>
        <v>8559.6175905725941</v>
      </c>
    </row>
    <row r="27" spans="2:11" x14ac:dyDescent="0.3">
      <c r="J27" s="5" t="s">
        <v>15</v>
      </c>
      <c r="K27" s="22">
        <f>+K26/K21</f>
        <v>5.5836641688831143</v>
      </c>
    </row>
    <row r="31" spans="2:11" x14ac:dyDescent="0.3">
      <c r="G31" s="4"/>
    </row>
    <row r="32" spans="2:11" x14ac:dyDescent="0.3">
      <c r="B32" s="1" t="s">
        <v>196</v>
      </c>
      <c r="C32" s="2"/>
      <c r="D32" s="2"/>
      <c r="E32" s="3"/>
      <c r="F32" s="3"/>
      <c r="G32" s="3"/>
      <c r="H32" s="3"/>
      <c r="I32" s="4"/>
      <c r="J32" s="102" t="s">
        <v>0</v>
      </c>
      <c r="K32" s="102"/>
    </row>
    <row r="33" spans="2:11" x14ac:dyDescent="0.3">
      <c r="B33" s="13" t="s">
        <v>1</v>
      </c>
      <c r="C33" s="14" t="s">
        <v>2</v>
      </c>
      <c r="D33" s="14" t="s">
        <v>3</v>
      </c>
      <c r="E33" s="14" t="s">
        <v>343</v>
      </c>
      <c r="F33" s="14" t="s">
        <v>585</v>
      </c>
      <c r="G33" s="28" t="s">
        <v>4</v>
      </c>
      <c r="H33" s="28" t="s">
        <v>5</v>
      </c>
      <c r="I33" s="4"/>
      <c r="J33" s="5" t="s">
        <v>6</v>
      </c>
      <c r="K33" s="6">
        <f>SUM(Tabla1103453454455456479108130137157174301308323327335340341218232[Total costo])</f>
        <v>4200.5723987000001</v>
      </c>
    </row>
    <row r="34" spans="2:11" x14ac:dyDescent="0.3">
      <c r="B34" s="7" t="s">
        <v>70</v>
      </c>
      <c r="C34" s="8" t="s">
        <v>188</v>
      </c>
      <c r="D34" s="9">
        <v>100</v>
      </c>
      <c r="E34" s="9">
        <v>0</v>
      </c>
      <c r="F34" s="9">
        <v>100</v>
      </c>
      <c r="G34" s="10">
        <v>0</v>
      </c>
      <c r="H34" s="11">
        <f>+Tabla1103453454455456479108130137157174301308323327335340341218232[[#This Row],[Costo]]*Tabla1103453454455456479108130137157174301308323327335340341218232[[#This Row],[Columna2]]</f>
        <v>0</v>
      </c>
      <c r="I34" s="4"/>
      <c r="J34" s="5" t="s">
        <v>113</v>
      </c>
      <c r="K34" s="12">
        <f>+K33*5%</f>
        <v>210.02861993500002</v>
      </c>
    </row>
    <row r="35" spans="2:11" x14ac:dyDescent="0.3">
      <c r="B35" s="21" t="s">
        <v>55</v>
      </c>
      <c r="C35" s="8" t="s">
        <v>570</v>
      </c>
      <c r="D35" s="9">
        <v>1</v>
      </c>
      <c r="E35" s="9">
        <v>0</v>
      </c>
      <c r="F35" s="9">
        <v>1</v>
      </c>
      <c r="G35" s="10">
        <f>+VLOOKUP(Tabla1103453454455456479108130137157174301308323327335340341218232[[#This Row],[Ingrediente]],Tabla34[#All],3,0)</f>
        <v>3300</v>
      </c>
      <c r="H35" s="11">
        <f>+Tabla1103453454455456479108130137157174301308323327335340341218232[[#This Row],[Costo]]*Tabla1103453454455456479108130137157174301308323327335340341218232[[#This Row],[Columna2]]</f>
        <v>3300</v>
      </c>
      <c r="I35" s="4"/>
      <c r="J35" s="5" t="s">
        <v>9</v>
      </c>
      <c r="K35" s="12">
        <f>+K33+K34</f>
        <v>4410.6010186350004</v>
      </c>
    </row>
    <row r="36" spans="2:11" x14ac:dyDescent="0.3">
      <c r="B36" s="21" t="s">
        <v>90</v>
      </c>
      <c r="C36" s="8" t="s">
        <v>188</v>
      </c>
      <c r="D36" s="9">
        <v>10</v>
      </c>
      <c r="E36" s="9">
        <v>0</v>
      </c>
      <c r="F36" s="9">
        <v>10</v>
      </c>
      <c r="G36" s="10">
        <f>+VLOOKUP(Tabla1103453454455456479108130137157174301308323327335340341218232[[#This Row],[Ingrediente]],Tabla34[#All],3,0)</f>
        <v>1.8699025499999999</v>
      </c>
      <c r="H36" s="11">
        <f>+Tabla1103453454455456479108130137157174301308323327335340341218232[[#This Row],[Costo]]*Tabla1103453454455456479108130137157174301308323327335340341218232[[#This Row],[Columna2]]</f>
        <v>18.699025499999998</v>
      </c>
      <c r="I36" s="4"/>
      <c r="J36" s="17" t="s">
        <v>10</v>
      </c>
      <c r="K36" s="18">
        <v>14500</v>
      </c>
    </row>
    <row r="37" spans="2:11" x14ac:dyDescent="0.3">
      <c r="B37" s="7" t="s">
        <v>423</v>
      </c>
      <c r="C37" s="8" t="s">
        <v>188</v>
      </c>
      <c r="D37" s="9">
        <v>10</v>
      </c>
      <c r="E37" s="9">
        <v>0</v>
      </c>
      <c r="F37" s="9">
        <v>10</v>
      </c>
      <c r="G37" s="10">
        <f>+VLOOKUP(Tabla1103453454455456479108130137157174301308323327335340341218232[[#This Row],[Ingrediente]],Tabla34[#All],3,0)</f>
        <v>40.594999999999999</v>
      </c>
      <c r="H37" s="11">
        <f>+Tabla1103453454455456479108130137157174301308323327335340341218232[[#This Row],[Costo]]*Tabla1103453454455456479108130137157174301308323327335340341218232[[#This Row],[Columna2]]</f>
        <v>405.95</v>
      </c>
      <c r="I37" s="4"/>
      <c r="J37" s="5" t="s">
        <v>11</v>
      </c>
      <c r="K37" s="12">
        <f>+K36/1.08*0.08</f>
        <v>1074.0740740740741</v>
      </c>
    </row>
    <row r="38" spans="2:11" x14ac:dyDescent="0.3">
      <c r="B38" s="7" t="s">
        <v>156</v>
      </c>
      <c r="C38" s="8" t="s">
        <v>188</v>
      </c>
      <c r="D38" s="9">
        <v>30</v>
      </c>
      <c r="E38" s="9">
        <v>0</v>
      </c>
      <c r="F38" s="9">
        <v>30</v>
      </c>
      <c r="G38" s="10">
        <f>+VLOOKUP(Tabla1103453454455456479108130137157174301308323327335340341218232[[#This Row],[Ingrediente]],Tabla34[#All],3,0)</f>
        <v>15.86411244</v>
      </c>
      <c r="H38" s="11">
        <f>+Tabla1103453454455456479108130137157174301308323327335340341218232[[#This Row],[Costo]]*Tabla1103453454455456479108130137157174301308323327335340341218232[[#This Row],[Columna2]]</f>
        <v>475.92337320000001</v>
      </c>
      <c r="I38" s="24"/>
      <c r="J38" s="5" t="s">
        <v>12</v>
      </c>
      <c r="K38" s="12">
        <f>+K36-K37</f>
        <v>13425.925925925925</v>
      </c>
    </row>
    <row r="39" spans="2:11" x14ac:dyDescent="0.3">
      <c r="B39" s="13"/>
      <c r="C39" s="14"/>
      <c r="D39" s="14"/>
      <c r="E39" s="14"/>
      <c r="F39" s="14"/>
      <c r="G39" s="15"/>
      <c r="H39" s="15">
        <f>SUBTOTAL(109,Tabla1103453454455456479108130137157174301308323327335340341218232[Total costo])</f>
        <v>4200.5723987000001</v>
      </c>
      <c r="J39" s="5" t="s">
        <v>13</v>
      </c>
      <c r="K39" s="19">
        <f>+K35/K38</f>
        <v>0.32851373104315867</v>
      </c>
    </row>
    <row r="40" spans="2:11" x14ac:dyDescent="0.3">
      <c r="J40" s="5" t="s">
        <v>14</v>
      </c>
      <c r="K40" s="20">
        <f>+K38-K35</f>
        <v>9015.3249072909239</v>
      </c>
    </row>
    <row r="41" spans="2:11" x14ac:dyDescent="0.3">
      <c r="J41" s="5" t="s">
        <v>15</v>
      </c>
      <c r="K41" s="22">
        <f>+K40/K35</f>
        <v>2.0440127930866439</v>
      </c>
    </row>
    <row r="44" spans="2:11" x14ac:dyDescent="0.3">
      <c r="G44" s="4"/>
    </row>
    <row r="45" spans="2:11" x14ac:dyDescent="0.3">
      <c r="B45" s="1" t="s">
        <v>197</v>
      </c>
      <c r="C45" s="2"/>
      <c r="D45" s="2"/>
      <c r="E45" s="3"/>
      <c r="F45" s="3"/>
      <c r="G45" s="3"/>
      <c r="H45" s="3"/>
      <c r="I45" s="4"/>
      <c r="J45" s="102" t="s">
        <v>0</v>
      </c>
      <c r="K45" s="102"/>
    </row>
    <row r="46" spans="2:11" x14ac:dyDescent="0.3">
      <c r="B46" s="13" t="s">
        <v>1</v>
      </c>
      <c r="C46" s="14" t="s">
        <v>2</v>
      </c>
      <c r="D46" s="14" t="s">
        <v>3</v>
      </c>
      <c r="E46" s="14" t="s">
        <v>343</v>
      </c>
      <c r="F46" s="14" t="s">
        <v>585</v>
      </c>
      <c r="G46" s="28" t="s">
        <v>4</v>
      </c>
      <c r="H46" s="28" t="s">
        <v>5</v>
      </c>
      <c r="I46" s="4"/>
      <c r="J46" s="5" t="s">
        <v>6</v>
      </c>
      <c r="K46" s="6">
        <f>SUM(Tabla1103453454455456479108130137157174301308323327335340342225233[Total costo])</f>
        <v>2624.7942641300001</v>
      </c>
    </row>
    <row r="47" spans="2:11" x14ac:dyDescent="0.3">
      <c r="B47" s="7" t="s">
        <v>70</v>
      </c>
      <c r="C47" s="8" t="s">
        <v>188</v>
      </c>
      <c r="D47" s="9">
        <v>100</v>
      </c>
      <c r="E47" s="9">
        <v>0</v>
      </c>
      <c r="F47" s="9">
        <v>100</v>
      </c>
      <c r="G47" s="10">
        <v>0</v>
      </c>
      <c r="H47" s="11">
        <f>+Tabla1103453454455456479108130137157174301308323327335340342225233[[#This Row],[Costo]]*Tabla1103453454455456479108130137157174301308323327335340342225233[[#This Row],[Columna2]]</f>
        <v>0</v>
      </c>
      <c r="I47" s="4"/>
      <c r="J47" s="5" t="s">
        <v>113</v>
      </c>
      <c r="K47" s="12">
        <f>+K46*5%</f>
        <v>131.2397132065</v>
      </c>
    </row>
    <row r="48" spans="2:11" x14ac:dyDescent="0.3">
      <c r="B48" s="21" t="s">
        <v>48</v>
      </c>
      <c r="C48" s="8" t="s">
        <v>570</v>
      </c>
      <c r="D48" s="9">
        <v>1</v>
      </c>
      <c r="E48" s="9">
        <v>0</v>
      </c>
      <c r="F48" s="9">
        <v>1</v>
      </c>
      <c r="G48" s="10">
        <f>+VLOOKUP(Tabla1103453454455456479108130137157174301308323327335340342225233[[#This Row],[Ingrediente]],Tabla34[#All],3,0)</f>
        <v>2571.4285714299999</v>
      </c>
      <c r="H48" s="11">
        <f>+Tabla1103453454455456479108130137157174301308323327335340342225233[[#This Row],[Costo]]*Tabla1103453454455456479108130137157174301308323327335340342225233[[#This Row],[Columna2]]</f>
        <v>2571.4285714299999</v>
      </c>
      <c r="I48" s="4"/>
      <c r="J48" s="5" t="s">
        <v>9</v>
      </c>
      <c r="K48" s="12">
        <f>+K46+K47</f>
        <v>2756.0339773364999</v>
      </c>
    </row>
    <row r="49" spans="2:11" x14ac:dyDescent="0.3">
      <c r="B49" s="7" t="s">
        <v>90</v>
      </c>
      <c r="C49" s="8" t="s">
        <v>188</v>
      </c>
      <c r="D49" s="9">
        <v>10</v>
      </c>
      <c r="E49" s="9">
        <v>0</v>
      </c>
      <c r="F49" s="9">
        <v>10</v>
      </c>
      <c r="G49" s="10">
        <f>+VLOOKUP(Tabla1103453454455456479108130137157174301308323327335340342225233[[#This Row],[Ingrediente]],Tabla34[#All],3,0)</f>
        <v>1.8699025499999999</v>
      </c>
      <c r="H49" s="11">
        <f>+Tabla1103453454455456479108130137157174301308323327335340342225233[[#This Row],[Costo]]*Tabla1103453454455456479108130137157174301308323327335340342225233[[#This Row],[Columna2]]</f>
        <v>18.699025499999998</v>
      </c>
      <c r="I49" s="4"/>
      <c r="J49" s="17" t="s">
        <v>10</v>
      </c>
      <c r="K49" s="18">
        <v>10900</v>
      </c>
    </row>
    <row r="50" spans="2:11" x14ac:dyDescent="0.3">
      <c r="B50" s="21" t="s">
        <v>553</v>
      </c>
      <c r="C50" s="8" t="s">
        <v>188</v>
      </c>
      <c r="D50" s="9">
        <v>1.3000000199999999</v>
      </c>
      <c r="E50" s="9">
        <v>40</v>
      </c>
      <c r="F50" s="9">
        <v>2.1666666999999999</v>
      </c>
      <c r="G50" s="10">
        <f>+VLOOKUP(Tabla1103453454455456479108130137157174301308323327335340342225233[[#This Row],[Ingrediente]],Tabla34[#All],3,0)</f>
        <v>16</v>
      </c>
      <c r="H50" s="11">
        <f>+Tabla1103453454455456479108130137157174301308323327335340342225233[[#This Row],[Costo]]*Tabla1103453454455456479108130137157174301308323327335340342225233[[#This Row],[Columna2]]</f>
        <v>34.666667199999999</v>
      </c>
      <c r="I50" s="4"/>
      <c r="J50" s="5" t="s">
        <v>11</v>
      </c>
      <c r="K50" s="12">
        <f>+K49/1.08*0.08</f>
        <v>807.40740740740728</v>
      </c>
    </row>
    <row r="51" spans="2:11" x14ac:dyDescent="0.3">
      <c r="B51" s="13"/>
      <c r="C51" s="14"/>
      <c r="D51" s="14"/>
      <c r="E51" s="14"/>
      <c r="F51" s="14"/>
      <c r="G51" s="15"/>
      <c r="H51" s="15">
        <f>SUBTOTAL(109,Tabla1103453454455456479108130137157174301308323327335340342225233[Total costo])</f>
        <v>2624.7942641300001</v>
      </c>
      <c r="I51" s="24"/>
      <c r="J51" s="5" t="s">
        <v>12</v>
      </c>
      <c r="K51" s="12">
        <f>+K49-K50</f>
        <v>10092.592592592593</v>
      </c>
    </row>
    <row r="52" spans="2:11" x14ac:dyDescent="0.3">
      <c r="J52" s="5" t="s">
        <v>13</v>
      </c>
      <c r="K52" s="19">
        <f>+K48/K51</f>
        <v>0.27307492619480916</v>
      </c>
    </row>
    <row r="53" spans="2:11" x14ac:dyDescent="0.3">
      <c r="J53" s="5" t="s">
        <v>14</v>
      </c>
      <c r="K53" s="20">
        <f>+K51-K48</f>
        <v>7336.5586152560936</v>
      </c>
    </row>
    <row r="54" spans="2:11" x14ac:dyDescent="0.3">
      <c r="J54" s="5" t="s">
        <v>15</v>
      </c>
      <c r="K54" s="22">
        <f>+K53/K48</f>
        <v>2.6619986094461461</v>
      </c>
    </row>
    <row r="59" spans="2:11" x14ac:dyDescent="0.3">
      <c r="B59" s="1" t="s">
        <v>1267</v>
      </c>
      <c r="C59" s="2"/>
      <c r="D59" s="2"/>
      <c r="E59" s="3"/>
      <c r="F59" s="3"/>
      <c r="G59" s="3"/>
      <c r="H59" s="3"/>
      <c r="I59" s="4"/>
      <c r="J59" s="102" t="s">
        <v>0</v>
      </c>
      <c r="K59" s="102"/>
    </row>
    <row r="60" spans="2:11" x14ac:dyDescent="0.3">
      <c r="B60" s="13" t="s">
        <v>1</v>
      </c>
      <c r="C60" s="14" t="s">
        <v>2</v>
      </c>
      <c r="D60" s="14" t="s">
        <v>3</v>
      </c>
      <c r="E60" s="14" t="s">
        <v>343</v>
      </c>
      <c r="F60" s="14" t="s">
        <v>585</v>
      </c>
      <c r="G60" s="28" t="s">
        <v>4</v>
      </c>
      <c r="H60" s="28" t="s">
        <v>5</v>
      </c>
      <c r="I60" s="4"/>
      <c r="J60" s="5" t="s">
        <v>6</v>
      </c>
      <c r="K60" s="6">
        <f>SUM(Tabla110345345445545647910813013715717430130832332733534034222523325[Total costo])</f>
        <v>5024.7942641299996</v>
      </c>
    </row>
    <row r="61" spans="2:11" x14ac:dyDescent="0.3">
      <c r="B61" s="7" t="s">
        <v>70</v>
      </c>
      <c r="C61" s="8" t="s">
        <v>188</v>
      </c>
      <c r="D61" s="9">
        <v>100</v>
      </c>
      <c r="E61" s="9">
        <v>0</v>
      </c>
      <c r="F61" s="9">
        <v>100</v>
      </c>
      <c r="G61" s="10">
        <v>0</v>
      </c>
      <c r="H61" s="11">
        <f>+Tabla110345345445545647910813013715717430130832332733534034222523325[[#This Row],[Costo]]*Tabla110345345445545647910813013715717430130832332733534034222523325[[#This Row],[Columna2]]</f>
        <v>0</v>
      </c>
      <c r="I61" s="4"/>
      <c r="J61" s="5" t="s">
        <v>113</v>
      </c>
      <c r="K61" s="12">
        <f>+K60*5%</f>
        <v>251.2397132065</v>
      </c>
    </row>
    <row r="62" spans="2:11" x14ac:dyDescent="0.3">
      <c r="B62" s="21" t="s">
        <v>48</v>
      </c>
      <c r="C62" s="8" t="s">
        <v>570</v>
      </c>
      <c r="D62" s="9">
        <v>1</v>
      </c>
      <c r="E62" s="9">
        <v>0</v>
      </c>
      <c r="F62" s="9">
        <v>1</v>
      </c>
      <c r="G62" s="10">
        <f>+VLOOKUP(Tabla110345345445545647910813013715717430130832332733534034222523325[[#This Row],[Ingrediente]],Tabla34[#All],3,0)</f>
        <v>2571.4285714299999</v>
      </c>
      <c r="H62" s="11">
        <f>+Tabla110345345445545647910813013715717430130832332733534034222523325[[#This Row],[Costo]]*Tabla110345345445545647910813013715717430130832332733534034222523325[[#This Row],[Columna2]]</f>
        <v>2571.4285714299999</v>
      </c>
      <c r="I62" s="4"/>
      <c r="J62" s="5" t="s">
        <v>9</v>
      </c>
      <c r="K62" s="12">
        <f>+K60+K61</f>
        <v>5276.0339773364994</v>
      </c>
    </row>
    <row r="63" spans="2:11" x14ac:dyDescent="0.3">
      <c r="B63" s="7" t="s">
        <v>90</v>
      </c>
      <c r="C63" s="8" t="s">
        <v>188</v>
      </c>
      <c r="D63" s="9">
        <v>10</v>
      </c>
      <c r="E63" s="9">
        <v>0</v>
      </c>
      <c r="F63" s="9">
        <v>10</v>
      </c>
      <c r="G63" s="10">
        <f>+VLOOKUP(Tabla110345345445545647910813013715717430130832332733534034222523325[[#This Row],[Ingrediente]],Tabla34[#All],3,0)</f>
        <v>1.8699025499999999</v>
      </c>
      <c r="H63" s="11">
        <f>+Tabla110345345445545647910813013715717430130832332733534034222523325[[#This Row],[Costo]]*Tabla110345345445545647910813013715717430130832332733534034222523325[[#This Row],[Columna2]]</f>
        <v>18.699025499999998</v>
      </c>
      <c r="I63" s="4"/>
      <c r="J63" s="17" t="s">
        <v>10</v>
      </c>
      <c r="K63" s="18">
        <v>10900</v>
      </c>
    </row>
    <row r="64" spans="2:11" x14ac:dyDescent="0.3">
      <c r="B64" s="21" t="s">
        <v>553</v>
      </c>
      <c r="C64" s="8" t="s">
        <v>188</v>
      </c>
      <c r="D64" s="9">
        <v>1.3000000199999999</v>
      </c>
      <c r="E64" s="9">
        <v>40</v>
      </c>
      <c r="F64" s="9">
        <v>2.1666666999999999</v>
      </c>
      <c r="G64" s="10">
        <f>+VLOOKUP(Tabla110345345445545647910813013715717430130832332733534034222523325[[#This Row],[Ingrediente]],Tabla34[#All],3,0)</f>
        <v>16</v>
      </c>
      <c r="H64" s="11">
        <f>+Tabla110345345445545647910813013715717430130832332733534034222523325[[#This Row],[Costo]]*Tabla110345345445545647910813013715717430130832332733534034222523325[[#This Row],[Columna2]]</f>
        <v>34.666667199999999</v>
      </c>
      <c r="I64" s="4"/>
      <c r="J64" s="5" t="s">
        <v>11</v>
      </c>
      <c r="K64" s="12">
        <f>+K63/1.08*0.08</f>
        <v>807.40740740740728</v>
      </c>
    </row>
    <row r="65" spans="2:11" x14ac:dyDescent="0.3">
      <c r="B65" s="21" t="s">
        <v>487</v>
      </c>
      <c r="C65" s="8" t="s">
        <v>188</v>
      </c>
      <c r="D65" s="9">
        <v>150</v>
      </c>
      <c r="E65" s="9">
        <v>0</v>
      </c>
      <c r="F65" s="9">
        <v>150</v>
      </c>
      <c r="G65" s="10">
        <f>+VLOOKUP(Tabla110345345445545647910813013715717430130832332733534034222523325[[#This Row],[Ingrediente]],Tabla34[#All],3,0)</f>
        <v>16</v>
      </c>
      <c r="H65" s="11">
        <f>+Tabla110345345445545647910813013715717430130832332733534034222523325[[#This Row],[Costo]]*Tabla110345345445545647910813013715717430130832332733534034222523325[[#This Row],[Columna2]]</f>
        <v>2400</v>
      </c>
      <c r="I65" s="24"/>
      <c r="J65" s="5" t="s">
        <v>12</v>
      </c>
      <c r="K65" s="12">
        <f>+K63-K64</f>
        <v>10092.592592592593</v>
      </c>
    </row>
    <row r="66" spans="2:11" x14ac:dyDescent="0.3">
      <c r="B66" s="13"/>
      <c r="C66" s="14"/>
      <c r="D66" s="14"/>
      <c r="E66" s="14"/>
      <c r="F66" s="14"/>
      <c r="G66" s="15"/>
      <c r="H66" s="15">
        <f>SUBTOTAL(109,Tabla110345345445545647910813013715717430130832332733534034222523325[Total costo])</f>
        <v>5024.7942641299996</v>
      </c>
      <c r="J66" s="5" t="s">
        <v>13</v>
      </c>
      <c r="K66" s="19">
        <f>+K62/K65</f>
        <v>0.5227629995893045</v>
      </c>
    </row>
    <row r="67" spans="2:11" x14ac:dyDescent="0.3">
      <c r="J67" s="5" t="s">
        <v>14</v>
      </c>
      <c r="K67" s="20">
        <f>+K65-K62</f>
        <v>4816.5586152560936</v>
      </c>
    </row>
    <row r="68" spans="2:11" x14ac:dyDescent="0.3">
      <c r="J68" s="5" t="s">
        <v>15</v>
      </c>
      <c r="K68" s="22">
        <f>+K67/K62</f>
        <v>0.91291273633678094</v>
      </c>
    </row>
  </sheetData>
  <mergeCells count="2">
    <mergeCell ref="J6:K6"/>
    <mergeCell ref="J18:K18"/>
  </mergeCells>
  <phoneticPr fontId="20" type="noConversion"/>
  <conditionalFormatting sqref="K13">
    <cfRule type="cellIs" dxfId="311" priority="9" operator="lessThan">
      <formula>0.3</formula>
    </cfRule>
    <cfRule type="cellIs" dxfId="310" priority="10" operator="greaterThan">
      <formula>0.3</formula>
    </cfRule>
  </conditionalFormatting>
  <conditionalFormatting sqref="K25">
    <cfRule type="cellIs" dxfId="309" priority="7" operator="lessThan">
      <formula>0.3</formula>
    </cfRule>
    <cfRule type="cellIs" dxfId="308" priority="8" operator="greaterThan">
      <formula>0.3</formula>
    </cfRule>
  </conditionalFormatting>
  <conditionalFormatting sqref="K39">
    <cfRule type="cellIs" dxfId="307" priority="5" operator="lessThan">
      <formula>0.3</formula>
    </cfRule>
    <cfRule type="cellIs" dxfId="306" priority="6" operator="greaterThan">
      <formula>0.3</formula>
    </cfRule>
  </conditionalFormatting>
  <conditionalFormatting sqref="K52">
    <cfRule type="cellIs" dxfId="305" priority="3" operator="lessThan">
      <formula>0.3</formula>
    </cfRule>
    <cfRule type="cellIs" dxfId="304" priority="4" operator="greaterThan">
      <formula>0.3</formula>
    </cfRule>
  </conditionalFormatting>
  <conditionalFormatting sqref="K66">
    <cfRule type="cellIs" dxfId="303" priority="1" operator="lessThan">
      <formula>0.3</formula>
    </cfRule>
    <cfRule type="cellIs" dxfId="302" priority="2" operator="greaterThan">
      <formula>0.3</formula>
    </cfRule>
  </conditionalFormatting>
  <pageMargins left="0.7" right="0.7" top="0.75" bottom="0.75" header="0.3" footer="0.3"/>
  <drawing r:id="rId1"/>
  <tableParts count="5">
    <tablePart r:id="rId2"/>
    <tablePart r:id="rId3"/>
    <tablePart r:id="rId4"/>
    <tablePart r:id="rId5"/>
    <tablePart r:id="rId6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25E22-3456-4D33-94AC-CA0D09CF9B86}">
  <dimension ref="B6:I88"/>
  <sheetViews>
    <sheetView showGridLines="0" topLeftCell="A25" workbookViewId="0">
      <selection activeCell="D35" sqref="D35"/>
    </sheetView>
  </sheetViews>
  <sheetFormatPr baseColWidth="10" defaultRowHeight="14.4" x14ac:dyDescent="0.3"/>
  <cols>
    <col min="1" max="1" width="6.33203125" customWidth="1"/>
    <col min="2" max="2" width="40.109375" bestFit="1" customWidth="1"/>
    <col min="7" max="7" width="3.5546875" customWidth="1"/>
    <col min="8" max="8" width="27.33203125" bestFit="1" customWidth="1"/>
  </cols>
  <sheetData>
    <row r="6" spans="2:9" x14ac:dyDescent="0.3">
      <c r="B6" s="1" t="s">
        <v>891</v>
      </c>
      <c r="C6" s="2"/>
      <c r="D6" s="2"/>
      <c r="E6" s="3"/>
      <c r="F6" s="3"/>
      <c r="G6" s="4"/>
      <c r="H6" s="277" t="s">
        <v>0</v>
      </c>
      <c r="I6" s="277"/>
    </row>
    <row r="7" spans="2:9" x14ac:dyDescent="0.3">
      <c r="B7" s="13" t="s">
        <v>1</v>
      </c>
      <c r="C7" s="14" t="s">
        <v>2</v>
      </c>
      <c r="D7" s="14" t="s">
        <v>3</v>
      </c>
      <c r="E7" s="28" t="s">
        <v>4</v>
      </c>
      <c r="F7" s="28" t="s">
        <v>5</v>
      </c>
      <c r="G7" s="4"/>
      <c r="H7" s="5" t="s">
        <v>6</v>
      </c>
      <c r="I7" s="6">
        <f>SUM(Tabla11034534544554564791081351121722993063164246276207228[Total costo])</f>
        <v>70078.000000079992</v>
      </c>
    </row>
    <row r="8" spans="2:9" x14ac:dyDescent="0.3">
      <c r="B8" s="7" t="s">
        <v>766</v>
      </c>
      <c r="C8" s="8" t="s">
        <v>107</v>
      </c>
      <c r="D8" s="9">
        <v>24</v>
      </c>
      <c r="E8" s="10">
        <f>+VLOOKUP(Tabla11034534544554564791081351121722993063164246276207228[[#This Row],[Ingrediente]],Tabla34[#All],3,0)</f>
        <v>2919.9166666699998</v>
      </c>
      <c r="F8" s="11">
        <f>+Tabla11034534544554564791081351121722993063164246276207228[[#This Row],[Costo]]*Tabla11034534544554564791081351121722993063164246276207228[[#This Row],[Cant.]]</f>
        <v>70078.000000079992</v>
      </c>
      <c r="G8" s="4"/>
      <c r="H8" s="5" t="s">
        <v>113</v>
      </c>
      <c r="I8" s="12"/>
    </row>
    <row r="9" spans="2:9" x14ac:dyDescent="0.3">
      <c r="B9" s="13"/>
      <c r="C9" s="14"/>
      <c r="D9" s="14"/>
      <c r="E9" s="15"/>
      <c r="F9" s="15">
        <f>SUBTOTAL(109,Tabla11034534544554564791081351121722993063164246276207228[Total costo])</f>
        <v>70078.000000079992</v>
      </c>
      <c r="G9" s="4"/>
      <c r="H9" s="5" t="s">
        <v>9</v>
      </c>
      <c r="I9" s="12">
        <f>+I7+I8</f>
        <v>70078.000000079992</v>
      </c>
    </row>
    <row r="10" spans="2:9" x14ac:dyDescent="0.3">
      <c r="G10" s="4"/>
      <c r="H10" s="17" t="s">
        <v>10</v>
      </c>
      <c r="I10" s="18">
        <v>296000</v>
      </c>
    </row>
    <row r="11" spans="2:9" x14ac:dyDescent="0.3">
      <c r="G11" s="4"/>
      <c r="H11" s="5" t="s">
        <v>11</v>
      </c>
      <c r="I11" s="12">
        <f>+I10/1.08*0.08</f>
        <v>21925.925925925923</v>
      </c>
    </row>
    <row r="12" spans="2:9" x14ac:dyDescent="0.3">
      <c r="G12" s="4"/>
      <c r="H12" s="5" t="s">
        <v>12</v>
      </c>
      <c r="I12" s="12">
        <f>+I10-I11</f>
        <v>274074.0740740741</v>
      </c>
    </row>
    <row r="13" spans="2:9" x14ac:dyDescent="0.3">
      <c r="G13" s="4"/>
      <c r="H13" s="5" t="s">
        <v>13</v>
      </c>
      <c r="I13" s="19">
        <f>+I9/I12</f>
        <v>0.25569000000029185</v>
      </c>
    </row>
    <row r="14" spans="2:9" x14ac:dyDescent="0.3">
      <c r="G14" s="4"/>
      <c r="H14" s="5" t="s">
        <v>14</v>
      </c>
      <c r="I14" s="20">
        <f>+I12-I9</f>
        <v>203996.07407399412</v>
      </c>
    </row>
    <row r="15" spans="2:9" x14ac:dyDescent="0.3">
      <c r="G15" s="4"/>
      <c r="H15" s="5" t="s">
        <v>15</v>
      </c>
      <c r="I15" s="22">
        <f>+I14/I9</f>
        <v>2.9109859595559415</v>
      </c>
    </row>
    <row r="18" spans="2:9" x14ac:dyDescent="0.3">
      <c r="B18" s="1" t="s">
        <v>951</v>
      </c>
      <c r="C18" s="2"/>
      <c r="D18" s="2"/>
      <c r="E18" s="3"/>
      <c r="F18" s="3"/>
      <c r="G18" s="4"/>
      <c r="H18" s="277" t="s">
        <v>0</v>
      </c>
      <c r="I18" s="277"/>
    </row>
    <row r="19" spans="2:9" x14ac:dyDescent="0.3">
      <c r="B19" s="13" t="s">
        <v>1</v>
      </c>
      <c r="C19" s="14" t="s">
        <v>2</v>
      </c>
      <c r="D19" s="14" t="s">
        <v>3</v>
      </c>
      <c r="E19" s="28" t="s">
        <v>4</v>
      </c>
      <c r="F19" s="28" t="s">
        <v>5</v>
      </c>
      <c r="G19" s="4"/>
      <c r="H19" s="5" t="s">
        <v>6</v>
      </c>
      <c r="I19" s="6">
        <f>SUM(Tabla11034534544554564791081351121722993063164246276207228350[Total costo])</f>
        <v>41250</v>
      </c>
    </row>
    <row r="20" spans="2:9" x14ac:dyDescent="0.3">
      <c r="B20" s="7" t="s">
        <v>479</v>
      </c>
      <c r="C20" s="8" t="s">
        <v>61</v>
      </c>
      <c r="D20" s="9">
        <v>1</v>
      </c>
      <c r="E20" s="10">
        <f>+VLOOKUP(Tabla11034534544554564791081351121722993063164246276207228350[[#This Row],[Ingrediente]],Tabla34[#All],3,0)</f>
        <v>41250</v>
      </c>
      <c r="F20" s="11">
        <f>+Tabla11034534544554564791081351121722993063164246276207228350[[#This Row],[Costo]]*Tabla11034534544554564791081351121722993063164246276207228350[[#This Row],[Cant.]]</f>
        <v>41250</v>
      </c>
      <c r="G20" s="4"/>
      <c r="H20" s="5" t="s">
        <v>113</v>
      </c>
      <c r="I20" s="12"/>
    </row>
    <row r="21" spans="2:9" x14ac:dyDescent="0.3">
      <c r="B21" s="13"/>
      <c r="C21" s="14"/>
      <c r="D21" s="14"/>
      <c r="E21" s="15"/>
      <c r="F21" s="15">
        <f>SUBTOTAL(109,Tabla11034534544554564791081351121722993063164246276207228350[Total costo])</f>
        <v>41250</v>
      </c>
      <c r="G21" s="4"/>
      <c r="H21" s="5" t="s">
        <v>9</v>
      </c>
      <c r="I21" s="12">
        <f>+I19+I20</f>
        <v>41250</v>
      </c>
    </row>
    <row r="22" spans="2:9" x14ac:dyDescent="0.3">
      <c r="G22" s="4"/>
      <c r="H22" s="17" t="s">
        <v>10</v>
      </c>
      <c r="I22" s="18">
        <v>135000</v>
      </c>
    </row>
    <row r="23" spans="2:9" x14ac:dyDescent="0.3">
      <c r="G23" s="4"/>
      <c r="H23" s="5" t="s">
        <v>11</v>
      </c>
      <c r="I23" s="12">
        <f>+I22/1.08*0.08</f>
        <v>9999.9999999999982</v>
      </c>
    </row>
    <row r="24" spans="2:9" x14ac:dyDescent="0.3">
      <c r="G24" s="4"/>
      <c r="H24" s="5" t="s">
        <v>12</v>
      </c>
      <c r="I24" s="12">
        <f>+I22-I23</f>
        <v>125000</v>
      </c>
    </row>
    <row r="25" spans="2:9" x14ac:dyDescent="0.3">
      <c r="G25" s="4"/>
      <c r="H25" s="5" t="s">
        <v>13</v>
      </c>
      <c r="I25" s="19">
        <f>+I21/I24</f>
        <v>0.33</v>
      </c>
    </row>
    <row r="26" spans="2:9" x14ac:dyDescent="0.3">
      <c r="G26" s="4"/>
      <c r="H26" s="5" t="s">
        <v>14</v>
      </c>
      <c r="I26" s="20">
        <f>+I24-I21</f>
        <v>83750</v>
      </c>
    </row>
    <row r="27" spans="2:9" x14ac:dyDescent="0.3">
      <c r="G27" s="4"/>
      <c r="H27" s="5" t="s">
        <v>15</v>
      </c>
      <c r="I27" s="22">
        <f>+I26/I21</f>
        <v>2.0303030303030303</v>
      </c>
    </row>
    <row r="32" spans="2:9" x14ac:dyDescent="0.3">
      <c r="B32" s="1" t="s">
        <v>289</v>
      </c>
      <c r="C32" s="2"/>
      <c r="D32" s="2"/>
      <c r="E32" s="3"/>
      <c r="F32" s="3"/>
      <c r="G32" s="4"/>
      <c r="H32" s="277" t="s">
        <v>0</v>
      </c>
      <c r="I32" s="277"/>
    </row>
    <row r="33" spans="2:9" x14ac:dyDescent="0.3">
      <c r="B33" s="13" t="s">
        <v>1</v>
      </c>
      <c r="C33" s="14" t="s">
        <v>2</v>
      </c>
      <c r="D33" s="14" t="s">
        <v>3</v>
      </c>
      <c r="E33" s="28" t="s">
        <v>4</v>
      </c>
      <c r="F33" s="28" t="s">
        <v>5</v>
      </c>
      <c r="G33" s="4"/>
      <c r="H33" s="5" t="s">
        <v>6</v>
      </c>
      <c r="I33" s="6">
        <f>SUM(Tabla11034534544554564791081351121722993063164246276207228350351[Total costo])</f>
        <v>258698</v>
      </c>
    </row>
    <row r="34" spans="2:9" x14ac:dyDescent="0.3">
      <c r="B34" s="61" t="s">
        <v>382</v>
      </c>
      <c r="C34" s="8" t="s">
        <v>107</v>
      </c>
      <c r="D34" s="9">
        <v>22</v>
      </c>
      <c r="E34" s="10">
        <f>+VLOOKUP(Tabla11034534544554564791081351121722993063164246276207228350351[[#This Row],[Ingrediente]],Tabla34[#All],3,0)</f>
        <v>11759</v>
      </c>
      <c r="F34" s="11">
        <f>+Tabla11034534544554564791081351121722993063164246276207228350351[[#This Row],[Costo]]*Tabla11034534544554564791081351121722993063164246276207228350351[[#This Row],[Cant.]]</f>
        <v>258698</v>
      </c>
      <c r="G34" s="4"/>
      <c r="H34" s="5" t="s">
        <v>113</v>
      </c>
      <c r="I34" s="12"/>
    </row>
    <row r="35" spans="2:9" x14ac:dyDescent="0.3">
      <c r="B35" s="13"/>
      <c r="C35" s="14"/>
      <c r="D35" s="14"/>
      <c r="E35" s="15"/>
      <c r="F35" s="15">
        <f>SUBTOTAL(109,Tabla11034534544554564791081351121722993063164246276207228350351[Total costo])</f>
        <v>258698</v>
      </c>
      <c r="G35" s="4"/>
      <c r="H35" s="5" t="s">
        <v>9</v>
      </c>
      <c r="I35" s="12">
        <f>+I33+I34</f>
        <v>258698</v>
      </c>
    </row>
    <row r="36" spans="2:9" x14ac:dyDescent="0.3">
      <c r="G36" s="4"/>
      <c r="H36" s="17" t="s">
        <v>10</v>
      </c>
      <c r="I36" s="18">
        <v>550000</v>
      </c>
    </row>
    <row r="37" spans="2:9" x14ac:dyDescent="0.3">
      <c r="G37" s="4"/>
      <c r="H37" s="5" t="s">
        <v>11</v>
      </c>
      <c r="I37" s="12">
        <f>+I36/1.08*0.08</f>
        <v>40740.740740740737</v>
      </c>
    </row>
    <row r="38" spans="2:9" x14ac:dyDescent="0.3">
      <c r="G38" s="4"/>
      <c r="H38" s="5" t="s">
        <v>12</v>
      </c>
      <c r="I38" s="12">
        <f>+I36-I37</f>
        <v>509259.25925925927</v>
      </c>
    </row>
    <row r="39" spans="2:9" x14ac:dyDescent="0.3">
      <c r="G39" s="4"/>
      <c r="H39" s="5" t="s">
        <v>13</v>
      </c>
      <c r="I39" s="19">
        <f>+I35/I38</f>
        <v>0.50798880000000002</v>
      </c>
    </row>
    <row r="40" spans="2:9" x14ac:dyDescent="0.3">
      <c r="G40" s="4"/>
      <c r="H40" s="5" t="s">
        <v>14</v>
      </c>
      <c r="I40" s="20">
        <f>+I38-I35</f>
        <v>250561.25925925927</v>
      </c>
    </row>
    <row r="41" spans="2:9" x14ac:dyDescent="0.3">
      <c r="G41" s="4"/>
      <c r="H41" s="5" t="s">
        <v>15</v>
      </c>
      <c r="I41" s="22">
        <f>+I40/I35</f>
        <v>0.96854733805154758</v>
      </c>
    </row>
    <row r="44" spans="2:9" x14ac:dyDescent="0.3">
      <c r="B44" s="2" t="s">
        <v>892</v>
      </c>
      <c r="C44" s="2"/>
      <c r="D44" s="2"/>
      <c r="E44" s="3"/>
      <c r="F44" s="3"/>
      <c r="G44" s="4"/>
      <c r="H44" s="277" t="s">
        <v>0</v>
      </c>
      <c r="I44" s="277"/>
    </row>
    <row r="45" spans="2:9" x14ac:dyDescent="0.3">
      <c r="B45" s="13" t="s">
        <v>1</v>
      </c>
      <c r="C45" s="14" t="s">
        <v>2</v>
      </c>
      <c r="D45" s="14" t="s">
        <v>3</v>
      </c>
      <c r="E45" s="28" t="s">
        <v>4</v>
      </c>
      <c r="F45" s="28" t="s">
        <v>5</v>
      </c>
      <c r="G45" s="4"/>
      <c r="H45" s="5" t="s">
        <v>6</v>
      </c>
      <c r="I45" s="6">
        <f>SUM(Tabla11034534544554564791081351121722993063164246276207228350352[Total costo])</f>
        <v>127000.00000008001</v>
      </c>
    </row>
    <row r="46" spans="2:9" x14ac:dyDescent="0.3">
      <c r="B46" s="7" t="s">
        <v>660</v>
      </c>
      <c r="C46" s="8" t="s">
        <v>107</v>
      </c>
      <c r="D46" s="9">
        <v>24</v>
      </c>
      <c r="E46" s="10">
        <f>+VLOOKUP(Tabla11034534544554564791081351121722993063164246276207228350352[[#This Row],[Ingrediente]],Tabla34[#All],3,0)</f>
        <v>5291.6666666700003</v>
      </c>
      <c r="F46" s="11">
        <f>+Tabla11034534544554564791081351121722993063164246276207228350352[[#This Row],[Costo]]*Tabla11034534544554564791081351121722993063164246276207228350352[[#This Row],[Cant.]]</f>
        <v>127000.00000008001</v>
      </c>
      <c r="G46" s="4"/>
      <c r="H46" s="5" t="s">
        <v>113</v>
      </c>
      <c r="I46" s="12"/>
    </row>
    <row r="47" spans="2:9" x14ac:dyDescent="0.3">
      <c r="B47" s="13"/>
      <c r="C47" s="14"/>
      <c r="D47" s="14"/>
      <c r="E47" s="15"/>
      <c r="F47" s="15">
        <f>SUBTOTAL(109,Tabla11034534544554564791081351121722993063164246276207228350352[Total costo])</f>
        <v>127000.00000008001</v>
      </c>
      <c r="G47" s="4"/>
      <c r="H47" s="5" t="s">
        <v>9</v>
      </c>
      <c r="I47" s="12">
        <f>+I45+I46</f>
        <v>127000.00000008001</v>
      </c>
    </row>
    <row r="48" spans="2:9" x14ac:dyDescent="0.3">
      <c r="G48" s="4"/>
      <c r="H48" s="17" t="s">
        <v>10</v>
      </c>
      <c r="I48" s="18">
        <v>290000</v>
      </c>
    </row>
    <row r="49" spans="2:9" x14ac:dyDescent="0.3">
      <c r="G49" s="4"/>
      <c r="H49" s="5" t="s">
        <v>11</v>
      </c>
      <c r="I49" s="12">
        <f>+I48/1.08*0.08</f>
        <v>21481.481481481478</v>
      </c>
    </row>
    <row r="50" spans="2:9" x14ac:dyDescent="0.3">
      <c r="G50" s="4"/>
      <c r="H50" s="5" t="s">
        <v>12</v>
      </c>
      <c r="I50" s="12">
        <f>+I48-I49</f>
        <v>268518.51851851854</v>
      </c>
    </row>
    <row r="51" spans="2:9" x14ac:dyDescent="0.3">
      <c r="G51" s="4"/>
      <c r="H51" s="5" t="s">
        <v>13</v>
      </c>
      <c r="I51" s="19">
        <f>+I47/I50</f>
        <v>0.47296551724167724</v>
      </c>
    </row>
    <row r="52" spans="2:9" x14ac:dyDescent="0.3">
      <c r="G52" s="4"/>
      <c r="H52" s="5" t="s">
        <v>14</v>
      </c>
      <c r="I52" s="20">
        <f>+I50-I47</f>
        <v>141518.51851843853</v>
      </c>
    </row>
    <row r="53" spans="2:9" x14ac:dyDescent="0.3">
      <c r="G53" s="4"/>
      <c r="H53" s="5" t="s">
        <v>15</v>
      </c>
      <c r="I53" s="22">
        <f>+I52/I47</f>
        <v>1.11431904345157</v>
      </c>
    </row>
    <row r="56" spans="2:9" x14ac:dyDescent="0.3">
      <c r="B56" s="1" t="s">
        <v>928</v>
      </c>
      <c r="C56" s="2"/>
      <c r="D56" s="2"/>
      <c r="E56" s="3"/>
      <c r="F56" s="3"/>
      <c r="G56" s="4"/>
      <c r="H56" s="277" t="s">
        <v>0</v>
      </c>
      <c r="I56" s="277"/>
    </row>
    <row r="57" spans="2:9" x14ac:dyDescent="0.3">
      <c r="B57" s="13" t="s">
        <v>1</v>
      </c>
      <c r="C57" s="14" t="s">
        <v>2</v>
      </c>
      <c r="D57" s="14" t="s">
        <v>3</v>
      </c>
      <c r="E57" s="28" t="s">
        <v>4</v>
      </c>
      <c r="F57" s="28" t="s">
        <v>5</v>
      </c>
      <c r="G57" s="4"/>
      <c r="H57" s="5" t="s">
        <v>6</v>
      </c>
      <c r="I57" s="6">
        <f>SUM(Tabla11034534544554564791081351121722993063164246276207228350353[Total costo])</f>
        <v>5839.8333333399996</v>
      </c>
    </row>
    <row r="58" spans="2:9" x14ac:dyDescent="0.3">
      <c r="B58" s="7" t="s">
        <v>766</v>
      </c>
      <c r="C58" s="8" t="s">
        <v>107</v>
      </c>
      <c r="D58" s="9">
        <v>2</v>
      </c>
      <c r="E58" s="10">
        <f>+VLOOKUP(Tabla11034534544554564791081351121722993063164246276207228350353[[#This Row],[Ingrediente]],Tabla34[#All],3,0)</f>
        <v>2919.9166666699998</v>
      </c>
      <c r="F58" s="11">
        <f>+Tabla11034534544554564791081351121722993063164246276207228350353[[#This Row],[Costo]]*Tabla11034534544554564791081351121722993063164246276207228350353[[#This Row],[Cant.]]</f>
        <v>5839.8333333399996</v>
      </c>
      <c r="G58" s="4"/>
      <c r="H58" s="5" t="s">
        <v>113</v>
      </c>
      <c r="I58" s="12"/>
    </row>
    <row r="59" spans="2:9" x14ac:dyDescent="0.3">
      <c r="B59" s="13"/>
      <c r="C59" s="14"/>
      <c r="D59" s="14"/>
      <c r="E59" s="15"/>
      <c r="F59" s="15">
        <f>SUBTOTAL(109,Tabla11034534544554564791081351121722993063164246276207228350353[Total costo])</f>
        <v>5839.8333333399996</v>
      </c>
      <c r="G59" s="4"/>
      <c r="H59" s="5" t="s">
        <v>9</v>
      </c>
      <c r="I59" s="12">
        <f>+I57+I58</f>
        <v>5839.8333333399996</v>
      </c>
    </row>
    <row r="60" spans="2:9" x14ac:dyDescent="0.3">
      <c r="G60" s="4"/>
      <c r="H60" s="17" t="s">
        <v>10</v>
      </c>
      <c r="I60" s="18">
        <v>18000</v>
      </c>
    </row>
    <row r="61" spans="2:9" x14ac:dyDescent="0.3">
      <c r="G61" s="4"/>
      <c r="H61" s="5" t="s">
        <v>11</v>
      </c>
      <c r="I61" s="12">
        <f>+I60/1.08*0.08</f>
        <v>1333.3333333333333</v>
      </c>
    </row>
    <row r="62" spans="2:9" x14ac:dyDescent="0.3">
      <c r="G62" s="4"/>
      <c r="H62" s="5" t="s">
        <v>12</v>
      </c>
      <c r="I62" s="12">
        <f>+I60-I61</f>
        <v>16666.666666666668</v>
      </c>
    </row>
    <row r="63" spans="2:9" x14ac:dyDescent="0.3">
      <c r="G63" s="4"/>
      <c r="H63" s="5" t="s">
        <v>13</v>
      </c>
      <c r="I63" s="19">
        <f>+I59/I62</f>
        <v>0.35039000000039994</v>
      </c>
    </row>
    <row r="64" spans="2:9" x14ac:dyDescent="0.3">
      <c r="G64" s="4"/>
      <c r="H64" s="5" t="s">
        <v>14</v>
      </c>
      <c r="I64" s="20">
        <f>+I62-I59</f>
        <v>10826.833333326667</v>
      </c>
    </row>
    <row r="65" spans="2:9" x14ac:dyDescent="0.3">
      <c r="G65" s="4"/>
      <c r="H65" s="5" t="s">
        <v>15</v>
      </c>
      <c r="I65" s="22">
        <f>+I64/I59</f>
        <v>1.8539627272435244</v>
      </c>
    </row>
    <row r="68" spans="2:9" x14ac:dyDescent="0.3">
      <c r="B68" s="1" t="s">
        <v>929</v>
      </c>
      <c r="C68" s="2"/>
      <c r="D68" s="2"/>
      <c r="E68" s="3"/>
      <c r="F68" s="3"/>
      <c r="G68" s="4"/>
      <c r="H68" s="277" t="s">
        <v>0</v>
      </c>
      <c r="I68" s="277"/>
    </row>
    <row r="69" spans="2:9" x14ac:dyDescent="0.3">
      <c r="B69" s="13" t="s">
        <v>1</v>
      </c>
      <c r="C69" s="14" t="s">
        <v>2</v>
      </c>
      <c r="D69" s="14" t="s">
        <v>3</v>
      </c>
      <c r="E69" s="28" t="s">
        <v>4</v>
      </c>
      <c r="F69" s="28" t="s">
        <v>5</v>
      </c>
      <c r="G69" s="4"/>
      <c r="H69" s="5" t="s">
        <v>6</v>
      </c>
      <c r="I69" s="6">
        <f>SUM(Tabla11034534544554564791081351121722993063164246276207228350354[Total costo])</f>
        <v>23518</v>
      </c>
    </row>
    <row r="70" spans="2:9" x14ac:dyDescent="0.3">
      <c r="B70" s="61" t="s">
        <v>382</v>
      </c>
      <c r="C70" s="8" t="s">
        <v>107</v>
      </c>
      <c r="D70" s="9">
        <v>2</v>
      </c>
      <c r="E70" s="10">
        <f>+VLOOKUP(Tabla11034534544554564791081351121722993063164246276207228350354[[#This Row],[Ingrediente]],Tabla34[#All],3,0)</f>
        <v>11759</v>
      </c>
      <c r="F70" s="11">
        <f>+Tabla11034534544554564791081351121722993063164246276207228350354[[#This Row],[Costo]]*Tabla11034534544554564791081351121722993063164246276207228350354[[#This Row],[Cant.]]</f>
        <v>23518</v>
      </c>
      <c r="G70" s="4"/>
      <c r="H70" s="5" t="s">
        <v>113</v>
      </c>
      <c r="I70" s="12"/>
    </row>
    <row r="71" spans="2:9" x14ac:dyDescent="0.3">
      <c r="B71" s="13"/>
      <c r="C71" s="14"/>
      <c r="D71" s="14"/>
      <c r="E71" s="15"/>
      <c r="F71" s="15">
        <f>SUBTOTAL(109,Tabla11034534544554564791081351121722993063164246276207228350354[Total costo])</f>
        <v>23518</v>
      </c>
      <c r="G71" s="4"/>
      <c r="H71" s="5" t="s">
        <v>9</v>
      </c>
      <c r="I71" s="12">
        <f>+I69+I70</f>
        <v>23518</v>
      </c>
    </row>
    <row r="72" spans="2:9" x14ac:dyDescent="0.3">
      <c r="G72" s="4"/>
      <c r="H72" s="17" t="s">
        <v>10</v>
      </c>
      <c r="I72" s="18">
        <v>28900</v>
      </c>
    </row>
    <row r="73" spans="2:9" x14ac:dyDescent="0.3">
      <c r="G73" s="4"/>
      <c r="H73" s="5" t="s">
        <v>11</v>
      </c>
      <c r="I73" s="12">
        <f>+I72/1.08*0.08</f>
        <v>2140.7407407407409</v>
      </c>
    </row>
    <row r="74" spans="2:9" x14ac:dyDescent="0.3">
      <c r="G74" s="4"/>
      <c r="H74" s="5" t="s">
        <v>12</v>
      </c>
      <c r="I74" s="12">
        <f>+I72-I73</f>
        <v>26759.259259259259</v>
      </c>
    </row>
    <row r="75" spans="2:9" x14ac:dyDescent="0.3">
      <c r="G75" s="4"/>
      <c r="H75" s="5" t="s">
        <v>13</v>
      </c>
      <c r="I75" s="19">
        <f>+I71/I74</f>
        <v>0.87887335640138409</v>
      </c>
    </row>
    <row r="76" spans="2:9" x14ac:dyDescent="0.3">
      <c r="G76" s="4"/>
      <c r="H76" s="5" t="s">
        <v>14</v>
      </c>
      <c r="I76" s="20">
        <f>+I74-I71</f>
        <v>3241.2592592592591</v>
      </c>
    </row>
    <row r="77" spans="2:9" x14ac:dyDescent="0.3">
      <c r="G77" s="4"/>
      <c r="H77" s="5" t="s">
        <v>15</v>
      </c>
      <c r="I77" s="22">
        <f>+I76/I71</f>
        <v>0.1378203613937945</v>
      </c>
    </row>
    <row r="79" spans="2:9" x14ac:dyDescent="0.3">
      <c r="B79" s="2" t="s">
        <v>930</v>
      </c>
      <c r="C79" s="2"/>
      <c r="D79" s="2"/>
      <c r="E79" s="3"/>
      <c r="F79" s="3"/>
      <c r="G79" s="4"/>
      <c r="H79" s="277" t="s">
        <v>0</v>
      </c>
      <c r="I79" s="277"/>
    </row>
    <row r="80" spans="2:9" x14ac:dyDescent="0.3">
      <c r="B80" s="13" t="s">
        <v>1</v>
      </c>
      <c r="C80" s="14" t="s">
        <v>2</v>
      </c>
      <c r="D80" s="14" t="s">
        <v>3</v>
      </c>
      <c r="E80" s="28" t="s">
        <v>4</v>
      </c>
      <c r="F80" s="28" t="s">
        <v>5</v>
      </c>
      <c r="G80" s="4"/>
      <c r="H80" s="5" t="s">
        <v>6</v>
      </c>
      <c r="I80" s="6">
        <f>SUM(Tabla11034534544554564791081351121722993063164246276207228350352355[Total costo])</f>
        <v>10583.333333340001</v>
      </c>
    </row>
    <row r="81" spans="2:9" x14ac:dyDescent="0.3">
      <c r="B81" s="7" t="s">
        <v>660</v>
      </c>
      <c r="C81" s="8" t="s">
        <v>107</v>
      </c>
      <c r="D81" s="9">
        <v>2</v>
      </c>
      <c r="E81" s="10">
        <f>+VLOOKUP(Tabla11034534544554564791081351121722993063164246276207228350352355[[#This Row],[Ingrediente]],Tabla34[#All],3,0)</f>
        <v>5291.6666666700003</v>
      </c>
      <c r="F81" s="11">
        <f>+Tabla11034534544554564791081351121722993063164246276207228350352355[[#This Row],[Costo]]*Tabla11034534544554564791081351121722993063164246276207228350352355[[#This Row],[Cant.]]</f>
        <v>10583.333333340001</v>
      </c>
      <c r="G81" s="4"/>
      <c r="H81" s="5" t="s">
        <v>113</v>
      </c>
      <c r="I81" s="12"/>
    </row>
    <row r="82" spans="2:9" x14ac:dyDescent="0.3">
      <c r="B82" s="13"/>
      <c r="C82" s="14"/>
      <c r="D82" s="14"/>
      <c r="E82" s="15"/>
      <c r="F82" s="15">
        <f>SUBTOTAL(109,Tabla11034534544554564791081351121722993063164246276207228350352355[Total costo])</f>
        <v>10583.333333340001</v>
      </c>
      <c r="G82" s="4"/>
      <c r="H82" s="5" t="s">
        <v>9</v>
      </c>
      <c r="I82" s="12">
        <f>+I80+I81</f>
        <v>10583.333333340001</v>
      </c>
    </row>
    <row r="83" spans="2:9" x14ac:dyDescent="0.3">
      <c r="G83" s="4"/>
      <c r="H83" s="17" t="s">
        <v>10</v>
      </c>
      <c r="I83" s="18">
        <v>25000</v>
      </c>
    </row>
    <row r="84" spans="2:9" x14ac:dyDescent="0.3">
      <c r="G84" s="4"/>
      <c r="H84" s="5" t="s">
        <v>11</v>
      </c>
      <c r="I84" s="12">
        <f>+I83/1.08*0.08</f>
        <v>1851.8518518518517</v>
      </c>
    </row>
    <row r="85" spans="2:9" x14ac:dyDescent="0.3">
      <c r="G85" s="4"/>
      <c r="H85" s="5" t="s">
        <v>12</v>
      </c>
      <c r="I85" s="12">
        <f>+I83-I84</f>
        <v>23148.14814814815</v>
      </c>
    </row>
    <row r="86" spans="2:9" x14ac:dyDescent="0.3">
      <c r="G86" s="4"/>
      <c r="H86" s="5" t="s">
        <v>13</v>
      </c>
      <c r="I86" s="19">
        <f>+I82/I85</f>
        <v>0.45720000000028799</v>
      </c>
    </row>
    <row r="87" spans="2:9" x14ac:dyDescent="0.3">
      <c r="G87" s="4"/>
      <c r="H87" s="5" t="s">
        <v>14</v>
      </c>
      <c r="I87" s="20">
        <f>+I85-I82</f>
        <v>12564.814814808149</v>
      </c>
    </row>
    <row r="88" spans="2:9" x14ac:dyDescent="0.3">
      <c r="G88" s="4"/>
      <c r="H88" s="5" t="s">
        <v>15</v>
      </c>
      <c r="I88" s="22">
        <f>+I87/I82</f>
        <v>1.1872265966740378</v>
      </c>
    </row>
  </sheetData>
  <mergeCells count="7">
    <mergeCell ref="H79:I79"/>
    <mergeCell ref="H6:I6"/>
    <mergeCell ref="H18:I18"/>
    <mergeCell ref="H32:I32"/>
    <mergeCell ref="H44:I44"/>
    <mergeCell ref="H56:I56"/>
    <mergeCell ref="H68:I68"/>
  </mergeCells>
  <conditionalFormatting sqref="I13">
    <cfRule type="cellIs" dxfId="301" priority="25" operator="lessThan">
      <formula>0.3</formula>
    </cfRule>
    <cfRule type="cellIs" dxfId="300" priority="26" operator="greaterThan">
      <formula>0.3</formula>
    </cfRule>
  </conditionalFormatting>
  <conditionalFormatting sqref="I25">
    <cfRule type="cellIs" dxfId="299" priority="11" operator="lessThan">
      <formula>0.3</formula>
    </cfRule>
    <cfRule type="cellIs" dxfId="298" priority="12" operator="greaterThan">
      <formula>0.3</formula>
    </cfRule>
  </conditionalFormatting>
  <conditionalFormatting sqref="I39">
    <cfRule type="cellIs" dxfId="297" priority="9" operator="lessThan">
      <formula>0.3</formula>
    </cfRule>
    <cfRule type="cellIs" dxfId="296" priority="10" operator="greaterThan">
      <formula>0.3</formula>
    </cfRule>
  </conditionalFormatting>
  <conditionalFormatting sqref="I51">
    <cfRule type="cellIs" dxfId="295" priority="7" operator="lessThan">
      <formula>0.3</formula>
    </cfRule>
    <cfRule type="cellIs" dxfId="294" priority="8" operator="greaterThan">
      <formula>0.3</formula>
    </cfRule>
  </conditionalFormatting>
  <conditionalFormatting sqref="I63">
    <cfRule type="cellIs" dxfId="293" priority="5" operator="lessThan">
      <formula>0.3</formula>
    </cfRule>
    <cfRule type="cellIs" dxfId="292" priority="6" operator="greaterThan">
      <formula>0.3</formula>
    </cfRule>
  </conditionalFormatting>
  <conditionalFormatting sqref="I75">
    <cfRule type="cellIs" dxfId="291" priority="3" operator="lessThan">
      <formula>0.3</formula>
    </cfRule>
    <cfRule type="cellIs" dxfId="290" priority="4" operator="greaterThan">
      <formula>0.3</formula>
    </cfRule>
  </conditionalFormatting>
  <conditionalFormatting sqref="I86">
    <cfRule type="cellIs" dxfId="289" priority="1" operator="lessThan">
      <formula>0.3</formula>
    </cfRule>
    <cfRule type="cellIs" dxfId="288" priority="2" operator="greaterThan">
      <formula>0.3</formula>
    </cfRule>
  </conditionalFormatting>
  <pageMargins left="0.7" right="0.7" top="0.75" bottom="0.75" header="0.3" footer="0.3"/>
  <drawing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E73AC-12B8-4D55-8E26-47BD78DE3490}">
  <dimension ref="B6:M79"/>
  <sheetViews>
    <sheetView showGridLines="0" topLeftCell="A64" workbookViewId="0"/>
  </sheetViews>
  <sheetFormatPr baseColWidth="10" defaultRowHeight="14.4" x14ac:dyDescent="0.3"/>
  <cols>
    <col min="1" max="1" width="6.33203125" customWidth="1"/>
    <col min="2" max="2" width="40.109375" bestFit="1" customWidth="1"/>
    <col min="3" max="6" width="7.77734375" customWidth="1"/>
    <col min="7" max="8" width="10.77734375" customWidth="1"/>
    <col min="9" max="9" width="3.77734375" customWidth="1"/>
    <col min="10" max="10" width="26.5546875" bestFit="1" customWidth="1"/>
  </cols>
  <sheetData>
    <row r="6" spans="2:11" x14ac:dyDescent="0.3">
      <c r="B6" s="1" t="s">
        <v>215</v>
      </c>
      <c r="C6" s="2"/>
      <c r="D6" s="2"/>
      <c r="E6" s="3"/>
      <c r="F6" s="3"/>
      <c r="G6" s="3"/>
      <c r="H6" s="3"/>
      <c r="I6" s="4"/>
      <c r="J6" s="277" t="s">
        <v>0</v>
      </c>
      <c r="K6" s="277"/>
    </row>
    <row r="7" spans="2:11" x14ac:dyDescent="0.3">
      <c r="B7" s="13" t="s">
        <v>1</v>
      </c>
      <c r="C7" s="14" t="s">
        <v>2</v>
      </c>
      <c r="D7" s="14" t="s">
        <v>3</v>
      </c>
      <c r="E7" s="14" t="s">
        <v>343</v>
      </c>
      <c r="F7" s="14" t="s">
        <v>585</v>
      </c>
      <c r="G7" s="28" t="s">
        <v>4</v>
      </c>
      <c r="H7" s="28" t="s">
        <v>5</v>
      </c>
      <c r="I7" s="4"/>
      <c r="J7" s="5" t="s">
        <v>6</v>
      </c>
      <c r="K7" s="6">
        <f>SUM(Tabla1103453454455456479108135112172[Total costo])</f>
        <v>43979.035817043201</v>
      </c>
    </row>
    <row r="8" spans="2:11" x14ac:dyDescent="0.3">
      <c r="B8" s="7" t="s">
        <v>391</v>
      </c>
      <c r="C8" s="8" t="s">
        <v>570</v>
      </c>
      <c r="D8" s="9">
        <v>1</v>
      </c>
      <c r="E8" s="9">
        <v>0</v>
      </c>
      <c r="F8" s="9">
        <v>1</v>
      </c>
      <c r="G8" s="10">
        <f>+VLOOKUP(Tabla1103453454455456479108135112172[[#This Row],[Ingrediente]],Tabla34[#All],3,0)</f>
        <v>34242.5</v>
      </c>
      <c r="H8" s="11">
        <f>+Tabla1103453454455456479108135112172[[#This Row],[Costo]]*Tabla1103453454455456479108135112172[[#This Row],[Columna2]]</f>
        <v>34242.5</v>
      </c>
      <c r="I8" s="4"/>
      <c r="J8" s="5" t="s">
        <v>113</v>
      </c>
      <c r="K8" s="12">
        <f>+K7*5%</f>
        <v>2198.9517908521602</v>
      </c>
    </row>
    <row r="9" spans="2:11" x14ac:dyDescent="0.3">
      <c r="B9" s="21" t="s">
        <v>364</v>
      </c>
      <c r="C9" s="8" t="s">
        <v>349</v>
      </c>
      <c r="D9" s="9">
        <v>2</v>
      </c>
      <c r="E9" s="9">
        <v>0</v>
      </c>
      <c r="F9" s="9">
        <v>2</v>
      </c>
      <c r="G9" s="10">
        <f>+VLOOKUP(Tabla1103453454455456479108135112172[[#This Row],[Ingrediente]],Tabla34[#All],3,0)</f>
        <v>3390</v>
      </c>
      <c r="H9" s="11">
        <f>+Tabla1103453454455456479108135112172[[#This Row],[Costo]]*Tabla1103453454455456479108135112172[[#This Row],[Columna2]]</f>
        <v>6780</v>
      </c>
      <c r="I9" s="4"/>
      <c r="J9" s="5" t="s">
        <v>9</v>
      </c>
      <c r="K9" s="12">
        <f>+K7+K8</f>
        <v>46177.98760789536</v>
      </c>
    </row>
    <row r="10" spans="2:11" x14ac:dyDescent="0.3">
      <c r="B10" s="7" t="s">
        <v>77</v>
      </c>
      <c r="C10" s="8" t="s">
        <v>188</v>
      </c>
      <c r="D10" s="9">
        <v>90</v>
      </c>
      <c r="E10" s="9">
        <v>0</v>
      </c>
      <c r="F10" s="9">
        <v>90</v>
      </c>
      <c r="G10" s="10">
        <f>+VLOOKUP(Tabla1103453454455456479108135112172[[#This Row],[Ingrediente]],Tabla34[#All],3,0)</f>
        <v>18.622814269999999</v>
      </c>
      <c r="H10" s="11">
        <f>+Tabla1103453454455456479108135112172[[#This Row],[Costo]]*Tabla1103453454455456479108135112172[[#This Row],[Columna2]]</f>
        <v>1676.0532842999999</v>
      </c>
      <c r="I10" s="4"/>
      <c r="J10" s="17" t="s">
        <v>10</v>
      </c>
      <c r="K10" s="18">
        <v>150000</v>
      </c>
    </row>
    <row r="11" spans="2:11" x14ac:dyDescent="0.3">
      <c r="B11" s="21" t="s">
        <v>564</v>
      </c>
      <c r="C11" s="8" t="s">
        <v>188</v>
      </c>
      <c r="D11" s="9">
        <v>50</v>
      </c>
      <c r="E11" s="9">
        <v>0</v>
      </c>
      <c r="F11" s="9">
        <v>50</v>
      </c>
      <c r="G11" s="10">
        <f>+VLOOKUP(Tabla1103453454455456479108135112172[[#This Row],[Ingrediente]],Tabla34[#All],3,0)</f>
        <v>3.1083507400000001</v>
      </c>
      <c r="H11" s="11">
        <f>+Tabla1103453454455456479108135112172[[#This Row],[Costo]]*Tabla1103453454455456479108135112172[[#This Row],[Columna2]]</f>
        <v>155.41753700000001</v>
      </c>
      <c r="I11" s="4"/>
      <c r="J11" s="5" t="s">
        <v>11</v>
      </c>
      <c r="K11" s="12">
        <f>+K10/1.08*0.08</f>
        <v>11111.111111111109</v>
      </c>
    </row>
    <row r="12" spans="2:11" x14ac:dyDescent="0.3">
      <c r="B12" s="7" t="s">
        <v>1097</v>
      </c>
      <c r="C12" s="8" t="s">
        <v>188</v>
      </c>
      <c r="D12" s="9">
        <v>60</v>
      </c>
      <c r="E12" s="9">
        <v>0</v>
      </c>
      <c r="F12" s="9">
        <v>60</v>
      </c>
      <c r="G12" s="10">
        <f>+VLOOKUP(Tabla1103453454455456479108135112172[[#This Row],[Ingrediente]],Tabla34[#All],3,0)</f>
        <v>1.2935555538866668</v>
      </c>
      <c r="H12" s="11">
        <f>+Tabla1103453454455456479108135112172[[#This Row],[Costo]]*Tabla1103453454455456479108135112172[[#This Row],[Columna2]]</f>
        <v>77.613333233200009</v>
      </c>
      <c r="I12" s="4"/>
      <c r="J12" s="5" t="s">
        <v>12</v>
      </c>
      <c r="K12" s="12">
        <f>+K10-K11</f>
        <v>138888.88888888888</v>
      </c>
    </row>
    <row r="13" spans="2:11" x14ac:dyDescent="0.3">
      <c r="B13" s="21" t="s">
        <v>501</v>
      </c>
      <c r="C13" s="8" t="s">
        <v>188</v>
      </c>
      <c r="D13" s="9">
        <v>15</v>
      </c>
      <c r="E13" s="9">
        <v>0</v>
      </c>
      <c r="F13" s="9">
        <v>15</v>
      </c>
      <c r="G13" s="10">
        <f>+VLOOKUP(Tabla1103453454455456479108135112172[[#This Row],[Ingrediente]],Tabla34[#All],3,0)</f>
        <v>2.6</v>
      </c>
      <c r="H13" s="11">
        <f>+Tabla1103453454455456479108135112172[[#This Row],[Costo]]*Tabla1103453454455456479108135112172[[#This Row],[Columna2]]</f>
        <v>39</v>
      </c>
      <c r="I13" s="4"/>
      <c r="J13" s="5" t="s">
        <v>13</v>
      </c>
      <c r="K13" s="19">
        <f>+K9/K12</f>
        <v>0.33248151077684662</v>
      </c>
    </row>
    <row r="14" spans="2:11" x14ac:dyDescent="0.3">
      <c r="B14" s="7" t="s">
        <v>511</v>
      </c>
      <c r="C14" s="8" t="s">
        <v>188</v>
      </c>
      <c r="D14" s="9">
        <v>30</v>
      </c>
      <c r="E14" s="9">
        <v>0</v>
      </c>
      <c r="F14" s="9">
        <v>30</v>
      </c>
      <c r="G14" s="10">
        <f>+VLOOKUP(Tabla1103453454455456479108135112172[[#This Row],[Ingrediente]],Tabla34[#All],3,0)</f>
        <v>3.2000000000000006</v>
      </c>
      <c r="H14" s="11">
        <f>+Tabla1103453454455456479108135112172[[#This Row],[Costo]]*Tabla1103453454455456479108135112172[[#This Row],[Columna2]]</f>
        <v>96.000000000000014</v>
      </c>
      <c r="I14" s="4"/>
      <c r="J14" s="5" t="s">
        <v>14</v>
      </c>
      <c r="K14" s="20">
        <f>+K12-K9</f>
        <v>92710.901280993508</v>
      </c>
    </row>
    <row r="15" spans="2:11" x14ac:dyDescent="0.3">
      <c r="B15" s="21" t="s">
        <v>592</v>
      </c>
      <c r="C15" s="8" t="s">
        <v>188</v>
      </c>
      <c r="D15" s="9">
        <v>3</v>
      </c>
      <c r="E15" s="9">
        <v>0</v>
      </c>
      <c r="F15" s="9">
        <v>3</v>
      </c>
      <c r="G15" s="10">
        <f>+VLOOKUP(Tabla1103453454455456479108135112172[[#This Row],[Ingrediente]],Tabla34[#All],3,0)</f>
        <v>240.62114536999999</v>
      </c>
      <c r="H15" s="11">
        <f>+Tabla1103453454455456479108135112172[[#This Row],[Costo]]*Tabla1103453454455456479108135112172[[#This Row],[Columna2]]</f>
        <v>721.86343610999995</v>
      </c>
      <c r="I15" s="4"/>
      <c r="J15" s="5" t="s">
        <v>15</v>
      </c>
      <c r="K15" s="22">
        <f>+K14/K9</f>
        <v>2.0076860444464693</v>
      </c>
    </row>
    <row r="16" spans="2:11" x14ac:dyDescent="0.3">
      <c r="B16" s="7" t="s">
        <v>489</v>
      </c>
      <c r="C16" s="8" t="s">
        <v>188</v>
      </c>
      <c r="D16" s="9">
        <v>14.999999300000001</v>
      </c>
      <c r="E16" s="9">
        <v>15</v>
      </c>
      <c r="F16" s="9">
        <v>17.647058000000001</v>
      </c>
      <c r="G16" s="10">
        <f>+VLOOKUP(Tabla1103453454455456479108135112172[[#This Row],[Ingrediente]],Tabla34[#All],3,0)</f>
        <v>10.800000000000002</v>
      </c>
      <c r="H16" s="11">
        <f>+Tabla1103453454455456479108135112172[[#This Row],[Costo]]*Tabla1103453454455456479108135112172[[#This Row],[Columna2]]</f>
        <v>190.58822640000005</v>
      </c>
      <c r="I16" s="4"/>
      <c r="J16" s="4"/>
      <c r="K16" s="23"/>
    </row>
    <row r="17" spans="2:11" x14ac:dyDescent="0.3">
      <c r="B17" s="13"/>
      <c r="C17" s="14"/>
      <c r="D17" s="14"/>
      <c r="E17" s="14"/>
      <c r="F17" s="14"/>
      <c r="G17" s="15"/>
      <c r="H17" s="15">
        <f>SUBTOTAL(109,Tabla1103453454455456479108135112172[Total costo])</f>
        <v>43979.035817043201</v>
      </c>
    </row>
    <row r="20" spans="2:11" x14ac:dyDescent="0.3">
      <c r="B20" s="1" t="s">
        <v>845</v>
      </c>
      <c r="C20" s="2"/>
      <c r="D20" s="2"/>
      <c r="E20" s="3"/>
      <c r="F20" s="3"/>
      <c r="G20" s="3"/>
      <c r="H20" s="3"/>
      <c r="I20" s="4"/>
      <c r="J20" s="277" t="s">
        <v>0</v>
      </c>
      <c r="K20" s="277"/>
    </row>
    <row r="21" spans="2:11" x14ac:dyDescent="0.3">
      <c r="B21" s="13" t="s">
        <v>1</v>
      </c>
      <c r="C21" s="14" t="s">
        <v>2</v>
      </c>
      <c r="D21" s="14" t="s">
        <v>3</v>
      </c>
      <c r="E21" s="14" t="s">
        <v>343</v>
      </c>
      <c r="F21" s="14" t="s">
        <v>585</v>
      </c>
      <c r="G21" s="28" t="s">
        <v>4</v>
      </c>
      <c r="H21" s="28" t="s">
        <v>5</v>
      </c>
      <c r="I21" s="4"/>
      <c r="J21" s="5" t="s">
        <v>6</v>
      </c>
      <c r="K21" s="6">
        <f>SUM(Tabla1103453454455456479108129136156173[Total costo])</f>
        <v>9472.1660574265989</v>
      </c>
    </row>
    <row r="22" spans="2:11" x14ac:dyDescent="0.3">
      <c r="B22" s="7" t="s">
        <v>364</v>
      </c>
      <c r="C22" s="8" t="s">
        <v>349</v>
      </c>
      <c r="D22" s="9">
        <v>1</v>
      </c>
      <c r="E22" s="9">
        <v>0</v>
      </c>
      <c r="F22" s="9">
        <v>1</v>
      </c>
      <c r="G22" s="10">
        <f>+VLOOKUP(Tabla1103453454455456479108129136156173[[#This Row],[Ingrediente]],Tabla34[#All],3,0)</f>
        <v>3390</v>
      </c>
      <c r="H22" s="11">
        <f>+Tabla1103453454455456479108129136156173[[#This Row],[Costo]]*Tabla1103453454455456479108129136156173[[#This Row],[Columna2]]</f>
        <v>3390</v>
      </c>
      <c r="I22" s="4"/>
      <c r="J22" s="5" t="s">
        <v>113</v>
      </c>
      <c r="K22" s="12">
        <f>+K21*5%</f>
        <v>473.60830287132995</v>
      </c>
    </row>
    <row r="23" spans="2:11" x14ac:dyDescent="0.3">
      <c r="B23" s="21" t="s">
        <v>77</v>
      </c>
      <c r="C23" s="8" t="s">
        <v>188</v>
      </c>
      <c r="D23" s="9">
        <v>50</v>
      </c>
      <c r="E23" s="9">
        <v>0</v>
      </c>
      <c r="F23" s="9">
        <v>50</v>
      </c>
      <c r="G23" s="10">
        <f>+VLOOKUP(Tabla1103453454455456479108129136156173[[#This Row],[Ingrediente]],Tabla34[#All],3,0)</f>
        <v>18.622814269999999</v>
      </c>
      <c r="H23" s="11">
        <f>+Tabla1103453454455456479108129136156173[[#This Row],[Costo]]*Tabla1103453454455456479108129136156173[[#This Row],[Columna2]]</f>
        <v>931.14071349999995</v>
      </c>
      <c r="I23" s="4"/>
      <c r="J23" s="5" t="s">
        <v>9</v>
      </c>
      <c r="K23" s="12">
        <f>+K21+K22</f>
        <v>9945.7743602979281</v>
      </c>
    </row>
    <row r="24" spans="2:11" x14ac:dyDescent="0.3">
      <c r="B24" s="7" t="s">
        <v>564</v>
      </c>
      <c r="C24" s="8" t="s">
        <v>188</v>
      </c>
      <c r="D24" s="9">
        <v>20</v>
      </c>
      <c r="E24" s="9">
        <v>0</v>
      </c>
      <c r="F24" s="9">
        <v>20</v>
      </c>
      <c r="G24" s="10">
        <f>+VLOOKUP(Tabla1103453454455456479108129136156173[[#This Row],[Ingrediente]],Tabla34[#All],3,0)</f>
        <v>3.1083507400000001</v>
      </c>
      <c r="H24" s="11">
        <f>+Tabla1103453454455456479108129136156173[[#This Row],[Costo]]*Tabla1103453454455456479108129136156173[[#This Row],[Columna2]]</f>
        <v>62.167014800000004</v>
      </c>
      <c r="I24" s="4"/>
      <c r="J24" s="17" t="s">
        <v>10</v>
      </c>
      <c r="K24" s="18">
        <v>37000</v>
      </c>
    </row>
    <row r="25" spans="2:11" x14ac:dyDescent="0.3">
      <c r="B25" s="7" t="s">
        <v>1097</v>
      </c>
      <c r="C25" s="8" t="s">
        <v>188</v>
      </c>
      <c r="D25" s="9">
        <v>30</v>
      </c>
      <c r="E25" s="9">
        <v>0</v>
      </c>
      <c r="F25" s="9">
        <v>30</v>
      </c>
      <c r="G25" s="10">
        <f>+VLOOKUP(Tabla1103453454455456479108129136156173[[#This Row],[Ingrediente]],Tabla34[#All],3,0)</f>
        <v>1.2935555538866668</v>
      </c>
      <c r="H25" s="11">
        <f>+Tabla1103453454455456479108129136156173[[#This Row],[Costo]]*Tabla1103453454455456479108129136156173[[#This Row],[Columna2]]</f>
        <v>38.806666616600005</v>
      </c>
      <c r="I25" s="4"/>
      <c r="J25" s="5" t="s">
        <v>11</v>
      </c>
      <c r="K25" s="12">
        <f>+K24/1.08*0.08</f>
        <v>2740.7407407407404</v>
      </c>
    </row>
    <row r="26" spans="2:11" x14ac:dyDescent="0.3">
      <c r="B26" s="7" t="s">
        <v>501</v>
      </c>
      <c r="C26" s="8" t="s">
        <v>188</v>
      </c>
      <c r="D26" s="9">
        <v>15</v>
      </c>
      <c r="E26" s="9">
        <v>0</v>
      </c>
      <c r="F26" s="9">
        <v>15</v>
      </c>
      <c r="G26" s="10">
        <f>+VLOOKUP(Tabla1103453454455456479108129136156173[[#This Row],[Ingrediente]],Tabla34[#All],3,0)</f>
        <v>2.6</v>
      </c>
      <c r="H26" s="11">
        <f>+Tabla1103453454455456479108129136156173[[#This Row],[Costo]]*Tabla1103453454455456479108129136156173[[#This Row],[Columna2]]</f>
        <v>39</v>
      </c>
      <c r="I26" s="4"/>
      <c r="J26" s="5" t="s">
        <v>12</v>
      </c>
      <c r="K26" s="12">
        <f>+K24-K25</f>
        <v>34259.259259259263</v>
      </c>
    </row>
    <row r="27" spans="2:11" x14ac:dyDescent="0.3">
      <c r="B27" s="21" t="s">
        <v>511</v>
      </c>
      <c r="C27" s="8" t="s">
        <v>188</v>
      </c>
      <c r="D27" s="9">
        <v>30</v>
      </c>
      <c r="E27" s="9">
        <v>0</v>
      </c>
      <c r="F27" s="9">
        <v>30</v>
      </c>
      <c r="G27" s="10">
        <f>+VLOOKUP(Tabla1103453454455456479108129136156173[[#This Row],[Ingrediente]],Tabla34[#All],3,0)</f>
        <v>3.2000000000000006</v>
      </c>
      <c r="H27" s="11">
        <f>+Tabla1103453454455456479108129136156173[[#This Row],[Costo]]*Tabla1103453454455456479108129136156173[[#This Row],[Columna2]]</f>
        <v>96.000000000000014</v>
      </c>
      <c r="I27" s="4"/>
      <c r="J27" s="5" t="s">
        <v>13</v>
      </c>
      <c r="K27" s="19">
        <f>+K23/K26</f>
        <v>0.29030908943572326</v>
      </c>
    </row>
    <row r="28" spans="2:11" x14ac:dyDescent="0.3">
      <c r="B28" s="7" t="s">
        <v>592</v>
      </c>
      <c r="C28" s="8" t="s">
        <v>188</v>
      </c>
      <c r="D28" s="9">
        <v>3</v>
      </c>
      <c r="E28" s="9">
        <v>0</v>
      </c>
      <c r="F28" s="9">
        <v>3</v>
      </c>
      <c r="G28" s="10">
        <f>+VLOOKUP(Tabla1103453454455456479108129136156173[[#This Row],[Ingrediente]],Tabla34[#All],3,0)</f>
        <v>240.62114536999999</v>
      </c>
      <c r="H28" s="11">
        <f>+Tabla1103453454455456479108129136156173[[#This Row],[Costo]]*Tabla1103453454455456479108129136156173[[#This Row],[Columna2]]</f>
        <v>721.86343610999995</v>
      </c>
      <c r="I28" s="4"/>
      <c r="J28" s="5" t="s">
        <v>14</v>
      </c>
      <c r="K28" s="20">
        <f>+K26-K23</f>
        <v>24313.484898961335</v>
      </c>
    </row>
    <row r="29" spans="2:11" x14ac:dyDescent="0.3">
      <c r="B29" s="21" t="s">
        <v>965</v>
      </c>
      <c r="C29" s="8" t="s">
        <v>570</v>
      </c>
      <c r="D29" s="9">
        <v>1</v>
      </c>
      <c r="E29" s="9">
        <v>0</v>
      </c>
      <c r="F29" s="9">
        <v>1</v>
      </c>
      <c r="G29" s="10">
        <f>+VLOOKUP(Tabla1103453454455456479108129136156173[[#This Row],[Ingrediente]],Tabla34[#All],3,0)</f>
        <v>4002.6</v>
      </c>
      <c r="H29" s="11">
        <f>+Tabla1103453454455456479108129136156173[[#This Row],[Costo]]*Tabla1103453454455456479108129136156173[[#This Row],[Columna2]]</f>
        <v>4002.6</v>
      </c>
      <c r="I29" s="4"/>
      <c r="J29" s="5" t="s">
        <v>15</v>
      </c>
      <c r="K29" s="22">
        <f>+K28/K23</f>
        <v>2.4446045142565467</v>
      </c>
    </row>
    <row r="30" spans="2:11" x14ac:dyDescent="0.3">
      <c r="B30" s="7" t="s">
        <v>489</v>
      </c>
      <c r="C30" s="8" t="s">
        <v>188</v>
      </c>
      <c r="D30" s="9">
        <v>14.999999300000001</v>
      </c>
      <c r="E30" s="9">
        <v>15</v>
      </c>
      <c r="F30" s="9">
        <v>17.647058000000001</v>
      </c>
      <c r="G30" s="10">
        <f>+VLOOKUP(Tabla1103453454455456479108129136156173[[#This Row],[Ingrediente]],Tabla34[#All],3,0)</f>
        <v>10.800000000000002</v>
      </c>
      <c r="H30" s="11">
        <f>+Tabla1103453454455456479108129136156173[[#This Row],[Costo]]*Tabla1103453454455456479108129136156173[[#This Row],[Columna2]]</f>
        <v>190.58822640000005</v>
      </c>
      <c r="I30" s="4"/>
      <c r="J30" s="4"/>
      <c r="K30" s="23"/>
    </row>
    <row r="31" spans="2:11" x14ac:dyDescent="0.3">
      <c r="B31" s="13"/>
      <c r="C31" s="14"/>
      <c r="D31" s="14"/>
      <c r="E31" s="14"/>
      <c r="F31" s="14"/>
      <c r="G31" s="15"/>
      <c r="H31" s="15">
        <f>SUBTOTAL(109,Tabla1103453454455456479108129136156173[Total costo])</f>
        <v>9472.1660574265989</v>
      </c>
      <c r="I31" s="4"/>
      <c r="J31" s="4"/>
      <c r="K31" s="23"/>
    </row>
    <row r="32" spans="2:11" x14ac:dyDescent="0.3">
      <c r="G32" s="24"/>
      <c r="H32" s="24"/>
      <c r="I32" s="24"/>
    </row>
    <row r="34" spans="2:11" x14ac:dyDescent="0.3">
      <c r="B34" s="1" t="s">
        <v>216</v>
      </c>
      <c r="C34" s="2"/>
      <c r="D34" s="2"/>
      <c r="E34" s="3"/>
      <c r="F34" s="3"/>
      <c r="G34" s="3"/>
      <c r="H34" s="3"/>
      <c r="J34" s="277" t="s">
        <v>0</v>
      </c>
      <c r="K34" s="277"/>
    </row>
    <row r="35" spans="2:11" x14ac:dyDescent="0.3">
      <c r="B35" s="13" t="s">
        <v>1</v>
      </c>
      <c r="C35" s="14" t="s">
        <v>2</v>
      </c>
      <c r="D35" s="14" t="s">
        <v>3</v>
      </c>
      <c r="E35" s="14" t="s">
        <v>343</v>
      </c>
      <c r="F35" s="14" t="s">
        <v>585</v>
      </c>
      <c r="G35" s="28" t="s">
        <v>4</v>
      </c>
      <c r="H35" s="28" t="s">
        <v>5</v>
      </c>
      <c r="J35" s="5" t="s">
        <v>6</v>
      </c>
      <c r="K35" s="6">
        <f>SUM(Tabla1103453454455456479108130137157174[Total costo])</f>
        <v>50103.648250729995</v>
      </c>
    </row>
    <row r="36" spans="2:11" x14ac:dyDescent="0.3">
      <c r="B36" s="7" t="s">
        <v>392</v>
      </c>
      <c r="C36" s="8" t="s">
        <v>570</v>
      </c>
      <c r="D36" s="9">
        <v>1</v>
      </c>
      <c r="E36" s="9">
        <v>0</v>
      </c>
      <c r="F36" s="9">
        <v>1</v>
      </c>
      <c r="G36" s="10">
        <f>+VLOOKUP(Tabla1103453454455456479108130137157174[[#This Row],[Ingrediente]],Tabla34[#All],3,0)</f>
        <v>34226</v>
      </c>
      <c r="H36" s="11">
        <f>+Tabla1103453454455456479108130137157174[[#This Row],[Costo]]*Tabla1103453454455456479108130137157174[[#This Row],[Columna2]]</f>
        <v>34226</v>
      </c>
      <c r="J36" s="5" t="s">
        <v>113</v>
      </c>
      <c r="K36" s="12">
        <f>+K35*5%</f>
        <v>2505.1824125365001</v>
      </c>
    </row>
    <row r="37" spans="2:11" x14ac:dyDescent="0.3">
      <c r="B37" s="21" t="s">
        <v>1018</v>
      </c>
      <c r="C37" s="8" t="s">
        <v>349</v>
      </c>
      <c r="D37" s="9">
        <v>2</v>
      </c>
      <c r="E37" s="9">
        <v>0</v>
      </c>
      <c r="F37" s="9">
        <v>2</v>
      </c>
      <c r="G37" s="10">
        <f>+VLOOKUP(Tabla1103453454455456479108130137157174[[#This Row],[Ingrediente]],Tabla34[#All],3,0)</f>
        <v>2796.5</v>
      </c>
      <c r="H37" s="11">
        <f>+Tabla1103453454455456479108130137157174[[#This Row],[Costo]]*Tabla1103453454455456479108130137157174[[#This Row],[Columna2]]</f>
        <v>5593</v>
      </c>
      <c r="J37" s="5" t="s">
        <v>9</v>
      </c>
      <c r="K37" s="12">
        <f>+K35+K36</f>
        <v>52608.830663266497</v>
      </c>
    </row>
    <row r="38" spans="2:11" x14ac:dyDescent="0.3">
      <c r="B38" s="7" t="s">
        <v>58</v>
      </c>
      <c r="C38" s="8" t="s">
        <v>349</v>
      </c>
      <c r="D38" s="9">
        <v>2</v>
      </c>
      <c r="E38" s="9">
        <v>0</v>
      </c>
      <c r="F38" s="9">
        <v>2</v>
      </c>
      <c r="G38" s="10">
        <f>+VLOOKUP(Tabla1103453454455456479108130137157174[[#This Row],[Ingrediente]],Tabla34[#All],3,0)</f>
        <v>1594</v>
      </c>
      <c r="H38" s="11">
        <f>+Tabla1103453454455456479108130137157174[[#This Row],[Costo]]*Tabla1103453454455456479108130137157174[[#This Row],[Columna2]]</f>
        <v>3188</v>
      </c>
      <c r="J38" s="17" t="s">
        <v>10</v>
      </c>
      <c r="K38" s="18">
        <v>150000</v>
      </c>
    </row>
    <row r="39" spans="2:11" x14ac:dyDescent="0.3">
      <c r="B39" s="21" t="s">
        <v>383</v>
      </c>
      <c r="C39" s="8" t="s">
        <v>570</v>
      </c>
      <c r="D39" s="9">
        <v>1</v>
      </c>
      <c r="E39" s="9">
        <v>0</v>
      </c>
      <c r="F39" s="9">
        <v>1</v>
      </c>
      <c r="G39" s="10">
        <f>+VLOOKUP(Tabla1103453454455456479108130137157174[[#This Row],[Ingrediente]],Tabla34[#All],3,0)</f>
        <v>4986.0833333299997</v>
      </c>
      <c r="H39" s="11">
        <f>+Tabla1103453454455456479108130137157174[[#This Row],[Costo]]*Tabla1103453454455456479108130137157174[[#This Row],[Columna2]]</f>
        <v>4986.0833333299997</v>
      </c>
      <c r="I39" s="4"/>
      <c r="J39" s="5" t="s">
        <v>11</v>
      </c>
      <c r="K39" s="12">
        <f>+K38/1.08*0.08</f>
        <v>11111.111111111109</v>
      </c>
    </row>
    <row r="40" spans="2:11" x14ac:dyDescent="0.3">
      <c r="B40" s="7" t="s">
        <v>608</v>
      </c>
      <c r="C40" s="8" t="s">
        <v>188</v>
      </c>
      <c r="D40" s="9">
        <v>20</v>
      </c>
      <c r="E40" s="9">
        <v>0</v>
      </c>
      <c r="F40" s="9">
        <v>20</v>
      </c>
      <c r="G40" s="10">
        <f>+VLOOKUP(Tabla1103453454455456479108130137157174[[#This Row],[Ingrediente]],Tabla34[#All],3,0)</f>
        <v>45</v>
      </c>
      <c r="H40" s="11">
        <f>+Tabla1103453454455456479108130137157174[[#This Row],[Costo]]*Tabla1103453454455456479108130137157174[[#This Row],[Columna2]]</f>
        <v>900</v>
      </c>
      <c r="I40" s="4"/>
      <c r="J40" s="5" t="s">
        <v>12</v>
      </c>
      <c r="K40" s="12">
        <f>+K38-K39</f>
        <v>138888.88888888888</v>
      </c>
    </row>
    <row r="41" spans="2:11" x14ac:dyDescent="0.3">
      <c r="B41" s="21" t="s">
        <v>644</v>
      </c>
      <c r="C41" s="8" t="s">
        <v>188</v>
      </c>
      <c r="D41" s="9">
        <v>20</v>
      </c>
      <c r="E41" s="9">
        <v>0</v>
      </c>
      <c r="F41" s="9">
        <v>20</v>
      </c>
      <c r="G41" s="10">
        <f>+VLOOKUP(Tabla1103453454455456479108130137157174[[#This Row],[Ingrediente]],Tabla34[#All],3,0)</f>
        <v>47.896666670000002</v>
      </c>
      <c r="H41" s="11">
        <f>+Tabla1103453454455456479108130137157174[[#This Row],[Costo]]*Tabla1103453454455456479108130137157174[[#This Row],[Columna2]]</f>
        <v>957.93333340000004</v>
      </c>
      <c r="I41" s="4"/>
      <c r="J41" s="5" t="s">
        <v>13</v>
      </c>
      <c r="K41" s="19">
        <f>+K37/K40</f>
        <v>0.37878358077551882</v>
      </c>
    </row>
    <row r="42" spans="2:11" x14ac:dyDescent="0.3">
      <c r="B42" s="7" t="s">
        <v>487</v>
      </c>
      <c r="C42" s="8" t="s">
        <v>188</v>
      </c>
      <c r="D42" s="9">
        <v>15.0000003</v>
      </c>
      <c r="E42" s="9">
        <v>5</v>
      </c>
      <c r="F42" s="9">
        <v>15.789474</v>
      </c>
      <c r="G42" s="10">
        <f>+VLOOKUP(Tabla1103453454455456479108130137157174[[#This Row],[Ingrediente]],Tabla34[#All],3,0)</f>
        <v>16</v>
      </c>
      <c r="H42" s="11">
        <f>+Tabla1103453454455456479108130137157174[[#This Row],[Costo]]*Tabla1103453454455456479108130137157174[[#This Row],[Columna2]]</f>
        <v>252.631584</v>
      </c>
      <c r="I42" s="4"/>
      <c r="J42" s="5" t="s">
        <v>14</v>
      </c>
      <c r="K42" s="20">
        <f>+K40-K37</f>
        <v>86280.058225622372</v>
      </c>
    </row>
    <row r="43" spans="2:11" x14ac:dyDescent="0.3">
      <c r="B43" s="13"/>
      <c r="C43" s="14"/>
      <c r="D43" s="14"/>
      <c r="E43" s="14"/>
      <c r="F43" s="14"/>
      <c r="G43" s="15"/>
      <c r="H43" s="15">
        <f>SUBTOTAL(109,Tabla1103453454455456479108130137157174[Total costo])</f>
        <v>50103.648250729995</v>
      </c>
      <c r="I43" s="4"/>
      <c r="J43" s="5" t="s">
        <v>15</v>
      </c>
      <c r="K43" s="22">
        <f>+K42/K37</f>
        <v>1.6400299557668445</v>
      </c>
    </row>
    <row r="44" spans="2:11" x14ac:dyDescent="0.3">
      <c r="G44" s="4"/>
      <c r="H44" s="4"/>
      <c r="I44" s="23"/>
    </row>
    <row r="45" spans="2:11" x14ac:dyDescent="0.3">
      <c r="B45" s="1" t="s">
        <v>844</v>
      </c>
      <c r="C45" s="2"/>
      <c r="D45" s="2"/>
      <c r="E45" s="3"/>
      <c r="F45" s="3"/>
      <c r="G45" s="3"/>
      <c r="H45" s="3"/>
      <c r="I45" s="4"/>
      <c r="J45" s="277" t="s">
        <v>0</v>
      </c>
      <c r="K45" s="277"/>
    </row>
    <row r="46" spans="2:11" x14ac:dyDescent="0.3">
      <c r="B46" s="13" t="s">
        <v>1</v>
      </c>
      <c r="C46" s="14" t="s">
        <v>2</v>
      </c>
      <c r="D46" s="14" t="s">
        <v>3</v>
      </c>
      <c r="E46" s="14" t="s">
        <v>343</v>
      </c>
      <c r="F46" s="14" t="s">
        <v>585</v>
      </c>
      <c r="G46" s="28" t="s">
        <v>4</v>
      </c>
      <c r="H46" s="28" t="s">
        <v>5</v>
      </c>
      <c r="I46" s="4"/>
      <c r="J46" s="5" t="s">
        <v>6</v>
      </c>
      <c r="K46" s="6">
        <f>SUM(Tabla1103453454455456479108131138166175[Total costo])</f>
        <v>15798.882029398334</v>
      </c>
    </row>
    <row r="47" spans="2:11" x14ac:dyDescent="0.3">
      <c r="B47" s="7" t="s">
        <v>1018</v>
      </c>
      <c r="C47" s="8" t="s">
        <v>349</v>
      </c>
      <c r="D47" s="9">
        <v>1</v>
      </c>
      <c r="E47" s="9">
        <v>0</v>
      </c>
      <c r="F47" s="9">
        <v>1</v>
      </c>
      <c r="G47" s="10">
        <f>+VLOOKUP(Tabla1103453454455456479108131138166175[[#This Row],[Ingrediente]],Tabla34[#All],3,0)</f>
        <v>2796.5</v>
      </c>
      <c r="H47" s="11">
        <f>+Tabla1103453454455456479108131138166175[[#This Row],[Costo]]*Tabla1103453454455456479108131138166175[[#This Row],[Columna2]]</f>
        <v>2796.5</v>
      </c>
      <c r="I47" s="4"/>
      <c r="J47" s="5" t="s">
        <v>113</v>
      </c>
      <c r="K47" s="12">
        <f>+K46*5%</f>
        <v>789.94410146991675</v>
      </c>
    </row>
    <row r="48" spans="2:11" x14ac:dyDescent="0.3">
      <c r="B48" s="21" t="s">
        <v>58</v>
      </c>
      <c r="C48" s="8" t="s">
        <v>349</v>
      </c>
      <c r="D48" s="9">
        <v>1</v>
      </c>
      <c r="E48" s="9">
        <v>0</v>
      </c>
      <c r="F48" s="9">
        <v>1</v>
      </c>
      <c r="G48" s="10">
        <f>+VLOOKUP(Tabla1103453454455456479108131138166175[[#This Row],[Ingrediente]],Tabla34[#All],3,0)</f>
        <v>1594</v>
      </c>
      <c r="H48" s="11">
        <f>+Tabla1103453454455456479108131138166175[[#This Row],[Costo]]*Tabla1103453454455456479108131138166175[[#This Row],[Columna2]]</f>
        <v>1594</v>
      </c>
      <c r="I48" s="4"/>
      <c r="J48" s="5" t="s">
        <v>9</v>
      </c>
      <c r="K48" s="12">
        <f>+K46+K47</f>
        <v>16588.826130868249</v>
      </c>
    </row>
    <row r="49" spans="2:11" x14ac:dyDescent="0.3">
      <c r="B49" s="7" t="s">
        <v>383</v>
      </c>
      <c r="C49" s="8" t="s">
        <v>570</v>
      </c>
      <c r="D49" s="9">
        <v>0.5</v>
      </c>
      <c r="E49" s="9">
        <v>0</v>
      </c>
      <c r="F49" s="9">
        <v>0.5</v>
      </c>
      <c r="G49" s="10">
        <f>+VLOOKUP(Tabla1103453454455456479108131138166175[[#This Row],[Ingrediente]],Tabla34[#All],3,0)</f>
        <v>4986.0833333299997</v>
      </c>
      <c r="H49" s="11">
        <f>+Tabla1103453454455456479108131138166175[[#This Row],[Costo]]*Tabla1103453454455456479108131138166175[[#This Row],[Columna2]]</f>
        <v>2493.0416666649999</v>
      </c>
      <c r="I49" s="4"/>
      <c r="J49" s="17" t="s">
        <v>10</v>
      </c>
      <c r="K49" s="18">
        <v>37000</v>
      </c>
    </row>
    <row r="50" spans="2:11" x14ac:dyDescent="0.3">
      <c r="B50" s="21" t="s">
        <v>608</v>
      </c>
      <c r="C50" s="8" t="s">
        <v>188</v>
      </c>
      <c r="D50" s="9">
        <v>20</v>
      </c>
      <c r="E50" s="9">
        <v>0</v>
      </c>
      <c r="F50" s="9">
        <v>20</v>
      </c>
      <c r="G50" s="10">
        <f>+VLOOKUP(Tabla1103453454455456479108131138166175[[#This Row],[Ingrediente]],Tabla34[#All],3,0)</f>
        <v>45</v>
      </c>
      <c r="H50" s="11">
        <f>+Tabla1103453454455456479108131138166175[[#This Row],[Costo]]*Tabla1103453454455456479108131138166175[[#This Row],[Columna2]]</f>
        <v>900</v>
      </c>
      <c r="I50" s="4"/>
      <c r="J50" s="5" t="s">
        <v>11</v>
      </c>
      <c r="K50" s="12">
        <f>+K49/1.08*0.08</f>
        <v>2740.7407407407404</v>
      </c>
    </row>
    <row r="51" spans="2:11" x14ac:dyDescent="0.3">
      <c r="B51" s="7" t="s">
        <v>644</v>
      </c>
      <c r="C51" s="8" t="s">
        <v>188</v>
      </c>
      <c r="D51" s="9">
        <v>20</v>
      </c>
      <c r="E51" s="9">
        <v>0</v>
      </c>
      <c r="F51" s="9">
        <v>20</v>
      </c>
      <c r="G51" s="10">
        <f>+VLOOKUP(Tabla1103453454455456479108131138166175[[#This Row],[Ingrediente]],Tabla34[#All],3,0)</f>
        <v>47.896666670000002</v>
      </c>
      <c r="H51" s="11">
        <f>+Tabla1103453454455456479108131138166175[[#This Row],[Costo]]*Tabla1103453454455456479108131138166175[[#This Row],[Columna2]]</f>
        <v>957.93333340000004</v>
      </c>
      <c r="I51" s="24"/>
      <c r="J51" s="5" t="s">
        <v>12</v>
      </c>
      <c r="K51" s="12">
        <f>+K49-K50</f>
        <v>34259.259259259263</v>
      </c>
    </row>
    <row r="52" spans="2:11" x14ac:dyDescent="0.3">
      <c r="B52" s="21" t="s">
        <v>674</v>
      </c>
      <c r="C52" s="8" t="s">
        <v>570</v>
      </c>
      <c r="D52" s="9">
        <v>1</v>
      </c>
      <c r="E52" s="9">
        <v>0</v>
      </c>
      <c r="F52" s="9">
        <v>1</v>
      </c>
      <c r="G52" s="10">
        <f>+VLOOKUP(Tabla1103453454455456479108131138166175[[#This Row],[Ingrediente]],Tabla34[#All],3,0)</f>
        <v>6467.9333333333334</v>
      </c>
      <c r="H52" s="11">
        <f>+Tabla1103453454455456479108131138166175[[#This Row],[Costo]]*Tabla1103453454455456479108131138166175[[#This Row],[Columna2]]</f>
        <v>6467.9333333333334</v>
      </c>
      <c r="J52" s="5" t="s">
        <v>13</v>
      </c>
      <c r="K52" s="19">
        <f>+K48/K51</f>
        <v>0.48421438436047853</v>
      </c>
    </row>
    <row r="53" spans="2:11" x14ac:dyDescent="0.3">
      <c r="B53" s="7" t="s">
        <v>487</v>
      </c>
      <c r="C53" s="8" t="s">
        <v>188</v>
      </c>
      <c r="D53" s="9">
        <v>35.000000700000001</v>
      </c>
      <c r="E53" s="9">
        <v>5</v>
      </c>
      <c r="F53" s="9">
        <v>36.842106000000001</v>
      </c>
      <c r="G53" s="10">
        <f>+VLOOKUP(Tabla1103453454455456479108131138166175[[#This Row],[Ingrediente]],Tabla34[#All],3,0)</f>
        <v>16</v>
      </c>
      <c r="H53" s="11">
        <f>+Tabla1103453454455456479108131138166175[[#This Row],[Costo]]*Tabla1103453454455456479108131138166175[[#This Row],[Columna2]]</f>
        <v>589.47369600000002</v>
      </c>
      <c r="J53" s="5" t="s">
        <v>14</v>
      </c>
      <c r="K53" s="20">
        <f>+K51-K48</f>
        <v>17670.433128391014</v>
      </c>
    </row>
    <row r="54" spans="2:11" x14ac:dyDescent="0.3">
      <c r="B54" s="13"/>
      <c r="C54" s="14"/>
      <c r="D54" s="14"/>
      <c r="E54" s="14"/>
      <c r="F54" s="14"/>
      <c r="G54" s="15"/>
      <c r="H54" s="15">
        <f>SUBTOTAL(109,Tabla1103453454455456479108131138166175[Total costo])</f>
        <v>15798.882029398334</v>
      </c>
      <c r="J54" s="5" t="s">
        <v>15</v>
      </c>
      <c r="K54" s="22">
        <f>+K53/K48</f>
        <v>1.0652009364008057</v>
      </c>
    </row>
    <row r="55" spans="2:11" x14ac:dyDescent="0.3">
      <c r="G55" s="4"/>
    </row>
    <row r="56" spans="2:11" x14ac:dyDescent="0.3">
      <c r="B56" s="1" t="s">
        <v>213</v>
      </c>
      <c r="C56" s="2"/>
      <c r="D56" s="2"/>
      <c r="E56" s="3"/>
      <c r="F56" s="3"/>
      <c r="G56" s="3"/>
      <c r="H56" s="3"/>
      <c r="I56" s="4"/>
      <c r="J56" s="277" t="s">
        <v>0</v>
      </c>
      <c r="K56" s="277"/>
    </row>
    <row r="57" spans="2:11" x14ac:dyDescent="0.3">
      <c r="B57" s="13" t="s">
        <v>1</v>
      </c>
      <c r="C57" s="14" t="s">
        <v>2</v>
      </c>
      <c r="D57" s="14" t="s">
        <v>3</v>
      </c>
      <c r="E57" s="14" t="s">
        <v>343</v>
      </c>
      <c r="F57" s="14" t="s">
        <v>585</v>
      </c>
      <c r="G57" s="28" t="s">
        <v>4</v>
      </c>
      <c r="H57" s="28" t="s">
        <v>5</v>
      </c>
      <c r="I57" s="4"/>
      <c r="J57" s="5" t="s">
        <v>6</v>
      </c>
      <c r="K57" s="6">
        <f>SUM(Tabla1103453454455456479108132139167187[Total costo])</f>
        <v>48414.928485935001</v>
      </c>
    </row>
    <row r="58" spans="2:11" x14ac:dyDescent="0.3">
      <c r="B58" s="7" t="s">
        <v>44</v>
      </c>
      <c r="C58" s="8" t="s">
        <v>570</v>
      </c>
      <c r="D58" s="9">
        <v>1</v>
      </c>
      <c r="E58" s="9">
        <v>0</v>
      </c>
      <c r="F58" s="9">
        <v>1</v>
      </c>
      <c r="G58" s="10">
        <f>+VLOOKUP(Tabla1103453454455456479108132139167187[[#This Row],[Ingrediente]],Tabla34[#All],3,0)</f>
        <v>34240.666666669997</v>
      </c>
      <c r="H58" s="11">
        <f>+Tabla1103453454455456479108132139167187[[#This Row],[Costo]]*Tabla1103453454455456479108132139167187[[#This Row],[Columna2]]</f>
        <v>34240.666666669997</v>
      </c>
      <c r="I58" s="4"/>
      <c r="J58" s="5" t="s">
        <v>113</v>
      </c>
      <c r="K58" s="12">
        <f>+K57*5%</f>
        <v>2420.7464242967503</v>
      </c>
    </row>
    <row r="59" spans="2:11" x14ac:dyDescent="0.3">
      <c r="B59" s="21" t="s">
        <v>41</v>
      </c>
      <c r="C59" s="8" t="s">
        <v>349</v>
      </c>
      <c r="D59" s="9">
        <v>2</v>
      </c>
      <c r="E59" s="9">
        <v>0</v>
      </c>
      <c r="F59" s="9">
        <v>2</v>
      </c>
      <c r="G59" s="10">
        <f>+VLOOKUP(Tabla1103453454455456479108132139167187[[#This Row],[Ingrediente]],Tabla34[#All],3,0)</f>
        <v>6303</v>
      </c>
      <c r="H59" s="11">
        <f>+Tabla1103453454455456479108132139167187[[#This Row],[Costo]]*Tabla1103453454455456479108132139167187[[#This Row],[Columna2]]</f>
        <v>12606</v>
      </c>
      <c r="I59" s="4"/>
      <c r="J59" s="5" t="s">
        <v>9</v>
      </c>
      <c r="K59" s="12">
        <f>+K57+K58</f>
        <v>50835.674910231748</v>
      </c>
    </row>
    <row r="60" spans="2:11" x14ac:dyDescent="0.3">
      <c r="B60" s="21" t="s">
        <v>182</v>
      </c>
      <c r="C60" s="8" t="s">
        <v>188</v>
      </c>
      <c r="D60" s="9">
        <v>50</v>
      </c>
      <c r="E60" s="9">
        <v>0</v>
      </c>
      <c r="F60" s="9">
        <v>50</v>
      </c>
      <c r="G60" s="10">
        <f>+VLOOKUP(Tabla1103453454455456479108132139167187[[#This Row],[Ingrediente]],Tabla34[#All],3,0)</f>
        <v>4.8319941200000001</v>
      </c>
      <c r="H60" s="11">
        <f>+Tabla1103453454455456479108132139167187[[#This Row],[Costo]]*Tabla1103453454455456479108132139167187[[#This Row],[Columna2]]</f>
        <v>241.599706</v>
      </c>
      <c r="I60" s="4"/>
      <c r="J60" s="17" t="s">
        <v>10</v>
      </c>
      <c r="K60" s="18">
        <v>150000</v>
      </c>
    </row>
    <row r="61" spans="2:11" x14ac:dyDescent="0.3">
      <c r="B61" s="21" t="s">
        <v>254</v>
      </c>
      <c r="C61" s="8" t="s">
        <v>570</v>
      </c>
      <c r="D61" s="9">
        <v>0.5</v>
      </c>
      <c r="E61" s="9">
        <v>0</v>
      </c>
      <c r="F61" s="9">
        <v>0.5</v>
      </c>
      <c r="G61" s="10">
        <f>+VLOOKUP(Tabla1103453454455456479108132139167187[[#This Row],[Ingrediente]],Tabla34[#All],3,0)</f>
        <v>1709.9658273299999</v>
      </c>
      <c r="H61" s="11">
        <f>+Tabla1103453454455456479108132139167187[[#This Row],[Costo]]*Tabla1103453454455456479108132139167187[[#This Row],[Columna2]]</f>
        <v>854.98291366499996</v>
      </c>
      <c r="I61" s="4"/>
      <c r="J61" s="5" t="s">
        <v>11</v>
      </c>
      <c r="K61" s="12">
        <f>+K60/1.08*0.08</f>
        <v>11111.111111111109</v>
      </c>
    </row>
    <row r="62" spans="2:11" x14ac:dyDescent="0.3">
      <c r="B62" s="21" t="s">
        <v>534</v>
      </c>
      <c r="C62" s="8" t="s">
        <v>188</v>
      </c>
      <c r="D62" s="9">
        <v>140</v>
      </c>
      <c r="E62" s="9">
        <v>0</v>
      </c>
      <c r="F62" s="9">
        <v>140</v>
      </c>
      <c r="G62" s="10">
        <f>+VLOOKUP(Tabla1103453454455456479108132139167187[[#This Row],[Ingrediente]],Tabla34[#All],3,0)</f>
        <v>1</v>
      </c>
      <c r="H62" s="11">
        <f>+Tabla1103453454455456479108132139167187[[#This Row],[Costo]]*Tabla1103453454455456479108132139167187[[#This Row],[Columna2]]</f>
        <v>140</v>
      </c>
      <c r="I62" s="4"/>
      <c r="J62" s="5" t="s">
        <v>12</v>
      </c>
      <c r="K62" s="12">
        <f>+K60-K61</f>
        <v>138888.88888888888</v>
      </c>
    </row>
    <row r="63" spans="2:11" x14ac:dyDescent="0.3">
      <c r="B63" s="7" t="s">
        <v>553</v>
      </c>
      <c r="C63" s="8" t="s">
        <v>188</v>
      </c>
      <c r="D63" s="9">
        <v>1.9999999799999999</v>
      </c>
      <c r="E63" s="9">
        <v>40</v>
      </c>
      <c r="F63" s="9">
        <v>3.3333333000000001</v>
      </c>
      <c r="G63" s="10">
        <f>+VLOOKUP(Tabla1103453454455456479108132139167187[[#This Row],[Ingrediente]],Tabla34[#All],3,0)</f>
        <v>16</v>
      </c>
      <c r="H63" s="11">
        <f>+Tabla1103453454455456479108132139167187[[#This Row],[Costo]]*Tabla1103453454455456479108132139167187[[#This Row],[Columna2]]</f>
        <v>53.333332800000001</v>
      </c>
      <c r="I63" s="24"/>
      <c r="J63" s="5" t="s">
        <v>13</v>
      </c>
      <c r="K63" s="19">
        <f>+K59/K62</f>
        <v>0.36601685935366862</v>
      </c>
    </row>
    <row r="64" spans="2:11" x14ac:dyDescent="0.3">
      <c r="B64" s="7" t="s">
        <v>493</v>
      </c>
      <c r="C64" s="8" t="s">
        <v>188</v>
      </c>
      <c r="D64" s="9">
        <v>15.0000003</v>
      </c>
      <c r="E64" s="9">
        <v>5</v>
      </c>
      <c r="F64" s="9">
        <v>15.789474</v>
      </c>
      <c r="G64" s="10">
        <f>+VLOOKUP(Tabla1103453454455456479108132139167187[[#This Row],[Ingrediente]],Tabla34[#All],3,0)</f>
        <v>12.199999999999998</v>
      </c>
      <c r="H64" s="11">
        <f>+Tabla1103453454455456479108132139167187[[#This Row],[Costo]]*Tabla1103453454455456479108132139167187[[#This Row],[Columna2]]</f>
        <v>192.63158279999996</v>
      </c>
      <c r="J64" s="5" t="s">
        <v>14</v>
      </c>
      <c r="K64" s="20">
        <f>+K62-K59</f>
        <v>88053.213978657121</v>
      </c>
    </row>
    <row r="65" spans="2:13" x14ac:dyDescent="0.3">
      <c r="B65" s="7" t="s">
        <v>472</v>
      </c>
      <c r="C65" s="8" t="s">
        <v>188</v>
      </c>
      <c r="D65" s="9">
        <v>19.999999599999999</v>
      </c>
      <c r="E65" s="9">
        <v>30</v>
      </c>
      <c r="F65" s="9">
        <v>28.571428000000001</v>
      </c>
      <c r="G65" s="10">
        <f>+VLOOKUP(Tabla1103453454455456479108132139167187[[#This Row],[Ingrediente]],Tabla34[#All],3,0)</f>
        <v>3</v>
      </c>
      <c r="H65" s="11">
        <f>+Tabla1103453454455456479108132139167187[[#This Row],[Costo]]*Tabla1103453454455456479108132139167187[[#This Row],[Columna2]]</f>
        <v>85.714284000000006</v>
      </c>
      <c r="J65" s="5" t="s">
        <v>15</v>
      </c>
      <c r="K65" s="22">
        <f>+K64/K59</f>
        <v>1.73211458555721</v>
      </c>
    </row>
    <row r="66" spans="2:13" x14ac:dyDescent="0.3">
      <c r="B66" s="13"/>
      <c r="C66" s="14"/>
      <c r="D66" s="14"/>
      <c r="E66" s="14"/>
      <c r="F66" s="14"/>
      <c r="G66" s="15"/>
      <c r="H66" s="15">
        <f>SUBTOTAL(109,Tabla1103453454455456479108132139167187[Total costo])</f>
        <v>48414.928485935001</v>
      </c>
      <c r="I66" s="4"/>
    </row>
    <row r="67" spans="2:13" x14ac:dyDescent="0.3">
      <c r="G67" s="4"/>
    </row>
    <row r="68" spans="2:13" x14ac:dyDescent="0.3">
      <c r="B68" s="1" t="s">
        <v>843</v>
      </c>
      <c r="C68" s="2"/>
      <c r="D68" s="2"/>
      <c r="E68" s="3"/>
      <c r="F68" s="3"/>
      <c r="G68" s="3"/>
      <c r="H68" s="3"/>
      <c r="I68" s="4"/>
      <c r="J68" s="277" t="s">
        <v>0</v>
      </c>
      <c r="K68" s="277"/>
    </row>
    <row r="69" spans="2:13" x14ac:dyDescent="0.3">
      <c r="B69" s="13" t="s">
        <v>1</v>
      </c>
      <c r="C69" s="14" t="s">
        <v>2</v>
      </c>
      <c r="D69" s="14" t="s">
        <v>3</v>
      </c>
      <c r="E69" s="14" t="s">
        <v>343</v>
      </c>
      <c r="F69" s="14" t="s">
        <v>585</v>
      </c>
      <c r="G69" s="28" t="s">
        <v>4</v>
      </c>
      <c r="H69" s="28" t="s">
        <v>5</v>
      </c>
      <c r="I69" s="4"/>
      <c r="J69" s="5" t="s">
        <v>6</v>
      </c>
      <c r="K69" s="6">
        <f>SUM(Tabla1103453454455456479108133140168188[Total costo])</f>
        <v>17185.061079548901</v>
      </c>
      <c r="M69" s="44"/>
    </row>
    <row r="70" spans="2:13" x14ac:dyDescent="0.3">
      <c r="B70" s="7" t="s">
        <v>41</v>
      </c>
      <c r="C70" s="8" t="s">
        <v>349</v>
      </c>
      <c r="D70" s="9">
        <v>1</v>
      </c>
      <c r="E70" s="9">
        <v>0</v>
      </c>
      <c r="F70" s="9">
        <v>1</v>
      </c>
      <c r="G70" s="10">
        <f>+VLOOKUP(Tabla1103453454455456479108133140168188[[#This Row],[Ingrediente]],Tabla34[#All],3,0)</f>
        <v>6303</v>
      </c>
      <c r="H70" s="11">
        <f>+Tabla1103453454455456479108133140168188[[#This Row],[Costo]]*Tabla1103453454455456479108133140168188[[#This Row],[Columna2]]</f>
        <v>6303</v>
      </c>
      <c r="I70" s="4"/>
      <c r="J70" s="5" t="s">
        <v>113</v>
      </c>
      <c r="K70" s="12">
        <f>+K69*5%</f>
        <v>859.25305397744512</v>
      </c>
    </row>
    <row r="71" spans="2:13" x14ac:dyDescent="0.3">
      <c r="B71" s="21" t="s">
        <v>182</v>
      </c>
      <c r="C71" s="8" t="s">
        <v>188</v>
      </c>
      <c r="D71" s="9">
        <v>30</v>
      </c>
      <c r="E71" s="9">
        <v>0</v>
      </c>
      <c r="F71" s="9">
        <v>30</v>
      </c>
      <c r="G71" s="10">
        <f>+VLOOKUP(Tabla1103453454455456479108133140168188[[#This Row],[Ingrediente]],Tabla34[#All],3,0)</f>
        <v>4.8319941200000001</v>
      </c>
      <c r="H71" s="11">
        <f>+Tabla1103453454455456479108133140168188[[#This Row],[Costo]]*Tabla1103453454455456479108133140168188[[#This Row],[Columna2]]</f>
        <v>144.95982359999999</v>
      </c>
      <c r="I71" s="4"/>
      <c r="J71" s="5" t="s">
        <v>9</v>
      </c>
      <c r="K71" s="12">
        <f>+K69+K70</f>
        <v>18044.314133526346</v>
      </c>
    </row>
    <row r="72" spans="2:13" x14ac:dyDescent="0.3">
      <c r="B72" s="21" t="s">
        <v>254</v>
      </c>
      <c r="C72" s="8" t="s">
        <v>570</v>
      </c>
      <c r="D72" s="9">
        <v>0.33</v>
      </c>
      <c r="E72" s="9">
        <v>0</v>
      </c>
      <c r="F72" s="9">
        <v>0.33</v>
      </c>
      <c r="G72" s="10">
        <f>+VLOOKUP(Tabla1103453454455456479108133140168188[[#This Row],[Ingrediente]],Tabla34[#All],3,0)</f>
        <v>1709.9658273299999</v>
      </c>
      <c r="H72" s="11">
        <f>+Tabla1103453454455456479108133140168188[[#This Row],[Costo]]*Tabla1103453454455456479108133140168188[[#This Row],[Columna2]]</f>
        <v>564.28872301889999</v>
      </c>
      <c r="I72" s="4"/>
      <c r="J72" s="17" t="s">
        <v>10</v>
      </c>
      <c r="K72" s="18">
        <v>37000</v>
      </c>
    </row>
    <row r="73" spans="2:13" x14ac:dyDescent="0.3">
      <c r="B73" s="7" t="s">
        <v>534</v>
      </c>
      <c r="C73" s="8" t="s">
        <v>188</v>
      </c>
      <c r="D73" s="9">
        <v>140</v>
      </c>
      <c r="E73" s="9">
        <v>0</v>
      </c>
      <c r="F73" s="9">
        <v>140</v>
      </c>
      <c r="G73" s="10">
        <f>+VLOOKUP(Tabla1103453454455456479108133140168188[[#This Row],[Ingrediente]],Tabla34[#All],3,0)</f>
        <v>1</v>
      </c>
      <c r="H73" s="11">
        <f>+Tabla1103453454455456479108133140168188[[#This Row],[Costo]]*Tabla1103453454455456479108133140168188[[#This Row],[Columna2]]</f>
        <v>140</v>
      </c>
      <c r="I73" s="4"/>
      <c r="J73" s="5" t="s">
        <v>11</v>
      </c>
      <c r="K73" s="12">
        <f>+K72/1.08*0.08</f>
        <v>2740.7407407407404</v>
      </c>
    </row>
    <row r="74" spans="2:13" x14ac:dyDescent="0.3">
      <c r="B74" s="7" t="s">
        <v>493</v>
      </c>
      <c r="C74" s="8" t="s">
        <v>188</v>
      </c>
      <c r="D74" s="9">
        <v>15.0000003</v>
      </c>
      <c r="E74" s="9">
        <v>5</v>
      </c>
      <c r="F74" s="9">
        <v>15.789474</v>
      </c>
      <c r="G74" s="10">
        <f>+VLOOKUP(Tabla1103453454455456479108133140168188[[#This Row],[Ingrediente]],Tabla34[#All],3,0)</f>
        <v>12.199999999999998</v>
      </c>
      <c r="H74" s="11">
        <f>+Tabla1103453454455456479108133140168188[[#This Row],[Costo]]*Tabla1103453454455456479108133140168188[[#This Row],[Columna2]]</f>
        <v>192.63158279999996</v>
      </c>
      <c r="I74" s="4"/>
      <c r="J74" s="5" t="s">
        <v>12</v>
      </c>
      <c r="K74" s="12">
        <f>+K72-K73</f>
        <v>34259.259259259263</v>
      </c>
    </row>
    <row r="75" spans="2:13" x14ac:dyDescent="0.3">
      <c r="B75" s="21" t="s">
        <v>437</v>
      </c>
      <c r="C75" s="8" t="s">
        <v>188</v>
      </c>
      <c r="D75" s="9">
        <v>19.999999599999999</v>
      </c>
      <c r="E75" s="9">
        <v>30</v>
      </c>
      <c r="F75" s="9">
        <v>28.571428000000001</v>
      </c>
      <c r="G75" s="10">
        <f>+VLOOKUP(Tabla1103453454455456479108133140168188[[#This Row],[Ingrediente]],Tabla34[#All],3,0)</f>
        <v>3</v>
      </c>
      <c r="H75" s="11">
        <f>+Tabla1103453454455456479108133140168188[[#This Row],[Costo]]*Tabla1103453454455456479108133140168188[[#This Row],[Columna2]]</f>
        <v>85.714284000000006</v>
      </c>
      <c r="I75" s="24"/>
      <c r="J75" s="5" t="s">
        <v>13</v>
      </c>
      <c r="K75" s="19">
        <f>+K71/K74</f>
        <v>0.52669889903266087</v>
      </c>
    </row>
    <row r="76" spans="2:13" x14ac:dyDescent="0.3">
      <c r="B76" s="7" t="s">
        <v>553</v>
      </c>
      <c r="C76" s="8" t="s">
        <v>188</v>
      </c>
      <c r="D76" s="9">
        <v>1.9999999799999999</v>
      </c>
      <c r="E76" s="9">
        <v>40</v>
      </c>
      <c r="F76" s="9">
        <v>3.3333333000000001</v>
      </c>
      <c r="G76" s="10">
        <f>+VLOOKUP(Tabla1103453454455456479108133140168188[[#This Row],[Ingrediente]],Tabla34[#All],3,0)</f>
        <v>16</v>
      </c>
      <c r="H76" s="11">
        <f>+Tabla1103453454455456479108133140168188[[#This Row],[Costo]]*Tabla1103453454455456479108133140168188[[#This Row],[Columna2]]</f>
        <v>53.333332800000001</v>
      </c>
      <c r="J76" s="5" t="s">
        <v>14</v>
      </c>
      <c r="K76" s="20">
        <f>+K74-K71</f>
        <v>16214.945125732916</v>
      </c>
    </row>
    <row r="77" spans="2:13" x14ac:dyDescent="0.3">
      <c r="B77" s="21" t="s">
        <v>42</v>
      </c>
      <c r="C77" s="8" t="s">
        <v>570</v>
      </c>
      <c r="D77" s="9">
        <v>1</v>
      </c>
      <c r="E77" s="9">
        <v>0</v>
      </c>
      <c r="F77" s="9">
        <v>1</v>
      </c>
      <c r="G77" s="10">
        <f>+VLOOKUP(Tabla1103453454455456479108133140168188[[#This Row],[Ingrediente]],Tabla34[#All],3,0)</f>
        <v>9701.1333333300008</v>
      </c>
      <c r="H77" s="11">
        <f>+Tabla1103453454455456479108133140168188[[#This Row],[Costo]]*Tabla1103453454455456479108133140168188[[#This Row],[Columna2]]</f>
        <v>9701.1333333300008</v>
      </c>
      <c r="J77" s="5" t="s">
        <v>15</v>
      </c>
      <c r="K77" s="22">
        <f>+K76/K71</f>
        <v>0.89861798047538632</v>
      </c>
    </row>
    <row r="78" spans="2:13" x14ac:dyDescent="0.3">
      <c r="B78" s="13"/>
      <c r="C78" s="14"/>
      <c r="D78" s="14"/>
      <c r="E78" s="14"/>
      <c r="F78" s="14"/>
      <c r="G78" s="15"/>
      <c r="H78" s="15">
        <f>SUBTOTAL(109,Tabla1103453454455456479108133140168188[Total costo])</f>
        <v>17185.061079548901</v>
      </c>
      <c r="I78" s="4"/>
    </row>
    <row r="79" spans="2:13" x14ac:dyDescent="0.3">
      <c r="G79" s="4"/>
    </row>
  </sheetData>
  <mergeCells count="6">
    <mergeCell ref="J68:K68"/>
    <mergeCell ref="J6:K6"/>
    <mergeCell ref="J20:K20"/>
    <mergeCell ref="J34:K34"/>
    <mergeCell ref="J45:K45"/>
    <mergeCell ref="J56:K56"/>
  </mergeCells>
  <phoneticPr fontId="20" type="noConversion"/>
  <conditionalFormatting sqref="K13">
    <cfRule type="cellIs" dxfId="287" priority="19" operator="lessThan">
      <formula>0.3</formula>
    </cfRule>
    <cfRule type="cellIs" dxfId="286" priority="20" operator="greaterThan">
      <formula>0.3</formula>
    </cfRule>
  </conditionalFormatting>
  <conditionalFormatting sqref="K27">
    <cfRule type="cellIs" dxfId="285" priority="17" operator="lessThan">
      <formula>0.3</formula>
    </cfRule>
    <cfRule type="cellIs" dxfId="284" priority="18" operator="greaterThan">
      <formula>0.3</formula>
    </cfRule>
  </conditionalFormatting>
  <conditionalFormatting sqref="K41">
    <cfRule type="cellIs" dxfId="283" priority="15" operator="lessThan">
      <formula>0.3</formula>
    </cfRule>
    <cfRule type="cellIs" dxfId="282" priority="16" operator="greaterThan">
      <formula>0.3</formula>
    </cfRule>
  </conditionalFormatting>
  <conditionalFormatting sqref="K52">
    <cfRule type="cellIs" dxfId="281" priority="13" operator="lessThan">
      <formula>0.3</formula>
    </cfRule>
    <cfRule type="cellIs" dxfId="280" priority="14" operator="greaterThan">
      <formula>0.3</formula>
    </cfRule>
  </conditionalFormatting>
  <conditionalFormatting sqref="K63">
    <cfRule type="cellIs" dxfId="279" priority="11" operator="lessThan">
      <formula>0.3</formula>
    </cfRule>
    <cfRule type="cellIs" dxfId="278" priority="12" operator="greaterThan">
      <formula>0.3</formula>
    </cfRule>
  </conditionalFormatting>
  <conditionalFormatting sqref="K75">
    <cfRule type="cellIs" dxfId="277" priority="9" operator="lessThan">
      <formula>0.3</formula>
    </cfRule>
    <cfRule type="cellIs" dxfId="276" priority="10" operator="greaterThan">
      <formula>0.3</formula>
    </cfRule>
  </conditionalFormatting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55C9C-DBE5-4B10-9B40-9071D5078983}">
  <dimension ref="B9:L130"/>
  <sheetViews>
    <sheetView showGridLines="0" zoomScale="93" zoomScaleNormal="93" workbookViewId="0">
      <selection activeCell="B11" sqref="B11:F27"/>
    </sheetView>
  </sheetViews>
  <sheetFormatPr baseColWidth="10" defaultRowHeight="14.4" x14ac:dyDescent="0.3"/>
  <cols>
    <col min="1" max="1" width="6.6640625" customWidth="1"/>
    <col min="2" max="2" width="37.5546875" customWidth="1"/>
    <col min="3" max="6" width="7.77734375" customWidth="1"/>
    <col min="7" max="8" width="10.77734375" customWidth="1"/>
    <col min="9" max="9" width="3.77734375" customWidth="1"/>
    <col min="10" max="10" width="27.44140625" bestFit="1" customWidth="1"/>
  </cols>
  <sheetData>
    <row r="9" spans="2:12" x14ac:dyDescent="0.3">
      <c r="B9" s="1" t="s">
        <v>132</v>
      </c>
      <c r="C9" s="2"/>
      <c r="D9" s="2"/>
      <c r="E9" s="3"/>
      <c r="F9" s="3"/>
      <c r="G9" s="99"/>
      <c r="H9" s="99"/>
      <c r="I9" s="4"/>
      <c r="J9" s="277" t="s">
        <v>0</v>
      </c>
      <c r="K9" s="277"/>
      <c r="L9" s="44"/>
    </row>
    <row r="10" spans="2:12" x14ac:dyDescent="0.3">
      <c r="B10" s="13" t="s">
        <v>1</v>
      </c>
      <c r="C10" s="14" t="s">
        <v>2</v>
      </c>
      <c r="D10" s="14" t="s">
        <v>3</v>
      </c>
      <c r="E10" s="14" t="s">
        <v>585</v>
      </c>
      <c r="F10" s="14" t="s">
        <v>343</v>
      </c>
      <c r="G10" s="28" t="s">
        <v>4</v>
      </c>
      <c r="H10" s="28" t="s">
        <v>5</v>
      </c>
      <c r="I10" s="4"/>
      <c r="J10" s="5" t="s">
        <v>6</v>
      </c>
      <c r="K10" s="6">
        <f>SUM(Tabla110345345445545647910813314016918080[Total costo])</f>
        <v>15584.239037349997</v>
      </c>
    </row>
    <row r="11" spans="2:12" x14ac:dyDescent="0.3">
      <c r="B11" s="21" t="s">
        <v>470</v>
      </c>
      <c r="C11" s="8" t="s">
        <v>188</v>
      </c>
      <c r="D11" s="9">
        <v>5</v>
      </c>
      <c r="E11" s="9">
        <v>30</v>
      </c>
      <c r="F11" s="9">
        <v>7.1429999999999998</v>
      </c>
      <c r="G11" s="10">
        <f>+VLOOKUP(Tabla110345345445545647910813314016918080[[#This Row],[Ingrediente]],Tabla34[#All],3,0)</f>
        <v>8</v>
      </c>
      <c r="H11" s="11">
        <f>+Tabla110345345445545647910813314016918080[[#This Row],[Costo]]*Tabla110345345445545647910813314016918080[[#This Row],[Columna1]]</f>
        <v>57.143999999999998</v>
      </c>
      <c r="I11" s="4"/>
      <c r="J11" s="5" t="s">
        <v>113</v>
      </c>
      <c r="K11" s="12">
        <f>+K10*5%</f>
        <v>779.21195186749992</v>
      </c>
    </row>
    <row r="12" spans="2:12" x14ac:dyDescent="0.3">
      <c r="B12" s="7" t="s">
        <v>442</v>
      </c>
      <c r="C12" s="8" t="s">
        <v>188</v>
      </c>
      <c r="D12" s="9">
        <v>2</v>
      </c>
      <c r="E12" s="9">
        <v>0</v>
      </c>
      <c r="F12" s="9">
        <v>2</v>
      </c>
      <c r="G12" s="10">
        <f>+VLOOKUP(Tabla110345345445545647910813314016918080[[#This Row],[Ingrediente]],Tabla34[#All],3,0)</f>
        <v>20.111000000000001</v>
      </c>
      <c r="H12" s="11">
        <f>+Tabla110345345445545647910813314016918080[[#This Row],[Costo]]*Tabla110345345445545647910813314016918080[[#This Row],[Columna1]]</f>
        <v>40.222000000000001</v>
      </c>
      <c r="I12" s="4"/>
      <c r="J12" s="5" t="s">
        <v>9</v>
      </c>
      <c r="K12" s="12">
        <f>+K10+K11</f>
        <v>16363.450989217497</v>
      </c>
    </row>
    <row r="13" spans="2:12" x14ac:dyDescent="0.3">
      <c r="B13" s="21" t="s">
        <v>498</v>
      </c>
      <c r="C13" s="8" t="s">
        <v>188</v>
      </c>
      <c r="D13" s="9">
        <v>1</v>
      </c>
      <c r="E13" s="9">
        <v>50</v>
      </c>
      <c r="F13" s="9">
        <v>2</v>
      </c>
      <c r="G13" s="10">
        <f>+VLOOKUP(Tabla110345345445545647910813314016918080[[#This Row],[Ingrediente]],Tabla34[#All],3,0)</f>
        <v>13</v>
      </c>
      <c r="H13" s="11">
        <f>+Tabla110345345445545647910813314016918080[[#This Row],[Costo]]*Tabla110345345445545647910813314016918080[[#This Row],[Columna1]]</f>
        <v>26</v>
      </c>
      <c r="I13" s="4"/>
      <c r="J13" s="17" t="s">
        <v>10</v>
      </c>
      <c r="K13" s="18">
        <v>58900</v>
      </c>
    </row>
    <row r="14" spans="2:12" x14ac:dyDescent="0.3">
      <c r="B14" s="7" t="s">
        <v>373</v>
      </c>
      <c r="C14" s="8" t="s">
        <v>570</v>
      </c>
      <c r="D14" s="9">
        <v>7</v>
      </c>
      <c r="E14" s="9">
        <v>0</v>
      </c>
      <c r="F14" s="9">
        <v>7</v>
      </c>
      <c r="G14" s="10">
        <f>+VLOOKUP(Tabla110345345445545647910813314016918080[[#This Row],[Ingrediente]],Tabla34[#All],3,0)</f>
        <v>485.71428571000001</v>
      </c>
      <c r="H14" s="11">
        <f>+Tabla110345345445545647910813314016918080[[#This Row],[Costo]]*Tabla110345345445545647910813314016918080[[#This Row],[Columna1]]</f>
        <v>3399.9999999700003</v>
      </c>
      <c r="I14" s="4"/>
      <c r="J14" s="5" t="s">
        <v>11</v>
      </c>
      <c r="K14" s="12">
        <f>+K13/1.08*0.08</f>
        <v>4362.9629629629626</v>
      </c>
    </row>
    <row r="15" spans="2:12" x14ac:dyDescent="0.3">
      <c r="B15" s="7" t="s">
        <v>446</v>
      </c>
      <c r="C15" s="8" t="s">
        <v>188</v>
      </c>
      <c r="D15" s="9">
        <v>5</v>
      </c>
      <c r="E15" s="9">
        <v>40</v>
      </c>
      <c r="F15" s="9">
        <v>8.3330000000000002</v>
      </c>
      <c r="G15" s="10">
        <f>+VLOOKUP(Tabla110345345445545647910813314016918080[[#This Row],[Ingrediente]],Tabla34[#All],3,0)</f>
        <v>5.5</v>
      </c>
      <c r="H15" s="11">
        <f>+Tabla110345345445545647910813314016918080[[#This Row],[Costo]]*Tabla110345345445545647910813314016918080[[#This Row],[Columna1]]</f>
        <v>45.831499999999998</v>
      </c>
      <c r="I15" s="4"/>
      <c r="J15" s="5" t="s">
        <v>12</v>
      </c>
      <c r="K15" s="12">
        <f>+K13-K14</f>
        <v>54537.037037037036</v>
      </c>
    </row>
    <row r="16" spans="2:12" x14ac:dyDescent="0.3">
      <c r="B16" s="7" t="s">
        <v>459</v>
      </c>
      <c r="C16" s="8" t="s">
        <v>188</v>
      </c>
      <c r="D16" s="9">
        <v>2</v>
      </c>
      <c r="E16" s="9">
        <v>0</v>
      </c>
      <c r="F16" s="9">
        <v>2</v>
      </c>
      <c r="G16" s="10">
        <f>+VLOOKUP(Tabla110345345445545647910813314016918080[[#This Row],[Ingrediente]],Tabla34[#All],3,0)</f>
        <v>58.140352939999993</v>
      </c>
      <c r="H16" s="11">
        <f>+Tabla110345345445545647910813314016918080[[#This Row],[Costo]]*Tabla110345345445545647910813314016918080[[#This Row],[Columna1]]</f>
        <v>116.28070587999999</v>
      </c>
      <c r="I16" s="4"/>
      <c r="J16" s="5" t="s">
        <v>13</v>
      </c>
      <c r="K16" s="19">
        <f>+K12/K15</f>
        <v>0.30004290438633102</v>
      </c>
    </row>
    <row r="17" spans="2:12" x14ac:dyDescent="0.3">
      <c r="B17" s="7" t="s">
        <v>413</v>
      </c>
      <c r="C17" s="8" t="s">
        <v>188</v>
      </c>
      <c r="D17" s="9">
        <v>80</v>
      </c>
      <c r="E17" s="9">
        <v>0</v>
      </c>
      <c r="F17" s="9">
        <v>80</v>
      </c>
      <c r="G17" s="10">
        <f>+VLOOKUP(Tabla110345345445545647910813314016918080[[#This Row],[Ingrediente]],Tabla34[#All],3,0)</f>
        <v>17.00824742</v>
      </c>
      <c r="H17" s="11">
        <f>+Tabla110345345445545647910813314016918080[[#This Row],[Costo]]*Tabla110345345445545647910813314016918080[[#This Row],[Columna1]]</f>
        <v>1360.6597936000001</v>
      </c>
      <c r="I17" s="4"/>
      <c r="J17" s="5" t="s">
        <v>14</v>
      </c>
      <c r="K17" s="20">
        <f>+K15-K12</f>
        <v>38173.586047819539</v>
      </c>
    </row>
    <row r="18" spans="2:12" x14ac:dyDescent="0.3">
      <c r="B18" s="21" t="s">
        <v>412</v>
      </c>
      <c r="C18" s="8" t="s">
        <v>570</v>
      </c>
      <c r="D18" s="9">
        <v>3</v>
      </c>
      <c r="E18" s="9">
        <v>0</v>
      </c>
      <c r="F18" s="9">
        <v>3</v>
      </c>
      <c r="G18" s="10">
        <f>+VLOOKUP(Tabla110345345445545647910813314016918080[[#This Row],[Ingrediente]],Tabla34[#All],3,0)</f>
        <v>323.68</v>
      </c>
      <c r="H18" s="11">
        <f>+Tabla110345345445545647910813314016918080[[#This Row],[Costo]]*Tabla110345345445545647910813314016918080[[#This Row],[Columna1]]</f>
        <v>971.04</v>
      </c>
      <c r="I18" s="4"/>
      <c r="J18" s="5" t="s">
        <v>15</v>
      </c>
      <c r="K18" s="22">
        <f>+K17/K12</f>
        <v>2.3328566860971791</v>
      </c>
    </row>
    <row r="19" spans="2:12" x14ac:dyDescent="0.3">
      <c r="B19" s="21" t="s">
        <v>376</v>
      </c>
      <c r="C19" s="8" t="s">
        <v>188</v>
      </c>
      <c r="D19" s="9">
        <v>40</v>
      </c>
      <c r="E19" s="9">
        <v>0</v>
      </c>
      <c r="F19" s="9">
        <v>40</v>
      </c>
      <c r="G19" s="10">
        <f>+VLOOKUP(Tabla110345345445545647910813314016918080[[#This Row],[Ingrediente]],Tabla34[#All],3,0)</f>
        <v>60.98749999999999</v>
      </c>
      <c r="H19" s="11">
        <f>+Tabla110345345445545647910813314016918080[[#This Row],[Costo]]*Tabla110345345445545647910813314016918080[[#This Row],[Columna1]]</f>
        <v>2439.4999999999995</v>
      </c>
      <c r="I19" s="4"/>
      <c r="J19" s="4"/>
      <c r="K19" s="23"/>
    </row>
    <row r="20" spans="2:12" x14ac:dyDescent="0.3">
      <c r="B20" s="21" t="s">
        <v>482</v>
      </c>
      <c r="C20" s="8" t="s">
        <v>188</v>
      </c>
      <c r="D20" s="9">
        <v>2</v>
      </c>
      <c r="E20" s="9">
        <v>0</v>
      </c>
      <c r="F20" s="9">
        <v>2</v>
      </c>
      <c r="G20" s="10">
        <f>+VLOOKUP(Tabla110345345445545647910813314016918080[[#This Row],[Ingrediente]],Tabla34[#All],3,0)</f>
        <v>2.6999075600000002</v>
      </c>
      <c r="H20" s="11">
        <f>+Tabla110345345445545647910813314016918080[[#This Row],[Costo]]*Tabla110345345445545647910813314016918080[[#This Row],[Columna1]]</f>
        <v>5.3998151200000004</v>
      </c>
      <c r="I20" s="4"/>
      <c r="J20" s="4"/>
      <c r="K20" s="23"/>
    </row>
    <row r="21" spans="2:12" x14ac:dyDescent="0.3">
      <c r="B21" s="7" t="s">
        <v>420</v>
      </c>
      <c r="C21" s="8" t="s">
        <v>188</v>
      </c>
      <c r="D21" s="267">
        <v>15</v>
      </c>
      <c r="E21" s="9">
        <v>0</v>
      </c>
      <c r="F21" s="9">
        <v>15</v>
      </c>
      <c r="G21" s="10">
        <f>+VLOOKUP(Tabla110345345445545647910813314016918080[[#This Row],[Ingrediente]],Tabla34[#All],3,0)</f>
        <v>8.9250000000000007</v>
      </c>
      <c r="H21" s="11">
        <f>+Tabla110345345445545647910813314016918080[[#This Row],[Costo]]*Tabla110345345445545647910813314016918080[[#This Row],[Columna1]]</f>
        <v>133.875</v>
      </c>
      <c r="I21" s="4"/>
      <c r="J21" s="4"/>
      <c r="K21" s="23"/>
    </row>
    <row r="22" spans="2:12" x14ac:dyDescent="0.3">
      <c r="B22" s="7" t="s">
        <v>341</v>
      </c>
      <c r="C22" s="8" t="s">
        <v>188</v>
      </c>
      <c r="D22" s="267">
        <v>10</v>
      </c>
      <c r="E22" s="9">
        <v>0</v>
      </c>
      <c r="F22" s="9">
        <v>10</v>
      </c>
      <c r="G22" s="10">
        <f>+VLOOKUP(Tabla110345345445545647910813314016918080[[#This Row],[Ingrediente]],Tabla34[#All],3,0)</f>
        <v>12.80723817</v>
      </c>
      <c r="H22" s="11">
        <f>+Tabla110345345445545647910813314016918080[[#This Row],[Costo]]*Tabla110345345445545647910813314016918080[[#This Row],[Columna1]]</f>
        <v>128.07238169999999</v>
      </c>
    </row>
    <row r="23" spans="2:12" x14ac:dyDescent="0.3">
      <c r="B23" s="7" t="s">
        <v>100</v>
      </c>
      <c r="C23" s="8" t="s">
        <v>570</v>
      </c>
      <c r="D23" s="267">
        <v>1</v>
      </c>
      <c r="E23" s="9">
        <v>0</v>
      </c>
      <c r="F23" s="9">
        <v>1</v>
      </c>
      <c r="G23" s="10">
        <f>+VLOOKUP(Tabla110345345445545647910813314016918080[[#This Row],[Ingrediente]],Tabla34[#All],3,0)</f>
        <v>1245.63046328</v>
      </c>
      <c r="H23" s="11">
        <f>+Tabla110345345445545647910813314016918080[[#This Row],[Costo]]*Tabla110345345445545647910813314016918080[[#This Row],[Columna1]]</f>
        <v>1245.63046328</v>
      </c>
    </row>
    <row r="24" spans="2:12" x14ac:dyDescent="0.3">
      <c r="B24" s="7" t="s">
        <v>449</v>
      </c>
      <c r="C24" s="8" t="s">
        <v>188</v>
      </c>
      <c r="D24" s="267">
        <v>60</v>
      </c>
      <c r="E24" s="9">
        <v>0</v>
      </c>
      <c r="F24" s="9">
        <v>60</v>
      </c>
      <c r="G24" s="10">
        <f>+VLOOKUP(Tabla110345345445545647910813314016918080[[#This Row],[Ingrediente]],Tabla34[#All],3,0)</f>
        <v>23.317903900000001</v>
      </c>
      <c r="H24" s="11">
        <f>+Tabla110345345445545647910813314016918080[[#This Row],[Costo]]*Tabla110345345445545647910813314016918080[[#This Row],[Columna1]]</f>
        <v>1399.0742340000002</v>
      </c>
    </row>
    <row r="25" spans="2:12" x14ac:dyDescent="0.3">
      <c r="B25" s="7" t="s">
        <v>92</v>
      </c>
      <c r="C25" s="8" t="s">
        <v>188</v>
      </c>
      <c r="D25" s="267">
        <v>5</v>
      </c>
      <c r="E25" s="9">
        <v>0</v>
      </c>
      <c r="F25" s="9">
        <v>5</v>
      </c>
      <c r="G25" s="10">
        <f>+VLOOKUP(Tabla110345345445545647910813314016918080[[#This Row],[Ingrediente]],Tabla34[#All],3,0)</f>
        <v>10.625185460000001</v>
      </c>
      <c r="H25" s="11">
        <f>+Tabla110345345445545647910813314016918080[[#This Row],[Costo]]*Tabla110345345445545647910813314016918080[[#This Row],[Columna1]]</f>
        <v>53.125927300000001</v>
      </c>
    </row>
    <row r="26" spans="2:12" x14ac:dyDescent="0.3">
      <c r="B26" s="7" t="s">
        <v>533</v>
      </c>
      <c r="C26" s="8" t="s">
        <v>570</v>
      </c>
      <c r="D26" s="267">
        <v>1</v>
      </c>
      <c r="E26" s="9">
        <v>0</v>
      </c>
      <c r="F26" s="9">
        <v>1</v>
      </c>
      <c r="G26" s="10">
        <f>+VLOOKUP(Tabla110345345445545647910813314016918080[[#This Row],[Ingrediente]],Tabla34[#All],3,0)</f>
        <v>4002.0382164999996</v>
      </c>
      <c r="H26" s="11">
        <f>+Tabla110345345445545647910813314016918080[[#This Row],[Costo]]*Tabla110345345445545647910813314016918080[[#This Row],[Columna1]]</f>
        <v>4002.0382164999996</v>
      </c>
    </row>
    <row r="27" spans="2:12" x14ac:dyDescent="0.3">
      <c r="B27" s="7" t="s">
        <v>471</v>
      </c>
      <c r="C27" s="8" t="s">
        <v>188</v>
      </c>
      <c r="D27" s="267">
        <v>10</v>
      </c>
      <c r="E27" s="9">
        <v>0</v>
      </c>
      <c r="F27" s="9">
        <v>10</v>
      </c>
      <c r="G27" s="10">
        <f>+VLOOKUP(Tabla110345345445545647910813314016918080[[#This Row],[Ingrediente]],Tabla34[#All],3,0)</f>
        <v>16.034500000000001</v>
      </c>
      <c r="H27" s="11">
        <f>+Tabla110345345445545647910813314016918080[[#This Row],[Costo]]*Tabla110345345445545647910813314016918080[[#This Row],[Columna1]]</f>
        <v>160.34500000000003</v>
      </c>
      <c r="J27" s="277" t="s">
        <v>0</v>
      </c>
      <c r="K27" s="277"/>
      <c r="L27" s="44"/>
    </row>
    <row r="28" spans="2:12" x14ac:dyDescent="0.3">
      <c r="B28" s="13"/>
      <c r="C28" s="14"/>
      <c r="D28" s="14"/>
      <c r="E28" s="14"/>
      <c r="F28" s="14"/>
      <c r="G28" s="15"/>
      <c r="H28" s="15">
        <f>SUBTOTAL(109,Tabla110345345445545647910813314016918080[Total costo])</f>
        <v>15584.239037349997</v>
      </c>
      <c r="I28" s="4"/>
      <c r="J28" s="5" t="s">
        <v>6</v>
      </c>
      <c r="K28" s="6">
        <f>SUM(Tabla11034534544554564791081331401691808087[Total costo])</f>
        <v>15403.649247928402</v>
      </c>
    </row>
    <row r="29" spans="2:12" x14ac:dyDescent="0.3">
      <c r="B29" s="1" t="s">
        <v>1002</v>
      </c>
      <c r="C29" s="2"/>
      <c r="D29" s="2"/>
      <c r="E29" s="3"/>
      <c r="F29" s="3"/>
      <c r="G29" s="99"/>
      <c r="H29" s="99"/>
      <c r="I29" s="4"/>
      <c r="J29" s="5" t="s">
        <v>113</v>
      </c>
      <c r="K29" s="12">
        <f>+K28*5%</f>
        <v>770.18246239642019</v>
      </c>
    </row>
    <row r="30" spans="2:12" x14ac:dyDescent="0.3">
      <c r="B30" s="13" t="s">
        <v>1</v>
      </c>
      <c r="C30" s="14" t="s">
        <v>2</v>
      </c>
      <c r="D30" s="14" t="s">
        <v>3</v>
      </c>
      <c r="E30" s="14" t="s">
        <v>585</v>
      </c>
      <c r="F30" s="14" t="s">
        <v>343</v>
      </c>
      <c r="G30" s="28" t="s">
        <v>4</v>
      </c>
      <c r="H30" s="28" t="s">
        <v>5</v>
      </c>
      <c r="I30" s="4"/>
      <c r="J30" s="5" t="s">
        <v>9</v>
      </c>
      <c r="K30" s="12">
        <f>+K28+K29</f>
        <v>16173.831710324823</v>
      </c>
    </row>
    <row r="31" spans="2:12" x14ac:dyDescent="0.3">
      <c r="B31" s="21" t="s">
        <v>363</v>
      </c>
      <c r="C31" s="8" t="s">
        <v>570</v>
      </c>
      <c r="D31" s="214">
        <v>0.33</v>
      </c>
      <c r="E31" s="9">
        <v>0</v>
      </c>
      <c r="F31" s="9">
        <v>0.33</v>
      </c>
      <c r="G31" s="10">
        <f>+VLOOKUP(Tabla11034534544554564791081331401691808087[[#This Row],[Ingrediente]],Tabla34[#All],3,0)</f>
        <v>20955.187312270002</v>
      </c>
      <c r="H31" s="11">
        <f>+Tabla11034534544554564791081331401691808087[[#This Row],[Costo]]*Tabla11034534544554564791081331401691808087[[#This Row],[Columna1]]</f>
        <v>6915.2118130491008</v>
      </c>
      <c r="I31" s="4"/>
      <c r="J31" s="17" t="s">
        <v>10</v>
      </c>
      <c r="K31" s="18">
        <v>59000</v>
      </c>
    </row>
    <row r="32" spans="2:12" x14ac:dyDescent="0.3">
      <c r="B32" s="21" t="s">
        <v>53</v>
      </c>
      <c r="C32" s="8" t="s">
        <v>188</v>
      </c>
      <c r="D32" s="9">
        <v>100</v>
      </c>
      <c r="E32" s="9">
        <v>10</v>
      </c>
      <c r="F32" s="9">
        <v>111.111</v>
      </c>
      <c r="G32" s="10">
        <f>+VLOOKUP(Tabla11034534544554564791081331401691808087[[#This Row],[Ingrediente]],Tabla34[#All],3,0)</f>
        <v>51.296296300000002</v>
      </c>
      <c r="H32" s="11">
        <f>+Tabla11034534544554564791081331401691808087[[#This Row],[Costo]]*Tabla11034534544554564791081331401691808087[[#This Row],[Columna1]]</f>
        <v>5699.5827781893004</v>
      </c>
      <c r="I32" s="4"/>
      <c r="J32" s="5" t="s">
        <v>11</v>
      </c>
      <c r="K32" s="12">
        <f>+K31/1.08*0.08</f>
        <v>4370.3703703703704</v>
      </c>
    </row>
    <row r="33" spans="2:12" x14ac:dyDescent="0.3">
      <c r="B33" s="7" t="s">
        <v>226</v>
      </c>
      <c r="C33" s="8" t="s">
        <v>188</v>
      </c>
      <c r="D33" s="9">
        <v>100</v>
      </c>
      <c r="E33" s="9">
        <v>0</v>
      </c>
      <c r="F33" s="9">
        <v>100</v>
      </c>
      <c r="G33" s="10">
        <f>+VLOOKUP(Tabla11034534544554564791081331401691808087[[#This Row],[Ingrediente]],Tabla34[#All],3,0)</f>
        <v>10.179495380000001</v>
      </c>
      <c r="H33" s="11">
        <f>+Tabla11034534544554564791081331401691808087[[#This Row],[Costo]]*Tabla11034534544554564791081331401691808087[[#This Row],[Columna1]]</f>
        <v>1017.9495380000001</v>
      </c>
      <c r="I33" s="4"/>
      <c r="J33" s="5" t="s">
        <v>12</v>
      </c>
      <c r="K33" s="12">
        <f>+K31-K32</f>
        <v>54629.629629629628</v>
      </c>
    </row>
    <row r="34" spans="2:12" x14ac:dyDescent="0.3">
      <c r="B34" s="7" t="s">
        <v>946</v>
      </c>
      <c r="C34" s="8" t="s">
        <v>188</v>
      </c>
      <c r="D34" s="9">
        <v>15</v>
      </c>
      <c r="E34" s="9">
        <v>0</v>
      </c>
      <c r="F34" s="9">
        <v>15</v>
      </c>
      <c r="G34" s="10">
        <f>+VLOOKUP(Tabla11034534544554564791081331401691808087[[#This Row],[Ingrediente]],Tabla34[#All],3,0)</f>
        <v>32</v>
      </c>
      <c r="H34" s="11">
        <f>+Tabla11034534544554564791081331401691808087[[#This Row],[Costo]]*Tabla11034534544554564791081331401691808087[[#This Row],[Columna1]]</f>
        <v>480</v>
      </c>
      <c r="I34" s="4"/>
      <c r="J34" s="5" t="s">
        <v>13</v>
      </c>
      <c r="K34" s="19">
        <f>+K30/K33</f>
        <v>0.29606336012120016</v>
      </c>
    </row>
    <row r="35" spans="2:12" x14ac:dyDescent="0.3">
      <c r="B35" s="7" t="s">
        <v>406</v>
      </c>
      <c r="C35" s="8" t="s">
        <v>188</v>
      </c>
      <c r="D35" s="9">
        <v>30</v>
      </c>
      <c r="E35" s="9">
        <v>25</v>
      </c>
      <c r="F35" s="9">
        <v>40</v>
      </c>
      <c r="G35" s="10">
        <f>+VLOOKUP(Tabla11034534544554564791081331401691808087[[#This Row],[Ingrediente]],Tabla34[#All],3,0)</f>
        <v>14</v>
      </c>
      <c r="H35" s="11">
        <f>+Tabla11034534544554564791081331401691808087[[#This Row],[Costo]]*Tabla11034534544554564791081331401691808087[[#This Row],[Columna1]]</f>
        <v>560</v>
      </c>
      <c r="I35" s="4"/>
      <c r="J35" s="5" t="s">
        <v>14</v>
      </c>
      <c r="K35" s="20">
        <f>+K33-K30</f>
        <v>38455.797919304809</v>
      </c>
    </row>
    <row r="36" spans="2:12" x14ac:dyDescent="0.3">
      <c r="B36" s="7" t="s">
        <v>93</v>
      </c>
      <c r="C36" s="8" t="s">
        <v>188</v>
      </c>
      <c r="D36" s="9">
        <v>100</v>
      </c>
      <c r="E36" s="9">
        <v>0</v>
      </c>
      <c r="F36" s="9">
        <v>100</v>
      </c>
      <c r="G36" s="10">
        <f>+VLOOKUP(Tabla11034534544554564791081331401691808087[[#This Row],[Ingrediente]],Tabla34[#All],3,0)</f>
        <v>1.25441665</v>
      </c>
      <c r="H36" s="11">
        <f>+Tabla11034534544554564791081331401691808087[[#This Row],[Costo]]*Tabla11034534544554564791081331401691808087[[#This Row],[Columna1]]</f>
        <v>125.441665</v>
      </c>
      <c r="I36" s="4"/>
      <c r="J36" s="5" t="s">
        <v>15</v>
      </c>
      <c r="K36" s="22">
        <f>+K35/K30</f>
        <v>2.3776553761688977</v>
      </c>
    </row>
    <row r="37" spans="2:12" x14ac:dyDescent="0.3">
      <c r="B37" s="21" t="s">
        <v>526</v>
      </c>
      <c r="C37" s="8" t="s">
        <v>188</v>
      </c>
      <c r="D37" s="9">
        <v>10</v>
      </c>
      <c r="E37" s="9">
        <v>0</v>
      </c>
      <c r="F37" s="9">
        <v>10</v>
      </c>
      <c r="G37" s="10">
        <f>+VLOOKUP(Tabla11034534544554564791081331401691808087[[#This Row],[Ingrediente]],Tabla34[#All],3,0)</f>
        <v>23.747277729999997</v>
      </c>
      <c r="H37" s="11">
        <f>+Tabla11034534544554564791081331401691808087[[#This Row],[Costo]]*Tabla11034534544554564791081331401691808087[[#This Row],[Columna1]]</f>
        <v>237.47277729999996</v>
      </c>
      <c r="I37" s="4"/>
      <c r="J37" s="4"/>
      <c r="K37" s="23"/>
    </row>
    <row r="38" spans="2:12" x14ac:dyDescent="0.3">
      <c r="B38" s="7" t="s">
        <v>475</v>
      </c>
      <c r="C38" s="8" t="s">
        <v>188</v>
      </c>
      <c r="D38" s="9">
        <v>5</v>
      </c>
      <c r="E38" s="9">
        <v>10</v>
      </c>
      <c r="F38" s="9">
        <v>5.556</v>
      </c>
      <c r="G38" s="10">
        <f>+VLOOKUP(Tabla11034534544554564791081331401691808087[[#This Row],[Ingrediente]],Tabla34[#All],3,0)</f>
        <v>14</v>
      </c>
      <c r="H38" s="11">
        <f>+Tabla11034534544554564791081331401691808087[[#This Row],[Costo]]*Tabla11034534544554564791081331401691808087[[#This Row],[Columna1]]</f>
        <v>77.784000000000006</v>
      </c>
      <c r="I38" s="4"/>
      <c r="J38" s="4"/>
      <c r="K38" s="23"/>
    </row>
    <row r="39" spans="2:12" x14ac:dyDescent="0.3">
      <c r="B39" s="7" t="s">
        <v>398</v>
      </c>
      <c r="C39" s="8" t="s">
        <v>188</v>
      </c>
      <c r="D39" s="9">
        <v>20</v>
      </c>
      <c r="E39" s="9">
        <v>10</v>
      </c>
      <c r="F39" s="9">
        <v>22.222000000000001</v>
      </c>
      <c r="G39" s="10">
        <f>+VLOOKUP(Tabla11034534544554564791081331401691808087[[#This Row],[Ingrediente]],Tabla34[#All],3,0)</f>
        <v>3.7999999999999994</v>
      </c>
      <c r="H39" s="11">
        <f>+Tabla11034534544554564791081331401691808087[[#This Row],[Costo]]*Tabla11034534544554564791081331401691808087[[#This Row],[Columna1]]</f>
        <v>84.443599999999989</v>
      </c>
      <c r="I39" s="4"/>
      <c r="J39" s="4"/>
      <c r="K39" s="23"/>
    </row>
    <row r="40" spans="2:12" x14ac:dyDescent="0.3">
      <c r="B40" s="7" t="s">
        <v>92</v>
      </c>
      <c r="C40" s="8" t="s">
        <v>188</v>
      </c>
      <c r="D40" s="9">
        <v>5</v>
      </c>
      <c r="E40" s="9">
        <v>0</v>
      </c>
      <c r="F40" s="9">
        <v>5</v>
      </c>
      <c r="G40" s="10">
        <f>+VLOOKUP(Tabla11034534544554564791081331401691808087[[#This Row],[Ingrediente]],Tabla34[#All],3,0)</f>
        <v>10.625185460000001</v>
      </c>
      <c r="H40" s="11">
        <f>+Tabla11034534544554564791081331401691808087[[#This Row],[Costo]]*Tabla11034534544554564791081331401691808087[[#This Row],[Columna1]]</f>
        <v>53.125927300000001</v>
      </c>
      <c r="I40" s="4"/>
    </row>
    <row r="41" spans="2:12" x14ac:dyDescent="0.3">
      <c r="B41" s="7" t="s">
        <v>443</v>
      </c>
      <c r="C41" s="8" t="s">
        <v>188</v>
      </c>
      <c r="D41" s="9">
        <v>1</v>
      </c>
      <c r="E41" s="9">
        <v>0</v>
      </c>
      <c r="F41" s="9">
        <v>1</v>
      </c>
      <c r="G41" s="10">
        <f>+VLOOKUP(Tabla11034534544554564791081331401691808087[[#This Row],[Ingrediente]],Tabla34[#All],3,0)</f>
        <v>94.613741530000013</v>
      </c>
      <c r="H41" s="11">
        <f>+Tabla11034534544554564791081331401691808087[[#This Row],[Costo]]*Tabla11034534544554564791081331401691808087[[#This Row],[Columna1]]</f>
        <v>94.613741530000013</v>
      </c>
    </row>
    <row r="42" spans="2:12" x14ac:dyDescent="0.3">
      <c r="B42" s="21" t="s">
        <v>446</v>
      </c>
      <c r="C42" s="8" t="s">
        <v>188</v>
      </c>
      <c r="D42" s="9">
        <v>5</v>
      </c>
      <c r="E42" s="9">
        <v>40</v>
      </c>
      <c r="F42" s="9">
        <v>8.3330000000000002</v>
      </c>
      <c r="G42" s="10">
        <f>+VLOOKUP(Tabla11034534544554564791081331401691808087[[#This Row],[Ingrediente]],Tabla34[#All],3,0)</f>
        <v>5.5</v>
      </c>
      <c r="H42" s="11">
        <f>+Tabla11034534544554564791081331401691808087[[#This Row],[Costo]]*Tabla11034534544554564791081331401691808087[[#This Row],[Columna1]]</f>
        <v>45.831499999999998</v>
      </c>
    </row>
    <row r="43" spans="2:12" x14ac:dyDescent="0.3">
      <c r="B43" s="21" t="s">
        <v>35</v>
      </c>
      <c r="C43" s="8" t="s">
        <v>188</v>
      </c>
      <c r="D43" s="9">
        <v>2</v>
      </c>
      <c r="E43" s="9">
        <v>0</v>
      </c>
      <c r="F43" s="9">
        <v>2</v>
      </c>
      <c r="G43" s="10">
        <f>+VLOOKUP(Tabla11034534544554564791081331401691808087[[#This Row],[Ingrediente]],Tabla34[#All],3,0)</f>
        <v>4.7460000000000004</v>
      </c>
      <c r="H43" s="11">
        <f>+Tabla11034534544554564791081331401691808087[[#This Row],[Costo]]*Tabla11034534544554564791081331401691808087[[#This Row],[Columna1]]</f>
        <v>9.4920000000000009</v>
      </c>
    </row>
    <row r="44" spans="2:12" x14ac:dyDescent="0.3">
      <c r="B44" s="7" t="s">
        <v>482</v>
      </c>
      <c r="C44" s="8" t="s">
        <v>188</v>
      </c>
      <c r="D44" s="9">
        <v>1</v>
      </c>
      <c r="E44" s="9">
        <v>0</v>
      </c>
      <c r="F44" s="9">
        <v>1</v>
      </c>
      <c r="G44" s="10">
        <f>+VLOOKUP(Tabla11034534544554564791081331401691808087[[#This Row],[Ingrediente]],Tabla34[#All],3,0)</f>
        <v>2.6999075600000002</v>
      </c>
      <c r="H44" s="11">
        <f>+Tabla11034534544554564791081331401691808087[[#This Row],[Costo]]*Tabla11034534544554564791081331401691808087[[#This Row],[Columna1]]</f>
        <v>2.6999075600000002</v>
      </c>
    </row>
    <row r="45" spans="2:12" x14ac:dyDescent="0.3">
      <c r="B45" s="13"/>
      <c r="C45" s="14"/>
      <c r="D45" s="14"/>
      <c r="E45" s="14"/>
      <c r="F45" s="14"/>
      <c r="G45" s="15"/>
      <c r="H45" s="15">
        <f>SUBTOTAL(109,Tabla11034534544554564791081331401691808087[Total costo])</f>
        <v>15403.649247928402</v>
      </c>
      <c r="J45" s="277" t="s">
        <v>0</v>
      </c>
      <c r="K45" s="277"/>
      <c r="L45" s="44"/>
    </row>
    <row r="46" spans="2:12" x14ac:dyDescent="0.3">
      <c r="I46" s="4"/>
      <c r="J46" s="5" t="s">
        <v>6</v>
      </c>
      <c r="K46" s="6">
        <f>SUM(Tabla110345345445545647910813314016918080878892[Total costo])</f>
        <v>18698.950902930002</v>
      </c>
    </row>
    <row r="47" spans="2:12" x14ac:dyDescent="0.3">
      <c r="B47" s="16" t="s">
        <v>1013</v>
      </c>
      <c r="C47" s="2"/>
      <c r="D47" s="2"/>
      <c r="E47" s="3"/>
      <c r="F47" s="3"/>
      <c r="G47" s="99"/>
      <c r="H47" s="99"/>
      <c r="I47" s="4"/>
      <c r="J47" s="5" t="s">
        <v>113</v>
      </c>
      <c r="K47" s="12">
        <f>+K46*5%</f>
        <v>934.94754514650015</v>
      </c>
    </row>
    <row r="48" spans="2:12" x14ac:dyDescent="0.3">
      <c r="B48" s="13" t="s">
        <v>1</v>
      </c>
      <c r="C48" s="14" t="s">
        <v>2</v>
      </c>
      <c r="D48" s="14" t="s">
        <v>3</v>
      </c>
      <c r="E48" s="14" t="s">
        <v>585</v>
      </c>
      <c r="F48" s="14" t="s">
        <v>343</v>
      </c>
      <c r="G48" s="28" t="s">
        <v>4</v>
      </c>
      <c r="H48" s="28" t="s">
        <v>5</v>
      </c>
      <c r="I48" s="4"/>
      <c r="J48" s="5" t="s">
        <v>9</v>
      </c>
      <c r="K48" s="12">
        <f>+K46+K47</f>
        <v>19633.898448076503</v>
      </c>
    </row>
    <row r="49" spans="2:11" x14ac:dyDescent="0.3">
      <c r="B49" s="21" t="s">
        <v>366</v>
      </c>
      <c r="C49" s="8" t="s">
        <v>570</v>
      </c>
      <c r="D49" s="9">
        <v>1</v>
      </c>
      <c r="E49" s="9">
        <v>0</v>
      </c>
      <c r="F49" s="9">
        <v>1</v>
      </c>
      <c r="G49" s="10">
        <f>+VLOOKUP(Tabla110345345445545647910813314016918080878892[[#This Row],[Ingrediente]],Tabla34[#All],3,0)</f>
        <v>12280</v>
      </c>
      <c r="H49" s="11">
        <f>+Tabla110345345445545647910813314016918080878892[[#This Row],[Costo]]*Tabla110345345445545647910813314016918080878892[[#This Row],[Columna1]]</f>
        <v>12280</v>
      </c>
      <c r="I49" s="4"/>
      <c r="J49" s="17" t="s">
        <v>10</v>
      </c>
      <c r="K49" s="18">
        <v>63000</v>
      </c>
    </row>
    <row r="50" spans="2:11" x14ac:dyDescent="0.3">
      <c r="B50" s="21" t="s">
        <v>100</v>
      </c>
      <c r="C50" s="8" t="s">
        <v>570</v>
      </c>
      <c r="D50" s="9">
        <v>1</v>
      </c>
      <c r="E50" s="9">
        <v>0</v>
      </c>
      <c r="F50" s="9">
        <v>1</v>
      </c>
      <c r="G50" s="10">
        <f>+VLOOKUP(Tabla110345345445545647910813314016918080878892[[#This Row],[Ingrediente]],Tabla34[#All],3,0)</f>
        <v>1245.63046328</v>
      </c>
      <c r="H50" s="11">
        <f>+Tabla110345345445545647910813314016918080878892[[#This Row],[Costo]]*Tabla110345345445545647910813314016918080878892[[#This Row],[Columna1]]</f>
        <v>1245.63046328</v>
      </c>
      <c r="I50" s="4"/>
      <c r="J50" s="5" t="s">
        <v>11</v>
      </c>
      <c r="K50" s="12">
        <f>+K49/1.08*0.08</f>
        <v>4666.6666666666661</v>
      </c>
    </row>
    <row r="51" spans="2:11" x14ac:dyDescent="0.3">
      <c r="B51" s="7" t="s">
        <v>1003</v>
      </c>
      <c r="C51" s="8" t="s">
        <v>188</v>
      </c>
      <c r="D51" s="9">
        <v>150</v>
      </c>
      <c r="E51" s="9">
        <v>0</v>
      </c>
      <c r="F51" s="9">
        <v>150</v>
      </c>
      <c r="G51" s="10">
        <f>+VLOOKUP(Tabla110345345445545647910813314016918080878892[[#This Row],[Ingrediente]],Tabla34[#All],3,0)</f>
        <v>13.67543716</v>
      </c>
      <c r="H51" s="11">
        <f>+Tabla110345345445545647910813314016918080878892[[#This Row],[Costo]]*Tabla110345345445545647910813314016918080878892[[#This Row],[Columna1]]</f>
        <v>2051.3155739999997</v>
      </c>
      <c r="I51" s="4"/>
      <c r="J51" s="5" t="s">
        <v>12</v>
      </c>
      <c r="K51" s="12">
        <f>+K49-K50</f>
        <v>58333.333333333336</v>
      </c>
    </row>
    <row r="52" spans="2:11" x14ac:dyDescent="0.3">
      <c r="B52" s="21" t="s">
        <v>413</v>
      </c>
      <c r="C52" s="8" t="s">
        <v>188</v>
      </c>
      <c r="D52" s="9">
        <v>80</v>
      </c>
      <c r="E52" s="9">
        <v>0</v>
      </c>
      <c r="F52" s="9">
        <v>80</v>
      </c>
      <c r="G52" s="10">
        <f>+VLOOKUP(Tabla110345345445545647910813314016918080878892[[#This Row],[Ingrediente]],Tabla34[#All],3,0)</f>
        <v>17.00824742</v>
      </c>
      <c r="H52" s="11">
        <f>+Tabla110345345445545647910813314016918080878892[[#This Row],[Costo]]*Tabla110345345445545647910813314016918080878892[[#This Row],[Columna1]]</f>
        <v>1360.6597936000001</v>
      </c>
      <c r="I52" s="4"/>
      <c r="J52" s="5" t="s">
        <v>13</v>
      </c>
      <c r="K52" s="19">
        <f>+K48/K51</f>
        <v>0.33658111625274006</v>
      </c>
    </row>
    <row r="53" spans="2:11" x14ac:dyDescent="0.3">
      <c r="B53" s="21" t="s">
        <v>74</v>
      </c>
      <c r="C53" s="8" t="s">
        <v>188</v>
      </c>
      <c r="D53" s="9">
        <v>30</v>
      </c>
      <c r="E53" s="9">
        <v>0</v>
      </c>
      <c r="F53" s="9">
        <v>30</v>
      </c>
      <c r="G53" s="10">
        <f>+VLOOKUP(Tabla110345345445545647910813314016918080878892[[#This Row],[Ingrediente]],Tabla34[#All],3,0)</f>
        <v>12.25316591</v>
      </c>
      <c r="H53" s="11">
        <f>+Tabla110345345445545647910813314016918080878892[[#This Row],[Costo]]*Tabla110345345445545647910813314016918080878892[[#This Row],[Columna1]]</f>
        <v>367.59497729999998</v>
      </c>
      <c r="I53" s="4"/>
      <c r="J53" s="5" t="s">
        <v>14</v>
      </c>
      <c r="K53" s="20">
        <f>+K51-K48</f>
        <v>38699.434885256836</v>
      </c>
    </row>
    <row r="54" spans="2:11" x14ac:dyDescent="0.3">
      <c r="B54" s="7" t="s">
        <v>362</v>
      </c>
      <c r="C54" s="8" t="s">
        <v>188</v>
      </c>
      <c r="D54" s="9">
        <v>50</v>
      </c>
      <c r="E54" s="9">
        <v>0</v>
      </c>
      <c r="F54" s="9">
        <v>50</v>
      </c>
      <c r="G54" s="10">
        <f>+VLOOKUP(Tabla110345345445545647910813314016918080878892[[#This Row],[Ingrediente]],Tabla34[#All],3,0)</f>
        <v>8.2499666699999992</v>
      </c>
      <c r="H54" s="11">
        <f>+Tabla110345345445545647910813314016918080878892[[#This Row],[Costo]]*Tabla110345345445545647910813314016918080878892[[#This Row],[Columna1]]</f>
        <v>412.49833349999994</v>
      </c>
      <c r="I54" s="4"/>
      <c r="J54" s="5" t="s">
        <v>15</v>
      </c>
      <c r="K54" s="22">
        <f>+K53/K48</f>
        <v>1.9710520041448085</v>
      </c>
    </row>
    <row r="55" spans="2:11" x14ac:dyDescent="0.3">
      <c r="B55" s="21" t="s">
        <v>376</v>
      </c>
      <c r="C55" s="8" t="s">
        <v>188</v>
      </c>
      <c r="D55" s="9">
        <v>5</v>
      </c>
      <c r="E55" s="9">
        <v>0</v>
      </c>
      <c r="F55" s="9">
        <v>5</v>
      </c>
      <c r="G55" s="10">
        <f>+VLOOKUP(Tabla110345345445545647910813314016918080878892[[#This Row],[Ingrediente]],Tabla34[#All],3,0)</f>
        <v>60.98749999999999</v>
      </c>
      <c r="H55" s="11">
        <f>+Tabla110345345445545647910813314016918080878892[[#This Row],[Costo]]*Tabla110345345445545647910813314016918080878892[[#This Row],[Columna1]]</f>
        <v>304.93749999999994</v>
      </c>
      <c r="I55" s="4"/>
      <c r="J55" s="4"/>
      <c r="K55" s="23"/>
    </row>
    <row r="56" spans="2:11" x14ac:dyDescent="0.3">
      <c r="B56" s="7" t="s">
        <v>402</v>
      </c>
      <c r="C56" s="8" t="s">
        <v>188</v>
      </c>
      <c r="D56" s="9">
        <v>15</v>
      </c>
      <c r="E56" s="9">
        <v>0</v>
      </c>
      <c r="F56" s="9">
        <v>15</v>
      </c>
      <c r="G56" s="10">
        <f>+VLOOKUP(Tabla110345345445545647910813314016918080878892[[#This Row],[Ingrediente]],Tabla34[#All],3,0)</f>
        <v>13.050000000000002</v>
      </c>
      <c r="H56" s="11">
        <f>+Tabla110345345445545647910813314016918080878892[[#This Row],[Costo]]*Tabla110345345445545647910813314016918080878892[[#This Row],[Columna1]]</f>
        <v>195.75000000000003</v>
      </c>
      <c r="I56" s="4"/>
      <c r="J56" s="4"/>
      <c r="K56" s="23"/>
    </row>
    <row r="57" spans="2:11" x14ac:dyDescent="0.3">
      <c r="B57" s="7" t="s">
        <v>526</v>
      </c>
      <c r="C57" s="8" t="s">
        <v>188</v>
      </c>
      <c r="D57" s="9">
        <v>10</v>
      </c>
      <c r="E57" s="9">
        <v>0</v>
      </c>
      <c r="F57" s="9">
        <v>10</v>
      </c>
      <c r="G57" s="10">
        <f>+VLOOKUP(Tabla110345345445545647910813314016918080878892[[#This Row],[Ingrediente]],Tabla34[#All],3,0)</f>
        <v>23.747277729999997</v>
      </c>
      <c r="H57" s="11">
        <f>+Tabla110345345445545647910813314016918080878892[[#This Row],[Costo]]*Tabla110345345445545647910813314016918080878892[[#This Row],[Columna1]]</f>
        <v>237.47277729999996</v>
      </c>
      <c r="I57" s="4"/>
      <c r="J57" s="4"/>
      <c r="K57" s="23"/>
    </row>
    <row r="58" spans="2:11" x14ac:dyDescent="0.3">
      <c r="B58" s="7" t="s">
        <v>92</v>
      </c>
      <c r="C58" s="8" t="s">
        <v>188</v>
      </c>
      <c r="D58" s="9">
        <v>5</v>
      </c>
      <c r="E58" s="9">
        <v>0</v>
      </c>
      <c r="F58" s="9">
        <v>5</v>
      </c>
      <c r="G58" s="10">
        <f>+VLOOKUP(Tabla110345345445545647910813314016918080878892[[#This Row],[Ingrediente]],Tabla34[#All],3,0)</f>
        <v>10.625185460000001</v>
      </c>
      <c r="H58" s="11">
        <f>+Tabla110345345445545647910813314016918080878892[[#This Row],[Costo]]*Tabla110345345445545647910813314016918080878892[[#This Row],[Columna1]]</f>
        <v>53.125927300000001</v>
      </c>
      <c r="I58" s="4"/>
    </row>
    <row r="59" spans="2:11" x14ac:dyDescent="0.3">
      <c r="B59" s="7" t="s">
        <v>443</v>
      </c>
      <c r="C59" s="8" t="s">
        <v>188</v>
      </c>
      <c r="D59" s="9">
        <v>1</v>
      </c>
      <c r="E59" s="9">
        <v>0</v>
      </c>
      <c r="F59" s="9">
        <v>1</v>
      </c>
      <c r="G59" s="10">
        <f>+VLOOKUP(Tabla110345345445545647910813314016918080878892[[#This Row],[Ingrediente]],Tabla34[#All],3,0)</f>
        <v>94.613741530000013</v>
      </c>
      <c r="H59" s="11">
        <f>+Tabla110345345445545647910813314016918080878892[[#This Row],[Costo]]*Tabla110345345445545647910813314016918080878892[[#This Row],[Columna1]]</f>
        <v>94.613741530000013</v>
      </c>
    </row>
    <row r="60" spans="2:11" x14ac:dyDescent="0.3">
      <c r="B60" s="7" t="s">
        <v>442</v>
      </c>
      <c r="C60" s="8" t="s">
        <v>188</v>
      </c>
      <c r="D60" s="9">
        <v>2</v>
      </c>
      <c r="E60" s="9">
        <v>0</v>
      </c>
      <c r="F60" s="9">
        <v>2</v>
      </c>
      <c r="G60" s="10">
        <f>+VLOOKUP(Tabla110345345445545647910813314016918080878892[[#This Row],[Ingrediente]],Tabla34[#All],3,0)</f>
        <v>20.111000000000001</v>
      </c>
      <c r="H60" s="11">
        <f>+Tabla110345345445545647910813314016918080878892[[#This Row],[Costo]]*Tabla110345345445545647910813314016918080878892[[#This Row],[Columna1]]</f>
        <v>40.222000000000001</v>
      </c>
    </row>
    <row r="61" spans="2:11" x14ac:dyDescent="0.3">
      <c r="B61" s="7" t="s">
        <v>498</v>
      </c>
      <c r="C61" s="8" t="s">
        <v>188</v>
      </c>
      <c r="D61" s="9">
        <v>2</v>
      </c>
      <c r="E61" s="9">
        <v>0</v>
      </c>
      <c r="F61" s="9">
        <v>2</v>
      </c>
      <c r="G61" s="10">
        <f>+VLOOKUP(Tabla110345345445545647910813314016918080878892[[#This Row],[Ingrediente]],Tabla34[#All],3,0)</f>
        <v>13</v>
      </c>
      <c r="H61" s="11">
        <f>+Tabla110345345445545647910813314016918080878892[[#This Row],[Costo]]*Tabla110345345445545647910813314016918080878892[[#This Row],[Columna1]]</f>
        <v>26</v>
      </c>
    </row>
    <row r="62" spans="2:11" x14ac:dyDescent="0.3">
      <c r="B62" s="7" t="s">
        <v>35</v>
      </c>
      <c r="C62" s="8" t="s">
        <v>188</v>
      </c>
      <c r="D62" s="9">
        <v>5</v>
      </c>
      <c r="E62" s="9">
        <v>0</v>
      </c>
      <c r="F62" s="9">
        <v>5</v>
      </c>
      <c r="G62" s="10">
        <f>+VLOOKUP(Tabla110345345445545647910813314016918080878892[[#This Row],[Ingrediente]],Tabla34[#All],3,0)</f>
        <v>4.7460000000000004</v>
      </c>
      <c r="H62" s="11">
        <f>+Tabla110345345445545647910813314016918080878892[[#This Row],[Costo]]*Tabla110345345445545647910813314016918080878892[[#This Row],[Columna1]]</f>
        <v>23.730000000000004</v>
      </c>
    </row>
    <row r="63" spans="2:11" x14ac:dyDescent="0.3">
      <c r="B63" s="7" t="s">
        <v>482</v>
      </c>
      <c r="C63" s="8" t="s">
        <v>188</v>
      </c>
      <c r="D63" s="9">
        <v>2</v>
      </c>
      <c r="E63" s="9">
        <v>0</v>
      </c>
      <c r="F63" s="9">
        <v>2</v>
      </c>
      <c r="G63" s="10">
        <f>+VLOOKUP(Tabla110345345445545647910813314016918080878892[[#This Row],[Ingrediente]],Tabla34[#All],3,0)</f>
        <v>2.6999075600000002</v>
      </c>
      <c r="H63" s="11">
        <f>+Tabla110345345445545647910813314016918080878892[[#This Row],[Costo]]*Tabla110345345445545647910813314016918080878892[[#This Row],[Columna1]]</f>
        <v>5.3998151200000004</v>
      </c>
    </row>
    <row r="64" spans="2:11" x14ac:dyDescent="0.3">
      <c r="B64" s="13"/>
      <c r="C64" s="14"/>
      <c r="D64" s="14"/>
      <c r="E64" s="14"/>
      <c r="F64" s="14"/>
      <c r="G64" s="15"/>
      <c r="H64" s="15">
        <f>SUBTOTAL(109,Tabla110345345445545647910813314016918080878892[Total costo])</f>
        <v>18698.950902930002</v>
      </c>
    </row>
    <row r="66" spans="2:11" x14ac:dyDescent="0.3">
      <c r="J66" s="277" t="s">
        <v>0</v>
      </c>
      <c r="K66" s="277"/>
    </row>
    <row r="67" spans="2:11" x14ac:dyDescent="0.3">
      <c r="I67" s="4"/>
      <c r="J67" s="5" t="s">
        <v>6</v>
      </c>
      <c r="K67" s="6">
        <f>SUM(Tabla11034534544554564791081331401691808087889293[Total costo])</f>
        <v>18807.084110165</v>
      </c>
    </row>
    <row r="68" spans="2:11" x14ac:dyDescent="0.3">
      <c r="B68" s="16" t="s">
        <v>1004</v>
      </c>
      <c r="C68" s="2"/>
      <c r="D68" s="2"/>
      <c r="E68" s="3"/>
      <c r="F68" s="3"/>
      <c r="G68" s="99"/>
      <c r="H68" s="99"/>
      <c r="I68" s="4"/>
      <c r="J68" s="5" t="s">
        <v>113</v>
      </c>
      <c r="K68" s="12">
        <f>+K67*5%</f>
        <v>940.35420550825006</v>
      </c>
    </row>
    <row r="69" spans="2:11" x14ac:dyDescent="0.3">
      <c r="B69" s="13" t="s">
        <v>1</v>
      </c>
      <c r="C69" s="14" t="s">
        <v>2</v>
      </c>
      <c r="D69" s="14" t="s">
        <v>3</v>
      </c>
      <c r="E69" s="14" t="s">
        <v>585</v>
      </c>
      <c r="F69" s="14" t="s">
        <v>343</v>
      </c>
      <c r="G69" s="28" t="s">
        <v>4</v>
      </c>
      <c r="H69" s="28" t="s">
        <v>5</v>
      </c>
      <c r="I69" s="4"/>
      <c r="J69" s="5" t="s">
        <v>9</v>
      </c>
      <c r="K69" s="12">
        <f>+K67+K68</f>
        <v>19747.438315673251</v>
      </c>
    </row>
    <row r="70" spans="2:11" x14ac:dyDescent="0.3">
      <c r="B70" s="21" t="s">
        <v>1106</v>
      </c>
      <c r="C70" s="8" t="s">
        <v>570</v>
      </c>
      <c r="D70" s="9">
        <v>0.5</v>
      </c>
      <c r="E70" s="9">
        <v>0</v>
      </c>
      <c r="F70" s="9">
        <v>0.5</v>
      </c>
      <c r="G70" s="10">
        <f>+VLOOKUP(Tabla11034534544554564791081331401691808087889293[[#This Row],[Ingrediente]],Tabla34[#All],3,0)</f>
        <v>726.66666666999993</v>
      </c>
      <c r="H70" s="11">
        <f>+Tabla11034534544554564791081331401691808087889293[[#This Row],[Costo]]*Tabla11034534544554564791081331401691808087889293[[#This Row],[Columna1]]</f>
        <v>363.33333333499996</v>
      </c>
      <c r="I70" s="4"/>
      <c r="J70" s="17" t="s">
        <v>10</v>
      </c>
      <c r="K70" s="18">
        <v>83000</v>
      </c>
    </row>
    <row r="71" spans="2:11" x14ac:dyDescent="0.3">
      <c r="B71" s="21" t="s">
        <v>689</v>
      </c>
      <c r="C71" s="8" t="s">
        <v>188</v>
      </c>
      <c r="D71" s="9">
        <v>1</v>
      </c>
      <c r="E71" s="9">
        <v>0</v>
      </c>
      <c r="F71" s="9">
        <v>1</v>
      </c>
      <c r="G71" s="10">
        <f>+VLOOKUP(Tabla11034534544554564791081331401691808087889293[[#This Row],[Ingrediente]],Tabla34[#All],3,0)</f>
        <v>40.97</v>
      </c>
      <c r="H71" s="11">
        <f>+Tabla11034534544554564791081331401691808087889293[[#This Row],[Costo]]*Tabla11034534544554564791081331401691808087889293[[#This Row],[Columna1]]</f>
        <v>40.97</v>
      </c>
      <c r="I71" s="4"/>
      <c r="J71" s="5" t="s">
        <v>11</v>
      </c>
      <c r="K71" s="12">
        <f>+K70/1.08*0.08</f>
        <v>6148.1481481481487</v>
      </c>
    </row>
    <row r="72" spans="2:11" x14ac:dyDescent="0.3">
      <c r="B72" s="7" t="s">
        <v>446</v>
      </c>
      <c r="C72" s="8" t="s">
        <v>188</v>
      </c>
      <c r="D72" s="9">
        <v>2</v>
      </c>
      <c r="E72" s="9">
        <v>40</v>
      </c>
      <c r="F72" s="9">
        <v>3.3330000000000002</v>
      </c>
      <c r="G72" s="10">
        <f>+VLOOKUP(Tabla11034534544554564791081331401691808087889293[[#This Row],[Ingrediente]],Tabla34[#All],3,0)</f>
        <v>5.5</v>
      </c>
      <c r="H72" s="11">
        <f>+Tabla11034534544554564791081331401691808087889293[[#This Row],[Costo]]*Tabla11034534544554564791081331401691808087889293[[#This Row],[Columna1]]</f>
        <v>18.331500000000002</v>
      </c>
      <c r="I72" s="4"/>
      <c r="J72" s="5" t="s">
        <v>12</v>
      </c>
      <c r="K72" s="12">
        <f>+K70-K71</f>
        <v>76851.851851851854</v>
      </c>
    </row>
    <row r="73" spans="2:11" x14ac:dyDescent="0.3">
      <c r="B73" s="7" t="s">
        <v>480</v>
      </c>
      <c r="C73" s="8" t="s">
        <v>188</v>
      </c>
      <c r="D73" s="9">
        <v>2</v>
      </c>
      <c r="E73" s="9">
        <v>0</v>
      </c>
      <c r="F73" s="9">
        <v>2</v>
      </c>
      <c r="G73" s="10">
        <f>+VLOOKUP(Tabla11034534544554564791081331401691808087889293[[#This Row],[Ingrediente]],Tabla34[#All],3,0)</f>
        <v>328.34</v>
      </c>
      <c r="H73" s="11">
        <f>+Tabla11034534544554564791081331401691808087889293[[#This Row],[Costo]]*Tabla11034534544554564791081331401691808087889293[[#This Row],[Columna1]]</f>
        <v>656.68</v>
      </c>
      <c r="I73" s="4"/>
      <c r="J73" s="5" t="s">
        <v>13</v>
      </c>
      <c r="K73" s="19">
        <f>+K69/K72</f>
        <v>0.25695461904731459</v>
      </c>
    </row>
    <row r="74" spans="2:11" x14ac:dyDescent="0.3">
      <c r="B74" s="7" t="s">
        <v>470</v>
      </c>
      <c r="C74" s="8" t="s">
        <v>188</v>
      </c>
      <c r="D74" s="9">
        <v>2</v>
      </c>
      <c r="E74" s="9">
        <v>10</v>
      </c>
      <c r="F74" s="9">
        <v>2.222</v>
      </c>
      <c r="G74" s="10">
        <f>+VLOOKUP(Tabla11034534544554564791081331401691808087889293[[#This Row],[Ingrediente]],Tabla34[#All],3,0)</f>
        <v>8</v>
      </c>
      <c r="H74" s="11">
        <f>+Tabla11034534544554564791081331401691808087889293[[#This Row],[Costo]]*Tabla11034534544554564791081331401691808087889293[[#This Row],[Columna1]]</f>
        <v>17.776</v>
      </c>
      <c r="I74" s="4"/>
      <c r="J74" s="5" t="s">
        <v>14</v>
      </c>
      <c r="K74" s="20">
        <f>+K72-K69</f>
        <v>57104.413536178603</v>
      </c>
    </row>
    <row r="75" spans="2:11" x14ac:dyDescent="0.3">
      <c r="B75" s="7" t="s">
        <v>373</v>
      </c>
      <c r="C75" s="8" t="s">
        <v>570</v>
      </c>
      <c r="D75" s="9">
        <v>3</v>
      </c>
      <c r="E75" s="9">
        <v>0</v>
      </c>
      <c r="F75" s="9">
        <v>3</v>
      </c>
      <c r="G75" s="10">
        <f>+VLOOKUP(Tabla11034534544554564791081331401691808087889293[[#This Row],[Ingrediente]],Tabla34[#All],3,0)</f>
        <v>485.71428571000001</v>
      </c>
      <c r="H75" s="11">
        <f>+Tabla11034534544554564791081331401691808087889293[[#This Row],[Costo]]*Tabla11034534544554564791081331401691808087889293[[#This Row],[Columna1]]</f>
        <v>1457.14285713</v>
      </c>
      <c r="I75" s="4"/>
      <c r="J75" s="5" t="s">
        <v>15</v>
      </c>
      <c r="K75" s="22">
        <f>+K74/K69</f>
        <v>2.8917377850906196</v>
      </c>
    </row>
    <row r="76" spans="2:11" x14ac:dyDescent="0.3">
      <c r="B76" s="21" t="s">
        <v>35</v>
      </c>
      <c r="C76" s="8" t="s">
        <v>188</v>
      </c>
      <c r="D76" s="9">
        <v>10</v>
      </c>
      <c r="E76" s="9">
        <v>0</v>
      </c>
      <c r="F76" s="9">
        <v>10</v>
      </c>
      <c r="G76" s="10">
        <f>+VLOOKUP(Tabla11034534544554564791081331401691808087889293[[#This Row],[Ingrediente]],Tabla34[#All],3,0)</f>
        <v>4.7460000000000004</v>
      </c>
      <c r="H76" s="11">
        <f>+Tabla11034534544554564791081331401691808087889293[[#This Row],[Costo]]*Tabla11034534544554564791081331401691808087889293[[#This Row],[Columna1]]</f>
        <v>47.460000000000008</v>
      </c>
      <c r="I76" s="4"/>
      <c r="J76" s="4"/>
      <c r="K76" s="23"/>
    </row>
    <row r="77" spans="2:11" x14ac:dyDescent="0.3">
      <c r="B77" s="7" t="s">
        <v>476</v>
      </c>
      <c r="C77" s="8" t="s">
        <v>188</v>
      </c>
      <c r="D77" s="9">
        <v>20</v>
      </c>
      <c r="E77" s="9">
        <v>10</v>
      </c>
      <c r="F77" s="9">
        <v>22.222000000000001</v>
      </c>
      <c r="G77" s="10">
        <f>+VLOOKUP(Tabla11034534544554564791081331401691808087889293[[#This Row],[Ingrediente]],Tabla34[#All],3,0)</f>
        <v>2.5</v>
      </c>
      <c r="H77" s="11">
        <f>+Tabla11034534544554564791081331401691808087889293[[#This Row],[Costo]]*Tabla11034534544554564791081331401691808087889293[[#This Row],[Columna1]]</f>
        <v>55.555000000000007</v>
      </c>
      <c r="I77" s="4"/>
      <c r="J77" s="4"/>
      <c r="K77" s="23"/>
    </row>
    <row r="78" spans="2:11" x14ac:dyDescent="0.3">
      <c r="B78" s="7" t="s">
        <v>662</v>
      </c>
      <c r="C78" s="8" t="s">
        <v>188</v>
      </c>
      <c r="D78" s="9">
        <v>20</v>
      </c>
      <c r="E78" s="9">
        <v>0</v>
      </c>
      <c r="F78" s="9">
        <v>20</v>
      </c>
      <c r="G78" s="10">
        <f>+VLOOKUP(Tabla11034534544554564791081331401691808087889293[[#This Row],[Ingrediente]],Tabla34[#All],3,0)</f>
        <v>11.90893019</v>
      </c>
      <c r="H78" s="11">
        <f>+Tabla11034534544554564791081331401691808087889293[[#This Row],[Costo]]*Tabla11034534544554564791081331401691808087889293[[#This Row],[Columna1]]</f>
        <v>238.17860379999999</v>
      </c>
      <c r="I78" s="4"/>
      <c r="J78" s="4"/>
      <c r="K78" s="23"/>
    </row>
    <row r="79" spans="2:11" x14ac:dyDescent="0.3">
      <c r="B79" s="7" t="s">
        <v>84</v>
      </c>
      <c r="C79" s="8" t="s">
        <v>188</v>
      </c>
      <c r="D79" s="9">
        <v>20</v>
      </c>
      <c r="E79" s="9">
        <v>0</v>
      </c>
      <c r="F79" s="9">
        <v>20</v>
      </c>
      <c r="G79" s="10">
        <f>+VLOOKUP(Tabla11034534544554564791081331401691808087889293[[#This Row],[Ingrediente]],Tabla34[#All],3,0)</f>
        <v>15</v>
      </c>
      <c r="H79" s="11">
        <f>+Tabla11034534544554564791081331401691808087889293[[#This Row],[Costo]]*Tabla11034534544554564791081331401691808087889293[[#This Row],[Columna1]]</f>
        <v>300</v>
      </c>
      <c r="I79" s="4"/>
    </row>
    <row r="80" spans="2:11" x14ac:dyDescent="0.3">
      <c r="B80" s="7" t="s">
        <v>555</v>
      </c>
      <c r="C80" s="8" t="s">
        <v>188</v>
      </c>
      <c r="D80" s="9">
        <v>25</v>
      </c>
      <c r="E80" s="9">
        <v>0</v>
      </c>
      <c r="F80" s="9">
        <v>25</v>
      </c>
      <c r="G80" s="10">
        <f>+VLOOKUP(Tabla11034534544554564791081331401691808087889293[[#This Row],[Ingrediente]],Tabla34[#All],3,0)</f>
        <v>12.444477940000001</v>
      </c>
      <c r="H80" s="11">
        <f>+Tabla11034534544554564791081331401691808087889293[[#This Row],[Costo]]*Tabla11034534544554564791081331401691808087889293[[#This Row],[Columna1]]</f>
        <v>311.11194850000004</v>
      </c>
    </row>
    <row r="81" spans="2:12" x14ac:dyDescent="0.3">
      <c r="B81" s="21" t="s">
        <v>449</v>
      </c>
      <c r="C81" s="8" t="s">
        <v>188</v>
      </c>
      <c r="D81" s="9">
        <v>25</v>
      </c>
      <c r="E81" s="9">
        <v>0</v>
      </c>
      <c r="F81" s="9">
        <v>25</v>
      </c>
      <c r="G81" s="10">
        <f>+VLOOKUP(Tabla11034534544554564791081331401691808087889293[[#This Row],[Ingrediente]],Tabla34[#All],3,0)</f>
        <v>23.317903900000001</v>
      </c>
      <c r="H81" s="11">
        <f>+Tabla11034534544554564791081331401691808087889293[[#This Row],[Costo]]*Tabla11034534544554564791081331401691808087889293[[#This Row],[Columna1]]</f>
        <v>582.94759750000003</v>
      </c>
    </row>
    <row r="82" spans="2:12" x14ac:dyDescent="0.3">
      <c r="B82" s="7" t="s">
        <v>556</v>
      </c>
      <c r="C82" s="8" t="s">
        <v>188</v>
      </c>
      <c r="D82" s="9">
        <v>30</v>
      </c>
      <c r="E82" s="9">
        <v>0</v>
      </c>
      <c r="F82" s="9">
        <v>30</v>
      </c>
      <c r="G82" s="10">
        <f>+VLOOKUP(Tabla11034534544554564791081331401691808087889293[[#This Row],[Ingrediente]],Tabla34[#All],3,0)</f>
        <v>76.437956069999998</v>
      </c>
      <c r="H82" s="11">
        <f>+Tabla11034534544554564791081331401691808087889293[[#This Row],[Costo]]*Tabla11034534544554564791081331401691808087889293[[#This Row],[Columna1]]</f>
        <v>2293.1386821000001</v>
      </c>
    </row>
    <row r="83" spans="2:12" x14ac:dyDescent="0.3">
      <c r="B83" s="21" t="s">
        <v>512</v>
      </c>
      <c r="C83" s="8" t="s">
        <v>188</v>
      </c>
      <c r="D83" s="9">
        <v>40</v>
      </c>
      <c r="E83" s="9">
        <v>0</v>
      </c>
      <c r="F83" s="9">
        <v>40</v>
      </c>
      <c r="G83" s="10">
        <f>+VLOOKUP(Tabla11034534544554564791081331401691808087889293[[#This Row],[Ingrediente]],Tabla34[#All],3,0)</f>
        <v>9.7905400900000004</v>
      </c>
      <c r="H83" s="11">
        <f>+Tabla11034534544554564791081331401691808087889293[[#This Row],[Costo]]*Tabla11034534544554564791081331401691808087889293[[#This Row],[Columna1]]</f>
        <v>391.62160360000001</v>
      </c>
    </row>
    <row r="84" spans="2:12" x14ac:dyDescent="0.3">
      <c r="B84" s="7" t="s">
        <v>406</v>
      </c>
      <c r="C84" s="8" t="s">
        <v>188</v>
      </c>
      <c r="D84" s="9">
        <v>50</v>
      </c>
      <c r="E84" s="9">
        <v>25</v>
      </c>
      <c r="F84" s="9">
        <v>66.667000000000002</v>
      </c>
      <c r="G84" s="10">
        <f>+VLOOKUP(Tabla11034534544554564791081331401691808087889293[[#This Row],[Ingrediente]],Tabla34[#All],3,0)</f>
        <v>14</v>
      </c>
      <c r="H84" s="11">
        <f>+Tabla11034534544554564791081331401691808087889293[[#This Row],[Costo]]*Tabla11034534544554564791081331401691808087889293[[#This Row],[Columna1]]</f>
        <v>933.33799999999997</v>
      </c>
    </row>
    <row r="85" spans="2:12" x14ac:dyDescent="0.3">
      <c r="B85" s="7" t="s">
        <v>398</v>
      </c>
      <c r="C85" s="8" t="s">
        <v>188</v>
      </c>
      <c r="D85" s="9">
        <v>75</v>
      </c>
      <c r="E85" s="9">
        <v>10</v>
      </c>
      <c r="F85" s="9">
        <v>83.332999999999998</v>
      </c>
      <c r="G85" s="10">
        <f>+VLOOKUP(Tabla11034534544554564791081331401691808087889293[[#This Row],[Ingrediente]],Tabla34[#All],3,0)</f>
        <v>3.7999999999999994</v>
      </c>
      <c r="H85" s="11">
        <f>+Tabla11034534544554564791081331401691808087889293[[#This Row],[Costo]]*Tabla11034534544554564791081331401691808087889293[[#This Row],[Columna1]]</f>
        <v>316.66539999999992</v>
      </c>
    </row>
    <row r="86" spans="2:12" x14ac:dyDescent="0.3">
      <c r="B86" s="7" t="s">
        <v>226</v>
      </c>
      <c r="C86" s="8" t="s">
        <v>188</v>
      </c>
      <c r="D86" s="9">
        <v>90</v>
      </c>
      <c r="E86" s="9">
        <v>0</v>
      </c>
      <c r="F86" s="9">
        <v>90</v>
      </c>
      <c r="G86" s="10">
        <f>+VLOOKUP(Tabla11034534544554564791081331401691808087889293[[#This Row],[Ingrediente]],Tabla34[#All],3,0)</f>
        <v>10.179495380000001</v>
      </c>
      <c r="H86" s="11">
        <f>+Tabla11034534544554564791081331401691808087889293[[#This Row],[Costo]]*Tabla11034534544554564791081331401691808087889293[[#This Row],[Columna1]]</f>
        <v>916.15458420000004</v>
      </c>
    </row>
    <row r="87" spans="2:12" x14ac:dyDescent="0.3">
      <c r="B87" s="7" t="s">
        <v>368</v>
      </c>
      <c r="C87" s="8" t="s">
        <v>188</v>
      </c>
      <c r="D87" s="9">
        <v>240</v>
      </c>
      <c r="E87" s="9">
        <v>10</v>
      </c>
      <c r="F87" s="9">
        <v>266.66699999999997</v>
      </c>
      <c r="G87" s="10">
        <f>+VLOOKUP(Tabla11034534544554564791081331401691808087889293[[#This Row],[Ingrediente]],Tabla34[#All],3,0)</f>
        <v>37</v>
      </c>
      <c r="H87" s="11">
        <f>+Tabla11034534544554564791081331401691808087889293[[#This Row],[Costo]]*Tabla11034534544554564791081331401691808087889293[[#This Row],[Columna1]]</f>
        <v>9866.6789999999983</v>
      </c>
    </row>
    <row r="88" spans="2:12" x14ac:dyDescent="0.3">
      <c r="B88" s="13"/>
      <c r="C88" s="14"/>
      <c r="D88" s="14"/>
      <c r="E88" s="14"/>
      <c r="F88" s="14"/>
      <c r="G88" s="15"/>
      <c r="H88" s="15">
        <f>SUBTOTAL(109,Tabla11034534544554564791081331401691808087889293[Total costo])</f>
        <v>18807.084110165</v>
      </c>
    </row>
    <row r="90" spans="2:12" x14ac:dyDescent="0.3">
      <c r="J90" s="277" t="s">
        <v>0</v>
      </c>
      <c r="K90" s="277"/>
      <c r="L90" s="44"/>
    </row>
    <row r="91" spans="2:12" x14ac:dyDescent="0.3">
      <c r="I91" s="4"/>
      <c r="J91" s="5" t="s">
        <v>6</v>
      </c>
      <c r="K91" s="6">
        <f>SUM(Tabla1103453454455456479108133140169180808788929396[Total costo])</f>
        <v>18053.122125183334</v>
      </c>
    </row>
    <row r="92" spans="2:12" x14ac:dyDescent="0.3">
      <c r="B92" s="16" t="s">
        <v>539</v>
      </c>
      <c r="C92" s="2"/>
      <c r="D92" s="2"/>
      <c r="E92" s="3"/>
      <c r="F92" s="3"/>
      <c r="G92" s="99"/>
      <c r="H92" s="99"/>
      <c r="I92" s="4"/>
      <c r="J92" s="5" t="s">
        <v>113</v>
      </c>
      <c r="K92" s="12">
        <f>+K91*5%</f>
        <v>902.65610625916679</v>
      </c>
    </row>
    <row r="93" spans="2:12" x14ac:dyDescent="0.3">
      <c r="B93" s="13" t="s">
        <v>1</v>
      </c>
      <c r="C93" s="14" t="s">
        <v>2</v>
      </c>
      <c r="D93" s="14" t="s">
        <v>3</v>
      </c>
      <c r="E93" s="14" t="s">
        <v>585</v>
      </c>
      <c r="F93" s="14" t="s">
        <v>343</v>
      </c>
      <c r="G93" s="28" t="s">
        <v>4</v>
      </c>
      <c r="H93" s="28" t="s">
        <v>5</v>
      </c>
      <c r="I93" s="4"/>
      <c r="J93" s="5" t="s">
        <v>9</v>
      </c>
      <c r="K93" s="12">
        <f>+K91+K92</f>
        <v>18955.778231442502</v>
      </c>
    </row>
    <row r="94" spans="2:12" x14ac:dyDescent="0.3">
      <c r="B94" s="21" t="s">
        <v>446</v>
      </c>
      <c r="C94" s="8" t="s">
        <v>188</v>
      </c>
      <c r="D94" s="9">
        <v>1</v>
      </c>
      <c r="E94" s="9">
        <v>40</v>
      </c>
      <c r="F94" s="9">
        <v>1.667</v>
      </c>
      <c r="G94" s="10">
        <f>+VLOOKUP(Tabla1103453454455456479108133140169180808788929396[[#This Row],[Ingrediente]],Tabla34[#All],3,0)</f>
        <v>5.5</v>
      </c>
      <c r="H94" s="11">
        <f>+Tabla1103453454455456479108133140169180808788929396[[#This Row],[Costo]]*Tabla1103453454455456479108133140169180808788929396[[#This Row],[Columna1]]</f>
        <v>9.1684999999999999</v>
      </c>
      <c r="I94" s="4"/>
      <c r="J94" s="17" t="s">
        <v>10</v>
      </c>
      <c r="K94" s="18">
        <v>119000</v>
      </c>
    </row>
    <row r="95" spans="2:12" x14ac:dyDescent="0.3">
      <c r="B95" s="21" t="s">
        <v>103</v>
      </c>
      <c r="C95" s="8" t="s">
        <v>570</v>
      </c>
      <c r="D95" s="9">
        <v>1</v>
      </c>
      <c r="E95" s="9">
        <v>0</v>
      </c>
      <c r="F95" s="9">
        <v>1</v>
      </c>
      <c r="G95" s="10">
        <f>+VLOOKUP(Tabla1103453454455456479108133140169180808788929396[[#This Row],[Ingrediente]],Tabla34[#All],3,0)</f>
        <v>4920.8029999999999</v>
      </c>
      <c r="H95" s="11">
        <f>+Tabla1103453454455456479108133140169180808788929396[[#This Row],[Costo]]*Tabla1103453454455456479108133140169180808788929396[[#This Row],[Columna1]]</f>
        <v>4920.8029999999999</v>
      </c>
      <c r="I95" s="4"/>
      <c r="J95" s="5" t="s">
        <v>11</v>
      </c>
      <c r="K95" s="12">
        <f>+K94/1.08*0.08</f>
        <v>8814.8148148148157</v>
      </c>
    </row>
    <row r="96" spans="2:12" x14ac:dyDescent="0.3">
      <c r="B96" s="7" t="s">
        <v>1005</v>
      </c>
      <c r="C96" s="8" t="s">
        <v>570</v>
      </c>
      <c r="D96" s="9">
        <v>1</v>
      </c>
      <c r="E96" s="9">
        <v>0</v>
      </c>
      <c r="F96" s="9">
        <v>1</v>
      </c>
      <c r="G96" s="10">
        <f>+VLOOKUP(Tabla1103453454455456479108133140169180808788929396[[#This Row],[Ingrediente]],Tabla34[#All],3,0)</f>
        <v>4680</v>
      </c>
      <c r="H96" s="11">
        <f>+Tabla1103453454455456479108133140169180808788929396[[#This Row],[Costo]]*Tabla1103453454455456479108133140169180808788929396[[#This Row],[Columna1]]</f>
        <v>4680</v>
      </c>
      <c r="I96" s="4"/>
      <c r="J96" s="5" t="s">
        <v>12</v>
      </c>
      <c r="K96" s="12">
        <f>+K94-K95</f>
        <v>110185.18518518518</v>
      </c>
    </row>
    <row r="97" spans="2:11" x14ac:dyDescent="0.3">
      <c r="B97" s="7" t="s">
        <v>1182</v>
      </c>
      <c r="C97" s="8" t="s">
        <v>570</v>
      </c>
      <c r="D97" s="9">
        <v>2</v>
      </c>
      <c r="E97" s="9">
        <v>0</v>
      </c>
      <c r="F97" s="9">
        <v>2</v>
      </c>
      <c r="G97" s="10">
        <f>+VLOOKUP(Tabla1103453454455456479108133140169180808788929396[[#This Row],[Ingrediente]],Tabla34[#All],3,0)</f>
        <v>2003.7166315000002</v>
      </c>
      <c r="H97" s="11">
        <f>+Tabla1103453454455456479108133140169180808788929396[[#This Row],[Costo]]*Tabla1103453454455456479108133140169180808788929396[[#This Row],[Columna1]]</f>
        <v>4007.4332630000004</v>
      </c>
      <c r="I97" s="4"/>
      <c r="J97" s="5" t="s">
        <v>13</v>
      </c>
      <c r="K97" s="19">
        <f>+K93/K96</f>
        <v>0.17203563436939415</v>
      </c>
    </row>
    <row r="98" spans="2:11" x14ac:dyDescent="0.3">
      <c r="B98" s="7" t="s">
        <v>35</v>
      </c>
      <c r="C98" s="8" t="s">
        <v>188</v>
      </c>
      <c r="D98" s="9">
        <v>2</v>
      </c>
      <c r="E98" s="9">
        <v>0</v>
      </c>
      <c r="F98" s="9">
        <v>2</v>
      </c>
      <c r="G98" s="10">
        <f>+VLOOKUP(Tabla1103453454455456479108133140169180808788929396[[#This Row],[Ingrediente]],Tabla34[#All],3,0)</f>
        <v>4.7460000000000004</v>
      </c>
      <c r="H98" s="11">
        <f>+Tabla1103453454455456479108133140169180808788929396[[#This Row],[Costo]]*Tabla1103453454455456479108133140169180808788929396[[#This Row],[Columna1]]</f>
        <v>9.4920000000000009</v>
      </c>
      <c r="I98" s="4"/>
      <c r="J98" s="5" t="s">
        <v>14</v>
      </c>
      <c r="K98" s="20">
        <f>+K96-K93</f>
        <v>91229.406953742684</v>
      </c>
    </row>
    <row r="99" spans="2:11" x14ac:dyDescent="0.3">
      <c r="B99" s="7" t="s">
        <v>470</v>
      </c>
      <c r="C99" s="8" t="s">
        <v>188</v>
      </c>
      <c r="D99" s="9">
        <v>5</v>
      </c>
      <c r="E99" s="9">
        <v>10</v>
      </c>
      <c r="F99" s="9">
        <v>5.556</v>
      </c>
      <c r="G99" s="10">
        <f>+VLOOKUP(Tabla1103453454455456479108133140169180808788929396[[#This Row],[Ingrediente]],Tabla34[#All],3,0)</f>
        <v>8</v>
      </c>
      <c r="H99" s="11">
        <f>+Tabla1103453454455456479108133140169180808788929396[[#This Row],[Costo]]*Tabla1103453454455456479108133140169180808788929396[[#This Row],[Columna1]]</f>
        <v>44.448</v>
      </c>
      <c r="I99" s="4"/>
      <c r="J99" s="5" t="s">
        <v>15</v>
      </c>
      <c r="K99" s="22">
        <f>+K98/K93</f>
        <v>4.8127492229476392</v>
      </c>
    </row>
    <row r="100" spans="2:11" x14ac:dyDescent="0.3">
      <c r="B100" s="21" t="s">
        <v>526</v>
      </c>
      <c r="C100" s="8" t="s">
        <v>188</v>
      </c>
      <c r="D100" s="9">
        <v>5</v>
      </c>
      <c r="E100" s="9">
        <v>0</v>
      </c>
      <c r="F100" s="9">
        <v>5</v>
      </c>
      <c r="G100" s="10">
        <f>+VLOOKUP(Tabla1103453454455456479108133140169180808788929396[[#This Row],[Ingrediente]],Tabla34[#All],3,0)</f>
        <v>23.747277729999997</v>
      </c>
      <c r="H100" s="11">
        <f>+Tabla1103453454455456479108133140169180808788929396[[#This Row],[Costo]]*Tabla1103453454455456479108133140169180808788929396[[#This Row],[Columna1]]</f>
        <v>118.73638864999998</v>
      </c>
      <c r="I100" s="4"/>
      <c r="J100" s="4"/>
      <c r="K100" s="23"/>
    </row>
    <row r="101" spans="2:11" x14ac:dyDescent="0.3">
      <c r="B101" s="7" t="s">
        <v>226</v>
      </c>
      <c r="C101" s="8" t="s">
        <v>188</v>
      </c>
      <c r="D101" s="9">
        <v>10</v>
      </c>
      <c r="E101" s="9">
        <v>0</v>
      </c>
      <c r="F101" s="9">
        <v>10</v>
      </c>
      <c r="G101" s="10">
        <f>+VLOOKUP(Tabla1103453454455456479108133140169180808788929396[[#This Row],[Ingrediente]],Tabla34[#All],3,0)</f>
        <v>10.179495380000001</v>
      </c>
      <c r="H101" s="11">
        <f>+Tabla1103453454455456479108133140169180808788929396[[#This Row],[Costo]]*Tabla1103453454455456479108133140169180808788929396[[#This Row],[Columna1]]</f>
        <v>101.7949538</v>
      </c>
      <c r="I101" s="4"/>
      <c r="J101" s="4"/>
      <c r="K101" s="23"/>
    </row>
    <row r="102" spans="2:11" x14ac:dyDescent="0.3">
      <c r="B102" s="7" t="s">
        <v>565</v>
      </c>
      <c r="C102" s="8" t="s">
        <v>188</v>
      </c>
      <c r="D102" s="9">
        <v>10</v>
      </c>
      <c r="E102" s="9">
        <v>0</v>
      </c>
      <c r="F102" s="9">
        <v>10</v>
      </c>
      <c r="G102" s="10">
        <f>+VLOOKUP(Tabla1103453454455456479108133140169180808788929396[[#This Row],[Ingrediente]],Tabla34[#All],3,0)</f>
        <v>64.196281729999995</v>
      </c>
      <c r="H102" s="11">
        <f>+Tabla1103453454455456479108133140169180808788929396[[#This Row],[Costo]]*Tabla1103453454455456479108133140169180808788929396[[#This Row],[Columna1]]</f>
        <v>641.96281729999998</v>
      </c>
      <c r="I102" s="4"/>
      <c r="J102" s="4"/>
      <c r="K102" s="23"/>
    </row>
    <row r="103" spans="2:11" x14ac:dyDescent="0.3">
      <c r="B103" s="7" t="s">
        <v>402</v>
      </c>
      <c r="C103" s="8" t="s">
        <v>188</v>
      </c>
      <c r="D103" s="9">
        <v>15</v>
      </c>
      <c r="E103" s="9">
        <v>0</v>
      </c>
      <c r="F103" s="9">
        <v>15</v>
      </c>
      <c r="G103" s="10">
        <f>+VLOOKUP(Tabla1103453454455456479108133140169180808788929396[[#This Row],[Ingrediente]],Tabla34[#All],3,0)</f>
        <v>13.050000000000002</v>
      </c>
      <c r="H103" s="11">
        <f>+Tabla1103453454455456479108133140169180808788929396[[#This Row],[Costo]]*Tabla1103453454455456479108133140169180808788929396[[#This Row],[Columna1]]</f>
        <v>195.75000000000003</v>
      </c>
      <c r="I103" s="4"/>
    </row>
    <row r="104" spans="2:11" x14ac:dyDescent="0.3">
      <c r="B104" s="7" t="s">
        <v>398</v>
      </c>
      <c r="C104" s="8" t="s">
        <v>188</v>
      </c>
      <c r="D104" s="9">
        <v>20</v>
      </c>
      <c r="E104" s="9">
        <v>10</v>
      </c>
      <c r="F104" s="9">
        <v>22.222000000000001</v>
      </c>
      <c r="G104" s="10">
        <f>+VLOOKUP(Tabla1103453454455456479108133140169180808788929396[[#This Row],[Ingrediente]],Tabla34[#All],3,0)</f>
        <v>3.7999999999999994</v>
      </c>
      <c r="H104" s="11">
        <f>+Tabla1103453454455456479108133140169180808788929396[[#This Row],[Costo]]*Tabla1103453454455456479108133140169180808788929396[[#This Row],[Columna1]]</f>
        <v>84.443599999999989</v>
      </c>
    </row>
    <row r="105" spans="2:11" x14ac:dyDescent="0.3">
      <c r="B105" s="21" t="s">
        <v>560</v>
      </c>
      <c r="C105" s="8" t="s">
        <v>188</v>
      </c>
      <c r="D105" s="9">
        <v>30</v>
      </c>
      <c r="E105" s="9">
        <v>0</v>
      </c>
      <c r="F105" s="9">
        <v>30</v>
      </c>
      <c r="G105" s="10">
        <f>+VLOOKUP(Tabla1103453454455456479108133140169180808788929396[[#This Row],[Ingrediente]],Tabla34[#All],3,0)</f>
        <v>24.804270519999999</v>
      </c>
      <c r="H105" s="11">
        <f>+Tabla1103453454455456479108133140169180808788929396[[#This Row],[Costo]]*Tabla1103453454455456479108133140169180808788929396[[#This Row],[Columna1]]</f>
        <v>744.1281156</v>
      </c>
    </row>
    <row r="106" spans="2:11" x14ac:dyDescent="0.3">
      <c r="B106" s="7" t="s">
        <v>1006</v>
      </c>
      <c r="C106" s="8" t="s">
        <v>188</v>
      </c>
      <c r="D106" s="9">
        <v>40</v>
      </c>
      <c r="E106" s="9">
        <v>0</v>
      </c>
      <c r="F106" s="9">
        <v>40</v>
      </c>
      <c r="G106" s="10">
        <f>+VLOOKUP(Tabla1103453454455456479108133140169180808788929396[[#This Row],[Ingrediente]],Tabla34[#All],3,0)</f>
        <v>1</v>
      </c>
      <c r="H106" s="11">
        <f>+Tabla1103453454455456479108133140169180808788929396[[#This Row],[Costo]]*Tabla1103453454455456479108133140169180808788929396[[#This Row],[Columna1]]</f>
        <v>40</v>
      </c>
    </row>
    <row r="107" spans="2:11" x14ac:dyDescent="0.3">
      <c r="B107" s="21" t="s">
        <v>74</v>
      </c>
      <c r="C107" s="8" t="s">
        <v>188</v>
      </c>
      <c r="D107" s="9">
        <v>50</v>
      </c>
      <c r="E107" s="9">
        <v>0</v>
      </c>
      <c r="F107" s="9">
        <v>50</v>
      </c>
      <c r="G107" s="10">
        <f>+VLOOKUP(Tabla1103453454455456479108133140169180808788929396[[#This Row],[Ingrediente]],Tabla34[#All],3,0)</f>
        <v>12.25316591</v>
      </c>
      <c r="H107" s="11">
        <f>+Tabla1103453454455456479108133140169180808788929396[[#This Row],[Costo]]*Tabla1103453454455456479108133140169180808788929396[[#This Row],[Columna1]]</f>
        <v>612.65829550000001</v>
      </c>
    </row>
    <row r="108" spans="2:11" x14ac:dyDescent="0.3">
      <c r="B108" s="7" t="s">
        <v>80</v>
      </c>
      <c r="C108" s="8" t="s">
        <v>188</v>
      </c>
      <c r="D108" s="9">
        <v>60</v>
      </c>
      <c r="E108" s="9">
        <v>0</v>
      </c>
      <c r="F108" s="9">
        <v>60</v>
      </c>
      <c r="G108" s="10">
        <f>+VLOOKUP(Tabla1103453454455456479108133140169180808788929396[[#This Row],[Ingrediente]],Tabla34[#All],3,0)</f>
        <v>18</v>
      </c>
      <c r="H108" s="11">
        <f>+Tabla1103453454455456479108133140169180808788929396[[#This Row],[Costo]]*Tabla1103453454455456479108133140169180808788929396[[#This Row],[Columna1]]</f>
        <v>1080</v>
      </c>
    </row>
    <row r="109" spans="2:11" x14ac:dyDescent="0.3">
      <c r="B109" s="7" t="s">
        <v>384</v>
      </c>
      <c r="C109" s="8" t="s">
        <v>188</v>
      </c>
      <c r="D109" s="9">
        <v>80</v>
      </c>
      <c r="E109" s="9">
        <v>10</v>
      </c>
      <c r="F109" s="9">
        <v>88.888999999999996</v>
      </c>
      <c r="G109" s="10">
        <f>+VLOOKUP(Tabla1103453454455456479108133140169180808788929396[[#This Row],[Ingrediente]],Tabla34[#All],3,0)</f>
        <v>4.5</v>
      </c>
      <c r="H109" s="11">
        <f>+Tabla1103453454455456479108133140169180808788929396[[#This Row],[Costo]]*Tabla1103453454455456479108133140169180808788929396[[#This Row],[Columna1]]</f>
        <v>400.00049999999999</v>
      </c>
    </row>
    <row r="110" spans="2:11" x14ac:dyDescent="0.3">
      <c r="B110" s="7" t="s">
        <v>1007</v>
      </c>
      <c r="C110" s="8" t="s">
        <v>188</v>
      </c>
      <c r="D110" s="9">
        <v>100</v>
      </c>
      <c r="E110" s="9">
        <v>0</v>
      </c>
      <c r="F110" s="9">
        <v>100</v>
      </c>
      <c r="G110" s="10">
        <f>+VLOOKUP(Tabla1103453454455456479108133140169180808788929396[[#This Row],[Ingrediente]],Tabla34[#All],3,0)</f>
        <v>3.6230269133333333</v>
      </c>
      <c r="H110" s="11">
        <f>+Tabla1103453454455456479108133140169180808788929396[[#This Row],[Costo]]*Tabla1103453454455456479108133140169180808788929396[[#This Row],[Columna1]]</f>
        <v>362.30269133333331</v>
      </c>
    </row>
    <row r="111" spans="2:11" x14ac:dyDescent="0.3">
      <c r="B111" s="13"/>
      <c r="C111" s="14"/>
      <c r="D111" s="14"/>
      <c r="E111" s="14"/>
      <c r="F111" s="14"/>
      <c r="G111" s="15"/>
      <c r="H111" s="15">
        <f>SUBTOTAL(109,Tabla1103453454455456479108133140169180808788929396[Total costo])</f>
        <v>18053.122125183334</v>
      </c>
    </row>
    <row r="114" spans="2:11" x14ac:dyDescent="0.3">
      <c r="J114" s="277" t="s">
        <v>0</v>
      </c>
      <c r="K114" s="277"/>
    </row>
    <row r="115" spans="2:11" x14ac:dyDescent="0.3">
      <c r="I115" s="4"/>
      <c r="J115" s="5" t="s">
        <v>6</v>
      </c>
      <c r="K115" s="6">
        <f>SUM(Tabla1103453454455456479108133140169180808788929396104[Total costo])</f>
        <v>10651.973540030001</v>
      </c>
    </row>
    <row r="116" spans="2:11" x14ac:dyDescent="0.3">
      <c r="B116" s="16" t="s">
        <v>1019</v>
      </c>
      <c r="C116" s="2"/>
      <c r="D116" s="2"/>
      <c r="E116" s="3"/>
      <c r="F116" s="3"/>
      <c r="G116" s="99"/>
      <c r="H116" s="99"/>
      <c r="I116" s="4"/>
      <c r="J116" s="5" t="s">
        <v>113</v>
      </c>
      <c r="K116" s="12">
        <f>+K115*5%</f>
        <v>532.59867700150005</v>
      </c>
    </row>
    <row r="117" spans="2:11" x14ac:dyDescent="0.3">
      <c r="B117" s="13" t="s">
        <v>1</v>
      </c>
      <c r="C117" s="14" t="s">
        <v>2</v>
      </c>
      <c r="D117" s="14" t="s">
        <v>3</v>
      </c>
      <c r="E117" s="14" t="s">
        <v>585</v>
      </c>
      <c r="F117" s="14" t="s">
        <v>343</v>
      </c>
      <c r="G117" s="28" t="s">
        <v>4</v>
      </c>
      <c r="H117" s="28" t="s">
        <v>5</v>
      </c>
      <c r="I117" s="4"/>
      <c r="J117" s="5" t="s">
        <v>9</v>
      </c>
      <c r="K117" s="12">
        <f>+K115+K116</f>
        <v>11184.572217031502</v>
      </c>
    </row>
    <row r="118" spans="2:11" x14ac:dyDescent="0.3">
      <c r="B118" s="21" t="s">
        <v>103</v>
      </c>
      <c r="C118" s="8" t="s">
        <v>570</v>
      </c>
      <c r="D118" s="9">
        <v>1</v>
      </c>
      <c r="E118" s="9">
        <v>0</v>
      </c>
      <c r="F118" s="9">
        <v>1</v>
      </c>
      <c r="G118" s="10">
        <f>+VLOOKUP(Tabla1103453454455456479108133140169180808788929396104[[#This Row],[Ingrediente]],Tabla34[#All],3,0)</f>
        <v>4920.8029999999999</v>
      </c>
      <c r="H118" s="11">
        <f>+Tabla1103453454455456479108133140169180808788929396104[[#This Row],[Costo]]*Tabla1103453454455456479108133140169180808788929396104[[#This Row],[Columna1]]</f>
        <v>4920.8029999999999</v>
      </c>
      <c r="I118" s="4"/>
      <c r="J118" s="17" t="s">
        <v>10</v>
      </c>
      <c r="K118" s="18">
        <v>42000</v>
      </c>
    </row>
    <row r="119" spans="2:11" x14ac:dyDescent="0.3">
      <c r="B119" s="21" t="s">
        <v>398</v>
      </c>
      <c r="C119" s="8" t="s">
        <v>188</v>
      </c>
      <c r="D119" s="9">
        <v>25</v>
      </c>
      <c r="E119" s="9">
        <v>10</v>
      </c>
      <c r="F119" s="9">
        <v>27.777999999999999</v>
      </c>
      <c r="G119" s="10">
        <f>+VLOOKUP(Tabla1103453454455456479108133140169180808788929396104[[#This Row],[Ingrediente]],Tabla34[#All],3,0)</f>
        <v>3.7999999999999994</v>
      </c>
      <c r="H119" s="11">
        <f>+Tabla1103453454455456479108133140169180808788929396104[[#This Row],[Costo]]*Tabla1103453454455456479108133140169180808788929396104[[#This Row],[Columna1]]</f>
        <v>105.55639999999998</v>
      </c>
      <c r="I119" s="4"/>
      <c r="J119" s="5" t="s">
        <v>11</v>
      </c>
      <c r="K119" s="12">
        <f>+K118/1.08*0.08</f>
        <v>3111.1111111111109</v>
      </c>
    </row>
    <row r="120" spans="2:11" x14ac:dyDescent="0.3">
      <c r="B120" s="7" t="s">
        <v>430</v>
      </c>
      <c r="C120" s="8" t="s">
        <v>188</v>
      </c>
      <c r="D120" s="9">
        <v>50</v>
      </c>
      <c r="E120" s="9">
        <v>5</v>
      </c>
      <c r="F120" s="9">
        <v>52.631999999999998</v>
      </c>
      <c r="G120" s="10">
        <f>+VLOOKUP(Tabla1103453454455456479108133140169180808788929396104[[#This Row],[Ingrediente]],Tabla34[#All],3,0)</f>
        <v>4.8</v>
      </c>
      <c r="H120" s="11">
        <f>+Tabla1103453454455456479108133140169180808788929396104[[#This Row],[Costo]]*Tabla1103453454455456479108133140169180808788929396104[[#This Row],[Columna1]]</f>
        <v>252.63359999999997</v>
      </c>
      <c r="I120" s="4"/>
      <c r="J120" s="5" t="s">
        <v>12</v>
      </c>
      <c r="K120" s="12">
        <f>+K118-K119</f>
        <v>38888.888888888891</v>
      </c>
    </row>
    <row r="121" spans="2:11" x14ac:dyDescent="0.3">
      <c r="B121" s="7" t="s">
        <v>470</v>
      </c>
      <c r="C121" s="8" t="s">
        <v>188</v>
      </c>
      <c r="D121" s="9">
        <v>9</v>
      </c>
      <c r="E121" s="9">
        <v>10</v>
      </c>
      <c r="F121" s="9">
        <v>10</v>
      </c>
      <c r="G121" s="10">
        <f>+VLOOKUP(Tabla1103453454455456479108133140169180808788929396104[[#This Row],[Ingrediente]],Tabla34[#All],3,0)</f>
        <v>8</v>
      </c>
      <c r="H121" s="11">
        <f>+Tabla1103453454455456479108133140169180808788929396104[[#This Row],[Costo]]*Tabla1103453454455456479108133140169180808788929396104[[#This Row],[Columna1]]</f>
        <v>80</v>
      </c>
      <c r="I121" s="4"/>
      <c r="J121" s="5" t="s">
        <v>13</v>
      </c>
      <c r="K121" s="19">
        <f>+K117/K120</f>
        <v>0.28760328558081005</v>
      </c>
    </row>
    <row r="122" spans="2:11" x14ac:dyDescent="0.3">
      <c r="B122" s="7" t="s">
        <v>446</v>
      </c>
      <c r="C122" s="8" t="s">
        <v>188</v>
      </c>
      <c r="D122" s="9">
        <v>1</v>
      </c>
      <c r="E122" s="9">
        <v>40</v>
      </c>
      <c r="F122" s="9">
        <v>1.667</v>
      </c>
      <c r="G122" s="10">
        <f>+VLOOKUP(Tabla1103453454455456479108133140169180808788929396104[[#This Row],[Ingrediente]],Tabla34[#All],3,0)</f>
        <v>5.5</v>
      </c>
      <c r="H122" s="11">
        <f>+Tabla1103453454455456479108133140169180808788929396104[[#This Row],[Costo]]*Tabla1103453454455456479108133140169180808788929396104[[#This Row],[Columna1]]</f>
        <v>9.1684999999999999</v>
      </c>
      <c r="I122" s="4"/>
      <c r="J122" s="5" t="s">
        <v>14</v>
      </c>
      <c r="K122" s="20">
        <f>+K120-K117</f>
        <v>27704.316671857388</v>
      </c>
    </row>
    <row r="123" spans="2:11" x14ac:dyDescent="0.3">
      <c r="B123" s="7" t="s">
        <v>226</v>
      </c>
      <c r="C123" s="8" t="s">
        <v>188</v>
      </c>
      <c r="D123" s="9">
        <v>20</v>
      </c>
      <c r="E123" s="9">
        <v>0</v>
      </c>
      <c r="F123" s="9">
        <v>20</v>
      </c>
      <c r="G123" s="10">
        <f>+VLOOKUP(Tabla1103453454455456479108133140169180808788929396104[[#This Row],[Ingrediente]],Tabla34[#All],3,0)</f>
        <v>10.179495380000001</v>
      </c>
      <c r="H123" s="11">
        <f>+Tabla1103453454455456479108133140169180808788929396104[[#This Row],[Costo]]*Tabla1103453454455456479108133140169180808788929396104[[#This Row],[Columna1]]</f>
        <v>203.5899076</v>
      </c>
      <c r="I123" s="4"/>
      <c r="J123" s="5" t="s">
        <v>15</v>
      </c>
      <c r="K123" s="22">
        <f>+K122/K117</f>
        <v>2.4770117385151447</v>
      </c>
    </row>
    <row r="124" spans="2:11" x14ac:dyDescent="0.3">
      <c r="B124" s="21" t="s">
        <v>396</v>
      </c>
      <c r="C124" s="8" t="s">
        <v>188</v>
      </c>
      <c r="D124" s="9">
        <v>20</v>
      </c>
      <c r="E124" s="9">
        <v>0</v>
      </c>
      <c r="F124" s="9">
        <v>20</v>
      </c>
      <c r="G124" s="10">
        <f>+VLOOKUP(Tabla1103453454455456479108133140169180808788929396104[[#This Row],[Ingrediente]],Tabla34[#All],3,0)</f>
        <v>30.892987189999999</v>
      </c>
      <c r="H124" s="11">
        <f>+Tabla1103453454455456479108133140169180808788929396104[[#This Row],[Costo]]*Tabla1103453454455456479108133140169180808788929396104[[#This Row],[Columna1]]</f>
        <v>617.85974379999993</v>
      </c>
      <c r="I124" s="4"/>
      <c r="J124" s="4"/>
      <c r="K124" s="23"/>
    </row>
    <row r="125" spans="2:11" x14ac:dyDescent="0.3">
      <c r="B125" s="7" t="s">
        <v>946</v>
      </c>
      <c r="C125" s="8" t="s">
        <v>188</v>
      </c>
      <c r="D125" s="9">
        <v>10</v>
      </c>
      <c r="E125" s="9">
        <v>0</v>
      </c>
      <c r="F125" s="9">
        <v>10</v>
      </c>
      <c r="G125" s="10">
        <f>+VLOOKUP(Tabla1103453454455456479108133140169180808788929396104[[#This Row],[Ingrediente]],Tabla34[#All],3,0)</f>
        <v>32</v>
      </c>
      <c r="H125" s="11">
        <f>+Tabla1103453454455456479108133140169180808788929396104[[#This Row],[Costo]]*Tabla1103453454455456479108133140169180808788929396104[[#This Row],[Columna1]]</f>
        <v>320</v>
      </c>
      <c r="I125" s="4"/>
      <c r="J125" s="4"/>
      <c r="K125" s="23"/>
    </row>
    <row r="126" spans="2:11" x14ac:dyDescent="0.3">
      <c r="B126" s="7" t="s">
        <v>482</v>
      </c>
      <c r="C126" s="8" t="s">
        <v>188</v>
      </c>
      <c r="D126" s="9">
        <v>1</v>
      </c>
      <c r="E126" s="9">
        <v>0</v>
      </c>
      <c r="F126" s="9">
        <v>1</v>
      </c>
      <c r="G126" s="10">
        <f>+VLOOKUP(Tabla1103453454455456479108133140169180808788929396104[[#This Row],[Ingrediente]],Tabla34[#All],3,0)</f>
        <v>2.6999075600000002</v>
      </c>
      <c r="H126" s="11">
        <f>+Tabla1103453454455456479108133140169180808788929396104[[#This Row],[Costo]]*Tabla1103453454455456479108133140169180808788929396104[[#This Row],[Columna1]]</f>
        <v>2.6999075600000002</v>
      </c>
      <c r="I126" s="4"/>
      <c r="J126" s="4"/>
      <c r="K126" s="23"/>
    </row>
    <row r="127" spans="2:11" x14ac:dyDescent="0.3">
      <c r="B127" s="7" t="s">
        <v>1021</v>
      </c>
      <c r="C127" s="8" t="s">
        <v>570</v>
      </c>
      <c r="D127" s="9">
        <v>1</v>
      </c>
      <c r="E127" s="9">
        <v>0</v>
      </c>
      <c r="F127" s="9">
        <v>1</v>
      </c>
      <c r="G127" s="10">
        <f>+VLOOKUP(Tabla1103453454455456479108133140169180808788929396104[[#This Row],[Ingrediente]],Tabla34[#All],3,0)</f>
        <v>2500</v>
      </c>
      <c r="H127" s="11">
        <f>+Tabla1103453454455456479108133140169180808788929396104[[#This Row],[Costo]]*Tabla1103453454455456479108133140169180808788929396104[[#This Row],[Columna1]]</f>
        <v>2500</v>
      </c>
      <c r="I127" s="4"/>
    </row>
    <row r="128" spans="2:11" x14ac:dyDescent="0.3">
      <c r="B128" s="7" t="s">
        <v>358</v>
      </c>
      <c r="C128" s="8" t="s">
        <v>570</v>
      </c>
      <c r="D128" s="9">
        <v>1</v>
      </c>
      <c r="E128" s="9">
        <v>0</v>
      </c>
      <c r="F128" s="9">
        <v>1</v>
      </c>
      <c r="G128" s="10">
        <f>+VLOOKUP(Tabla1103453454455456479108133140169180808788929396104[[#This Row],[Ingrediente]],Tabla34[#All],3,0)</f>
        <v>1333.3333333200001</v>
      </c>
      <c r="H128" s="11">
        <f>+Tabla1103453454455456479108133140169180808788929396104[[#This Row],[Costo]]*Tabla1103453454455456479108133140169180808788929396104[[#This Row],[Columna1]]</f>
        <v>1333.3333333200001</v>
      </c>
    </row>
    <row r="129" spans="2:8" x14ac:dyDescent="0.3">
      <c r="B129" s="7" t="s">
        <v>74</v>
      </c>
      <c r="C129" s="8" t="s">
        <v>188</v>
      </c>
      <c r="D129" s="9">
        <v>25</v>
      </c>
      <c r="E129" s="9">
        <v>0</v>
      </c>
      <c r="F129" s="9">
        <v>25</v>
      </c>
      <c r="G129" s="10">
        <f>+VLOOKUP(Tabla1103453454455456479108133140169180808788929396104[[#This Row],[Ingrediente]],Tabla34[#All],3,0)</f>
        <v>12.25316591</v>
      </c>
      <c r="H129" s="11">
        <f>+Tabla1103453454455456479108133140169180808788929396104[[#This Row],[Costo]]*Tabla1103453454455456479108133140169180808788929396104[[#This Row],[Columna1]]</f>
        <v>306.32914775</v>
      </c>
    </row>
    <row r="130" spans="2:8" x14ac:dyDescent="0.3">
      <c r="B130" s="13"/>
      <c r="C130" s="14"/>
      <c r="D130" s="14"/>
      <c r="E130" s="14"/>
      <c r="F130" s="14"/>
      <c r="G130" s="15"/>
      <c r="H130" s="15">
        <f>SUBTOTAL(109,Tabla1103453454455456479108133140169180808788929396104[Total costo])</f>
        <v>10651.973540030001</v>
      </c>
    </row>
  </sheetData>
  <mergeCells count="6">
    <mergeCell ref="J9:K9"/>
    <mergeCell ref="J114:K114"/>
    <mergeCell ref="J27:K27"/>
    <mergeCell ref="J45:K45"/>
    <mergeCell ref="J66:K66"/>
    <mergeCell ref="J90:K90"/>
  </mergeCells>
  <phoneticPr fontId="20" type="noConversion"/>
  <conditionalFormatting sqref="K16">
    <cfRule type="cellIs" dxfId="275" priority="13" operator="lessThan">
      <formula>0.3</formula>
    </cfRule>
    <cfRule type="cellIs" dxfId="274" priority="14" operator="greaterThan">
      <formula>0.3</formula>
    </cfRule>
  </conditionalFormatting>
  <conditionalFormatting sqref="K34">
    <cfRule type="cellIs" dxfId="273" priority="11" operator="lessThan">
      <formula>0.3</formula>
    </cfRule>
    <cfRule type="cellIs" dxfId="272" priority="12" operator="greaterThan">
      <formula>0.3</formula>
    </cfRule>
  </conditionalFormatting>
  <conditionalFormatting sqref="K52">
    <cfRule type="cellIs" dxfId="271" priority="7" operator="lessThan">
      <formula>0.3</formula>
    </cfRule>
    <cfRule type="cellIs" dxfId="270" priority="8" operator="greaterThan">
      <formula>0.3</formula>
    </cfRule>
  </conditionalFormatting>
  <conditionalFormatting sqref="K73">
    <cfRule type="cellIs" dxfId="269" priority="5" operator="lessThan">
      <formula>0.3</formula>
    </cfRule>
    <cfRule type="cellIs" dxfId="268" priority="6" operator="greaterThan">
      <formula>0.3</formula>
    </cfRule>
  </conditionalFormatting>
  <conditionalFormatting sqref="K97">
    <cfRule type="cellIs" dxfId="267" priority="3" operator="lessThan">
      <formula>0.3</formula>
    </cfRule>
    <cfRule type="cellIs" dxfId="266" priority="4" operator="greaterThan">
      <formula>0.3</formula>
    </cfRule>
  </conditionalFormatting>
  <conditionalFormatting sqref="K121">
    <cfRule type="cellIs" dxfId="265" priority="1" operator="lessThan">
      <formula>0.3</formula>
    </cfRule>
    <cfRule type="cellIs" dxfId="264" priority="2" operator="greaterThan">
      <formula>0.3</formula>
    </cfRule>
  </conditionalFormatting>
  <pageMargins left="0.7" right="0.7" top="0.75" bottom="0.75" header="0.3" footer="0.3"/>
  <pageSetup orientation="portrait" horizontalDpi="360" verticalDpi="360" r:id="rId1"/>
  <drawing r:id="rId2"/>
  <tableParts count="6">
    <tablePart r:id="rId3"/>
    <tablePart r:id="rId4"/>
    <tablePart r:id="rId5"/>
    <tablePart r:id="rId6"/>
    <tablePart r:id="rId7"/>
    <tablePart r:id="rId8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E9ED2-BB97-4D22-8137-6A8220EB84AC}">
  <dimension ref="B3:K83"/>
  <sheetViews>
    <sheetView topLeftCell="A60" workbookViewId="0">
      <selection activeCell="D83" sqref="D83"/>
    </sheetView>
  </sheetViews>
  <sheetFormatPr baseColWidth="10" defaultRowHeight="14.4" x14ac:dyDescent="0.3"/>
  <cols>
    <col min="1" max="1" width="4.44140625" customWidth="1"/>
    <col min="2" max="2" width="37" bestFit="1" customWidth="1"/>
    <col min="10" max="10" width="26.109375" bestFit="1" customWidth="1"/>
  </cols>
  <sheetData>
    <row r="3" spans="2:11" x14ac:dyDescent="0.3">
      <c r="B3" s="89" t="s">
        <v>144</v>
      </c>
      <c r="C3" s="90"/>
      <c r="D3" s="90"/>
      <c r="E3" s="90"/>
      <c r="F3" s="90"/>
      <c r="G3" s="90"/>
      <c r="H3" s="90"/>
      <c r="J3" s="277" t="s">
        <v>0</v>
      </c>
      <c r="K3" s="277"/>
    </row>
    <row r="4" spans="2:11" ht="26.4" x14ac:dyDescent="0.3">
      <c r="B4" s="13" t="s">
        <v>1</v>
      </c>
      <c r="C4" s="14" t="s">
        <v>2</v>
      </c>
      <c r="D4" s="87" t="s">
        <v>571</v>
      </c>
      <c r="E4" s="14" t="s">
        <v>572</v>
      </c>
      <c r="F4" s="14" t="s">
        <v>573</v>
      </c>
      <c r="G4" s="28" t="s">
        <v>4</v>
      </c>
      <c r="H4" s="28" t="s">
        <v>5</v>
      </c>
      <c r="J4" s="5" t="s">
        <v>6</v>
      </c>
      <c r="K4" s="6">
        <f>+Tabla110345345445545647910812913614381[[#Totals],[Total costo]]</f>
        <v>9461.7403465000007</v>
      </c>
    </row>
    <row r="5" spans="2:11" x14ac:dyDescent="0.3">
      <c r="B5" s="7" t="s">
        <v>368</v>
      </c>
      <c r="C5" s="8" t="s">
        <v>188</v>
      </c>
      <c r="D5" s="9">
        <v>150</v>
      </c>
      <c r="E5" s="9">
        <v>10</v>
      </c>
      <c r="F5" s="9">
        <v>166.667</v>
      </c>
      <c r="G5" s="10">
        <f>+VLOOKUP(Tabla110345345445545647910812913614381[[#This Row],[Ingrediente]],Tabla34[#All],3,0)</f>
        <v>37</v>
      </c>
      <c r="H5" s="11">
        <f>+Tabla110345345445545647910812913614381[[#This Row],[Costo]]*Tabla110345345445545647910812913614381[[#This Row],[Unidades]]</f>
        <v>6166.6790000000001</v>
      </c>
      <c r="J5" s="5" t="s">
        <v>113</v>
      </c>
      <c r="K5" s="12">
        <f>+K4*5%</f>
        <v>473.08701732500003</v>
      </c>
    </row>
    <row r="6" spans="2:11" x14ac:dyDescent="0.3">
      <c r="B6" s="21" t="s">
        <v>398</v>
      </c>
      <c r="C6" s="8" t="s">
        <v>188</v>
      </c>
      <c r="D6" s="9">
        <v>100</v>
      </c>
      <c r="E6" s="9">
        <v>27</v>
      </c>
      <c r="F6" s="9">
        <v>136.98599999999999</v>
      </c>
      <c r="G6" s="10">
        <f>+VLOOKUP(Tabla110345345445545647910812913614381[[#This Row],[Ingrediente]],Tabla34[#All],3,0)</f>
        <v>3.7999999999999994</v>
      </c>
      <c r="H6" s="11">
        <f>+Tabla110345345445545647910812913614381[[#This Row],[Costo]]*Tabla110345345445545647910812913614381[[#This Row],[Unidades]]</f>
        <v>520.54679999999985</v>
      </c>
      <c r="J6" s="5" t="s">
        <v>9</v>
      </c>
      <c r="K6" s="12">
        <f>+K4+K5</f>
        <v>9934.8273638250012</v>
      </c>
    </row>
    <row r="7" spans="2:11" x14ac:dyDescent="0.3">
      <c r="B7" s="21" t="s">
        <v>446</v>
      </c>
      <c r="C7" s="8" t="s">
        <v>188</v>
      </c>
      <c r="D7" s="9">
        <v>2</v>
      </c>
      <c r="E7" s="9">
        <v>40</v>
      </c>
      <c r="F7" s="9">
        <v>3.3330000000000002</v>
      </c>
      <c r="G7" s="10">
        <f>+VLOOKUP(Tabla110345345445545647910812913614381[[#This Row],[Ingrediente]],Tabla34[#All],3,0)</f>
        <v>5.5</v>
      </c>
      <c r="H7" s="11">
        <f>+Tabla110345345445545647910812913614381[[#This Row],[Costo]]*Tabla110345345445545647910812913614381[[#This Row],[Unidades]]</f>
        <v>18.331500000000002</v>
      </c>
      <c r="J7" s="17" t="s">
        <v>10</v>
      </c>
      <c r="K7" s="18">
        <v>13000</v>
      </c>
    </row>
    <row r="8" spans="2:11" x14ac:dyDescent="0.3">
      <c r="B8" s="21" t="s">
        <v>394</v>
      </c>
      <c r="C8" s="8" t="s">
        <v>188</v>
      </c>
      <c r="D8" s="9">
        <v>20</v>
      </c>
      <c r="E8" s="9">
        <v>78</v>
      </c>
      <c r="F8" s="9">
        <v>90.909000000000006</v>
      </c>
      <c r="G8" s="10">
        <f>+VLOOKUP(Tabla110345345445545647910812913614381[[#This Row],[Ingrediente]],Tabla34[#All],3,0)</f>
        <v>4.5</v>
      </c>
      <c r="H8" s="11">
        <f>+Tabla110345345445545647910812913614381[[#This Row],[Costo]]*Tabla110345345445545647910812913614381[[#This Row],[Unidades]]</f>
        <v>409.09050000000002</v>
      </c>
      <c r="J8" s="5" t="s">
        <v>11</v>
      </c>
      <c r="K8" s="12">
        <f>+K7/1.08*0.08</f>
        <v>962.96296296296293</v>
      </c>
    </row>
    <row r="9" spans="2:11" x14ac:dyDescent="0.3">
      <c r="B9" s="21" t="s">
        <v>84</v>
      </c>
      <c r="C9" s="8" t="s">
        <v>188</v>
      </c>
      <c r="D9" s="9">
        <v>20</v>
      </c>
      <c r="E9" s="9">
        <v>0</v>
      </c>
      <c r="F9" s="9">
        <v>20</v>
      </c>
      <c r="G9" s="10">
        <f>+VLOOKUP(Tabla110345345445545647910812913614381[[#This Row],[Ingrediente]],Tabla34[#All],3,0)</f>
        <v>15</v>
      </c>
      <c r="H9" s="11">
        <f>+Tabla110345345445545647910812913614381[[#This Row],[Costo]]*Tabla110345345445545647910812913614381[[#This Row],[Unidades]]</f>
        <v>300</v>
      </c>
      <c r="J9" s="5" t="s">
        <v>12</v>
      </c>
      <c r="K9" s="12">
        <f>+K7-K8</f>
        <v>12037.037037037036</v>
      </c>
    </row>
    <row r="10" spans="2:11" x14ac:dyDescent="0.3">
      <c r="B10" s="21" t="s">
        <v>430</v>
      </c>
      <c r="C10" s="8" t="s">
        <v>188</v>
      </c>
      <c r="D10" s="9">
        <v>30</v>
      </c>
      <c r="E10" s="9">
        <v>10</v>
      </c>
      <c r="F10" s="9">
        <v>33.332999999999998</v>
      </c>
      <c r="G10" s="10">
        <f>+VLOOKUP(Tabla110345345445545647910812913614381[[#This Row],[Ingrediente]],Tabla34[#All],3,0)</f>
        <v>4.8</v>
      </c>
      <c r="H10" s="11">
        <f>+Tabla110345345445545647910812913614381[[#This Row],[Costo]]*Tabla110345345445545647910812913614381[[#This Row],[Unidades]]</f>
        <v>159.99839999999998</v>
      </c>
      <c r="J10" s="5" t="s">
        <v>13</v>
      </c>
      <c r="K10" s="19">
        <f>+K6/K9</f>
        <v>0.82535488868700013</v>
      </c>
    </row>
    <row r="11" spans="2:11" x14ac:dyDescent="0.3">
      <c r="B11" s="7" t="s">
        <v>96</v>
      </c>
      <c r="C11" s="8" t="s">
        <v>188</v>
      </c>
      <c r="D11" s="9">
        <v>50</v>
      </c>
      <c r="E11" s="213">
        <v>0</v>
      </c>
      <c r="F11" s="214">
        <v>50</v>
      </c>
      <c r="G11" s="10">
        <f>+VLOOKUP(Tabla110345345445545647910812913614381[[#This Row],[Ingrediente]],Tabla34[#All],3,0)</f>
        <v>28.798282929999999</v>
      </c>
      <c r="H11" s="11">
        <f>+Tabla110345345445545647910812913614381[[#This Row],[Costo]]*Tabla110345345445545647910812913614381[[#This Row],[Unidades]]</f>
        <v>1439.9141465</v>
      </c>
      <c r="J11" s="5" t="s">
        <v>14</v>
      </c>
      <c r="K11" s="20">
        <f>+K9-K6</f>
        <v>2102.2096732120353</v>
      </c>
    </row>
    <row r="12" spans="2:11" x14ac:dyDescent="0.3">
      <c r="B12" s="7" t="s">
        <v>480</v>
      </c>
      <c r="C12" s="8" t="s">
        <v>188</v>
      </c>
      <c r="D12" s="9">
        <v>1</v>
      </c>
      <c r="E12" s="9">
        <v>0</v>
      </c>
      <c r="F12" s="9">
        <v>1</v>
      </c>
      <c r="G12" s="10">
        <f>+VLOOKUP(Tabla110345345445545647910812913614381[[#This Row],[Ingrediente]],Tabla34[#All],3,0)</f>
        <v>328.34</v>
      </c>
      <c r="H12" s="11">
        <f>+Tabla110345345445545647910812913614381[[#This Row],[Costo]]*Tabla110345345445545647910812913614381[[#This Row],[Unidades]]</f>
        <v>328.34</v>
      </c>
      <c r="J12" s="5" t="s">
        <v>15</v>
      </c>
      <c r="K12" s="22">
        <f>+K11/K6</f>
        <v>0.21160002043585235</v>
      </c>
    </row>
    <row r="13" spans="2:11" x14ac:dyDescent="0.3">
      <c r="B13" s="7" t="s">
        <v>470</v>
      </c>
      <c r="C13" s="8" t="s">
        <v>188</v>
      </c>
      <c r="D13" s="9">
        <v>2</v>
      </c>
      <c r="E13" s="9">
        <v>10</v>
      </c>
      <c r="F13" s="9">
        <v>2.222</v>
      </c>
      <c r="G13" s="10">
        <f>+VLOOKUP(Tabla110345345445545647910812913614381[[#This Row],[Ingrediente]],Tabla34[#All],3,0)</f>
        <v>8</v>
      </c>
      <c r="H13" s="11">
        <f>+Tabla110345345445545647910812913614381[[#This Row],[Costo]]*Tabla110345345445545647910812913614381[[#This Row],[Unidades]]</f>
        <v>17.776</v>
      </c>
    </row>
    <row r="14" spans="2:11" x14ac:dyDescent="0.3">
      <c r="B14" s="7" t="s">
        <v>456</v>
      </c>
      <c r="C14" s="8" t="s">
        <v>188</v>
      </c>
      <c r="D14" s="9">
        <v>4</v>
      </c>
      <c r="E14" s="9">
        <v>5</v>
      </c>
      <c r="F14" s="9">
        <v>4.2110000000000003</v>
      </c>
      <c r="G14" s="10">
        <f>+VLOOKUP(Tabla110345345445545647910812913614381[[#This Row],[Ingrediente]],Tabla34[#All],3,0)</f>
        <v>24</v>
      </c>
      <c r="H14" s="11">
        <f>+Tabla110345345445545647910812913614381[[#This Row],[Costo]]*Tabla110345345445545647910812913614381[[#This Row],[Unidades]]</f>
        <v>101.06400000000001</v>
      </c>
    </row>
    <row r="15" spans="2:11" x14ac:dyDescent="0.3">
      <c r="B15" s="13"/>
      <c r="C15" s="14"/>
      <c r="D15" s="14"/>
      <c r="E15" s="14"/>
      <c r="F15" s="14"/>
      <c r="G15" s="15"/>
      <c r="H15" s="15">
        <f>SUBTOTAL(109,Tabla110345345445545647910812913614381[Total costo])</f>
        <v>9461.7403465000007</v>
      </c>
    </row>
    <row r="18" spans="2:11" x14ac:dyDescent="0.3">
      <c r="B18" s="89" t="s">
        <v>231</v>
      </c>
      <c r="C18" s="90"/>
      <c r="D18" s="90"/>
      <c r="E18" s="90"/>
      <c r="F18" s="90"/>
      <c r="G18" s="90"/>
      <c r="H18" s="90"/>
      <c r="J18" s="277" t="s">
        <v>0</v>
      </c>
      <c r="K18" s="277"/>
    </row>
    <row r="19" spans="2:11" ht="26.4" x14ac:dyDescent="0.3">
      <c r="B19" s="13" t="s">
        <v>1</v>
      </c>
      <c r="C19" s="14" t="s">
        <v>2</v>
      </c>
      <c r="D19" s="87" t="s">
        <v>571</v>
      </c>
      <c r="E19" s="14" t="s">
        <v>572</v>
      </c>
      <c r="F19" s="14" t="s">
        <v>573</v>
      </c>
      <c r="G19" s="28" t="s">
        <v>4</v>
      </c>
      <c r="H19" s="28" t="s">
        <v>5</v>
      </c>
      <c r="J19" s="5" t="s">
        <v>6</v>
      </c>
      <c r="K19" s="6">
        <f>+Tabla110345345445545647910812913614381147[[#Totals],[Total costo]]</f>
        <v>9749.3874083400005</v>
      </c>
    </row>
    <row r="20" spans="2:11" x14ac:dyDescent="0.3">
      <c r="B20" s="7" t="s">
        <v>368</v>
      </c>
      <c r="C20" s="8" t="s">
        <v>188</v>
      </c>
      <c r="D20" s="9">
        <v>150</v>
      </c>
      <c r="E20" s="9">
        <v>10</v>
      </c>
      <c r="F20" s="9">
        <v>166.667</v>
      </c>
      <c r="G20" s="10">
        <f>+VLOOKUP(Tabla110345345445545647910812913614381147[[#This Row],[Ingrediente]],Tabla34[#All],3,0)</f>
        <v>37</v>
      </c>
      <c r="H20" s="11">
        <f>+Tabla110345345445545647910812913614381147[[#This Row],[Costo]]*Tabla110345345445545647910812913614381147[[#This Row],[Unidades]]</f>
        <v>6166.6790000000001</v>
      </c>
      <c r="J20" s="5" t="s">
        <v>113</v>
      </c>
      <c r="K20" s="12">
        <f>+K19*5%</f>
        <v>487.46937041700005</v>
      </c>
    </row>
    <row r="21" spans="2:11" x14ac:dyDescent="0.3">
      <c r="B21" s="21" t="s">
        <v>104</v>
      </c>
      <c r="C21" s="8" t="s">
        <v>188</v>
      </c>
      <c r="D21" s="9">
        <v>100</v>
      </c>
      <c r="E21" s="9">
        <v>0</v>
      </c>
      <c r="F21" s="9">
        <v>100</v>
      </c>
      <c r="G21" s="10">
        <f>+VLOOKUP(Tabla110345345445545647910812913614381147[[#This Row],[Ingrediente]],Tabla34[#All],3,0)</f>
        <v>10.506526450000001</v>
      </c>
      <c r="H21" s="11">
        <f>+Tabla110345345445545647910812913614381147[[#This Row],[Costo]]*Tabla110345345445545647910812913614381147[[#This Row],[Unidades]]</f>
        <v>1050.6526450000001</v>
      </c>
      <c r="J21" s="5" t="s">
        <v>9</v>
      </c>
      <c r="K21" s="12">
        <f>+K19+K20</f>
        <v>10236.856778757001</v>
      </c>
    </row>
    <row r="22" spans="2:11" x14ac:dyDescent="0.3">
      <c r="B22" s="21" t="s">
        <v>378</v>
      </c>
      <c r="C22" s="8" t="s">
        <v>188</v>
      </c>
      <c r="D22" s="9">
        <v>80</v>
      </c>
      <c r="E22" s="9">
        <v>30</v>
      </c>
      <c r="F22" s="9">
        <v>114.286</v>
      </c>
      <c r="G22" s="10">
        <f>+VLOOKUP(Tabla110345345445545647910812913614381147[[#This Row],[Ingrediente]],Tabla34[#All],3,0)</f>
        <v>3.5</v>
      </c>
      <c r="H22" s="11">
        <f>+Tabla110345345445545647910812913614381147[[#This Row],[Costo]]*Tabla110345345445545647910812913614381147[[#This Row],[Unidades]]</f>
        <v>400.00099999999998</v>
      </c>
      <c r="J22" s="17" t="s">
        <v>10</v>
      </c>
      <c r="K22" s="18"/>
    </row>
    <row r="23" spans="2:11" x14ac:dyDescent="0.3">
      <c r="B23" s="21" t="s">
        <v>528</v>
      </c>
      <c r="C23" s="8" t="s">
        <v>188</v>
      </c>
      <c r="D23" s="9">
        <v>80</v>
      </c>
      <c r="E23" s="9">
        <v>0</v>
      </c>
      <c r="F23" s="9">
        <v>80</v>
      </c>
      <c r="G23" s="10">
        <f>+VLOOKUP(Tabla110345345445545647910812913614381147[[#This Row],[Ingrediente]],Tabla34[#All],3,0)</f>
        <v>4.8201292200000001</v>
      </c>
      <c r="H23" s="11">
        <f>+Tabla110345345445545647910812913614381147[[#This Row],[Costo]]*Tabla110345345445545647910812913614381147[[#This Row],[Unidades]]</f>
        <v>385.61033759999998</v>
      </c>
      <c r="J23" s="5" t="s">
        <v>11</v>
      </c>
      <c r="K23" s="12">
        <f>+K22/1.08*0.08</f>
        <v>0</v>
      </c>
    </row>
    <row r="24" spans="2:11" x14ac:dyDescent="0.3">
      <c r="B24" s="21" t="s">
        <v>35</v>
      </c>
      <c r="C24" s="8" t="s">
        <v>188</v>
      </c>
      <c r="D24" s="9">
        <v>30</v>
      </c>
      <c r="E24" s="9">
        <v>0</v>
      </c>
      <c r="F24" s="9">
        <v>30</v>
      </c>
      <c r="G24" s="10">
        <f>+VLOOKUP(Tabla110345345445545647910812913614381147[[#This Row],[Ingrediente]],Tabla34[#All],3,0)</f>
        <v>4.7460000000000004</v>
      </c>
      <c r="H24" s="11">
        <f>+Tabla110345345445545647910812913614381147[[#This Row],[Costo]]*Tabla110345345445545647910812913614381147[[#This Row],[Unidades]]</f>
        <v>142.38000000000002</v>
      </c>
      <c r="J24" s="5" t="s">
        <v>12</v>
      </c>
      <c r="K24" s="12">
        <f>+K22-K23</f>
        <v>0</v>
      </c>
    </row>
    <row r="25" spans="2:11" x14ac:dyDescent="0.3">
      <c r="B25" s="21" t="s">
        <v>482</v>
      </c>
      <c r="C25" s="8" t="s">
        <v>188</v>
      </c>
      <c r="D25" s="9">
        <v>5</v>
      </c>
      <c r="E25" s="9">
        <v>0</v>
      </c>
      <c r="F25" s="9">
        <v>5</v>
      </c>
      <c r="G25" s="10">
        <f>+VLOOKUP(Tabla110345345445545647910812913614381147[[#This Row],[Ingrediente]],Tabla34[#All],3,0)</f>
        <v>2.6999075600000002</v>
      </c>
      <c r="H25" s="11">
        <f>+Tabla110345345445545647910812913614381147[[#This Row],[Costo]]*Tabla110345345445545647910812913614381147[[#This Row],[Unidades]]</f>
        <v>13.499537800000001</v>
      </c>
      <c r="J25" s="5" t="s">
        <v>13</v>
      </c>
      <c r="K25" s="19" t="e">
        <f>+K21/K24</f>
        <v>#DIV/0!</v>
      </c>
    </row>
    <row r="26" spans="2:11" x14ac:dyDescent="0.3">
      <c r="B26" s="7" t="s">
        <v>558</v>
      </c>
      <c r="C26" s="8" t="s">
        <v>570</v>
      </c>
      <c r="D26" s="9">
        <v>2</v>
      </c>
      <c r="E26" s="213">
        <v>0</v>
      </c>
      <c r="F26" s="214">
        <v>2</v>
      </c>
      <c r="G26" s="10">
        <f>+VLOOKUP(Tabla110345345445545647910812913614381147[[#This Row],[Ingrediente]],Tabla34[#All],3,0)</f>
        <v>354.16666666999998</v>
      </c>
      <c r="H26" s="11">
        <f>+Tabla110345345445545647910812913614381147[[#This Row],[Costo]]*Tabla110345345445545647910812913614381147[[#This Row],[Unidades]]</f>
        <v>708.33333333999997</v>
      </c>
      <c r="J26" s="5" t="s">
        <v>14</v>
      </c>
      <c r="K26" s="20">
        <f>+K24-K21</f>
        <v>-10236.856778757001</v>
      </c>
    </row>
    <row r="27" spans="2:11" x14ac:dyDescent="0.3">
      <c r="B27" s="7" t="s">
        <v>445</v>
      </c>
      <c r="C27" s="8" t="s">
        <v>188</v>
      </c>
      <c r="D27" s="9">
        <v>2</v>
      </c>
      <c r="E27" s="9">
        <v>0</v>
      </c>
      <c r="F27" s="9">
        <v>2</v>
      </c>
      <c r="G27" s="10">
        <f>+VLOOKUP(Tabla110345345445545647910812913614381147[[#This Row],[Ingrediente]],Tabla34[#All],3,0)</f>
        <v>39.472999999999999</v>
      </c>
      <c r="H27" s="11">
        <f>+Tabla110345345445545647910812913614381147[[#This Row],[Costo]]*Tabla110345345445545647910812913614381147[[#This Row],[Unidades]]</f>
        <v>78.945999999999998</v>
      </c>
      <c r="J27" s="5" t="s">
        <v>15</v>
      </c>
      <c r="K27" s="22">
        <f>+K26/K21</f>
        <v>-1</v>
      </c>
    </row>
    <row r="28" spans="2:11" x14ac:dyDescent="0.3">
      <c r="B28" s="7" t="s">
        <v>480</v>
      </c>
      <c r="C28" s="8" t="s">
        <v>188</v>
      </c>
      <c r="D28" s="9">
        <v>1</v>
      </c>
      <c r="E28" s="9">
        <v>0</v>
      </c>
      <c r="F28" s="9">
        <v>1</v>
      </c>
      <c r="G28" s="10">
        <f>+VLOOKUP(Tabla110345345445545647910812913614381147[[#This Row],[Ingrediente]],Tabla34[#All],3,0)</f>
        <v>328.34</v>
      </c>
      <c r="H28" s="11">
        <f>+Tabla110345345445545647910812913614381147[[#This Row],[Costo]]*Tabla110345345445545647910812913614381147[[#This Row],[Unidades]]</f>
        <v>328.34</v>
      </c>
    </row>
    <row r="29" spans="2:11" x14ac:dyDescent="0.3">
      <c r="B29" s="7" t="s">
        <v>526</v>
      </c>
      <c r="C29" s="8" t="s">
        <v>188</v>
      </c>
      <c r="D29" s="9">
        <v>20</v>
      </c>
      <c r="E29" s="9">
        <v>0</v>
      </c>
      <c r="F29" s="9">
        <v>20</v>
      </c>
      <c r="G29" s="10">
        <f>+VLOOKUP(Tabla110345345445545647910812913614381147[[#This Row],[Ingrediente]],Tabla34[#All],3,0)</f>
        <v>23.747277729999997</v>
      </c>
      <c r="H29" s="11">
        <f>+Tabla110345345445545647910812913614381147[[#This Row],[Costo]]*Tabla110345345445545647910812913614381147[[#This Row],[Unidades]]</f>
        <v>474.94555459999992</v>
      </c>
    </row>
    <row r="30" spans="2:11" x14ac:dyDescent="0.3">
      <c r="B30" s="13"/>
      <c r="C30" s="14"/>
      <c r="D30" s="14"/>
      <c r="E30" s="14"/>
      <c r="F30" s="14"/>
      <c r="G30" s="15"/>
      <c r="H30" s="15">
        <f>SUBTOTAL(109,Tabla110345345445545647910812913614381147[Total costo])</f>
        <v>9749.3874083400005</v>
      </c>
    </row>
    <row r="32" spans="2:11" x14ac:dyDescent="0.3">
      <c r="B32" s="89" t="s">
        <v>823</v>
      </c>
      <c r="C32" s="90"/>
      <c r="D32" s="90"/>
      <c r="E32" s="90"/>
      <c r="F32" s="90"/>
      <c r="G32" s="90"/>
      <c r="H32" s="90"/>
      <c r="J32" s="277" t="s">
        <v>0</v>
      </c>
      <c r="K32" s="277"/>
    </row>
    <row r="33" spans="2:11" ht="26.4" x14ac:dyDescent="0.3">
      <c r="B33" s="13" t="s">
        <v>1</v>
      </c>
      <c r="C33" s="14" t="s">
        <v>2</v>
      </c>
      <c r="D33" s="87" t="s">
        <v>571</v>
      </c>
      <c r="E33" s="14" t="s">
        <v>572</v>
      </c>
      <c r="F33" s="14" t="s">
        <v>573</v>
      </c>
      <c r="G33" s="28" t="s">
        <v>4</v>
      </c>
      <c r="H33" s="28" t="s">
        <v>5</v>
      </c>
      <c r="J33" s="5" t="s">
        <v>6</v>
      </c>
      <c r="K33" s="6">
        <f>+Tabla110345345445545647910812913614381148[[#Totals],[Total costo]]</f>
        <v>11205.169467600001</v>
      </c>
    </row>
    <row r="34" spans="2:11" x14ac:dyDescent="0.3">
      <c r="B34" s="7" t="s">
        <v>687</v>
      </c>
      <c r="C34" s="8" t="s">
        <v>188</v>
      </c>
      <c r="D34" s="9">
        <v>40</v>
      </c>
      <c r="E34" s="9">
        <v>0</v>
      </c>
      <c r="F34" s="9">
        <v>40</v>
      </c>
      <c r="G34" s="10">
        <f>+VLOOKUP(Tabla110345345445545647910812913614381148[[#This Row],[Ingrediente]],Tabla34[#All],3,0)</f>
        <v>84.475308639999994</v>
      </c>
      <c r="H34" s="11">
        <f>+Tabla110345345445545647910812913614381148[[#This Row],[Costo]]*Tabla110345345445545647910812913614381148[[#This Row],[Unidades]]</f>
        <v>3379.0123455999997</v>
      </c>
      <c r="J34" s="5" t="s">
        <v>113</v>
      </c>
      <c r="K34" s="12">
        <f>+K33*5%</f>
        <v>560.25847338000005</v>
      </c>
    </row>
    <row r="35" spans="2:11" x14ac:dyDescent="0.3">
      <c r="B35" s="21" t="s">
        <v>470</v>
      </c>
      <c r="C35" s="8" t="s">
        <v>188</v>
      </c>
      <c r="D35" s="9">
        <v>14.25</v>
      </c>
      <c r="E35" s="9">
        <v>5</v>
      </c>
      <c r="F35" s="9">
        <v>15</v>
      </c>
      <c r="G35" s="10">
        <f>+VLOOKUP(Tabla110345345445545647910812913614381148[[#This Row],[Ingrediente]],Tabla34[#All],3,0)</f>
        <v>8</v>
      </c>
      <c r="H35" s="11">
        <f>+Tabla110345345445545647910812913614381148[[#This Row],[Costo]]*Tabla110345345445545647910812913614381148[[#This Row],[Unidades]]</f>
        <v>120</v>
      </c>
      <c r="J35" s="5" t="s">
        <v>9</v>
      </c>
      <c r="K35" s="12">
        <f>+K33+K34</f>
        <v>11765.42794098</v>
      </c>
    </row>
    <row r="36" spans="2:11" x14ac:dyDescent="0.3">
      <c r="B36" s="21" t="s">
        <v>490</v>
      </c>
      <c r="C36" s="8" t="s">
        <v>188</v>
      </c>
      <c r="D36" s="9">
        <v>15</v>
      </c>
      <c r="E36" s="9">
        <v>10</v>
      </c>
      <c r="F36" s="9">
        <v>16.667000000000002</v>
      </c>
      <c r="G36" s="10">
        <f>+VLOOKUP(Tabla110345345445545647910812913614381148[[#This Row],[Ingrediente]],Tabla34[#All],3,0)</f>
        <v>5</v>
      </c>
      <c r="H36" s="11">
        <f>+Tabla110345345445545647910812913614381148[[#This Row],[Costo]]*Tabla110345345445545647910812913614381148[[#This Row],[Unidades]]</f>
        <v>83.335000000000008</v>
      </c>
      <c r="J36" s="17" t="s">
        <v>10</v>
      </c>
      <c r="K36" s="18"/>
    </row>
    <row r="37" spans="2:11" x14ac:dyDescent="0.3">
      <c r="B37" s="21" t="s">
        <v>417</v>
      </c>
      <c r="C37" s="8" t="s">
        <v>188</v>
      </c>
      <c r="D37" s="9">
        <v>15</v>
      </c>
      <c r="E37" s="9">
        <v>0</v>
      </c>
      <c r="F37" s="9">
        <v>15</v>
      </c>
      <c r="G37" s="10">
        <f>+VLOOKUP(Tabla110345345445545647910812913614381148[[#This Row],[Ingrediente]],Tabla34[#All],3,0)</f>
        <v>27</v>
      </c>
      <c r="H37" s="11">
        <f>+Tabla110345345445545647910812913614381148[[#This Row],[Costo]]*Tabla110345345445545647910812913614381148[[#This Row],[Unidades]]</f>
        <v>405</v>
      </c>
      <c r="J37" s="5" t="s">
        <v>11</v>
      </c>
      <c r="K37" s="12">
        <f>+K36/1.08*0.08</f>
        <v>0</v>
      </c>
    </row>
    <row r="38" spans="2:11" x14ac:dyDescent="0.3">
      <c r="B38" s="21" t="s">
        <v>491</v>
      </c>
      <c r="C38" s="8" t="s">
        <v>188</v>
      </c>
      <c r="D38" s="9">
        <v>2</v>
      </c>
      <c r="E38" s="9">
        <v>0</v>
      </c>
      <c r="F38" s="9">
        <v>2</v>
      </c>
      <c r="G38" s="10">
        <f>+VLOOKUP(Tabla110345345445545647910812913614381148[[#This Row],[Ingrediente]],Tabla34[#All],3,0)</f>
        <v>9.8000000000000007</v>
      </c>
      <c r="H38" s="11">
        <f>+Tabla110345345445545647910812913614381148[[#This Row],[Costo]]*Tabla110345345445545647910812913614381148[[#This Row],[Unidades]]</f>
        <v>19.600000000000001</v>
      </c>
      <c r="J38" s="5" t="s">
        <v>12</v>
      </c>
      <c r="K38" s="12">
        <f>+K36-K37</f>
        <v>0</v>
      </c>
    </row>
    <row r="39" spans="2:11" x14ac:dyDescent="0.3">
      <c r="B39" s="21" t="s">
        <v>420</v>
      </c>
      <c r="C39" s="8" t="s">
        <v>188</v>
      </c>
      <c r="D39" s="9">
        <v>80</v>
      </c>
      <c r="E39" s="9">
        <v>0</v>
      </c>
      <c r="F39" s="9">
        <v>80</v>
      </c>
      <c r="G39" s="10">
        <f>+VLOOKUP(Tabla110345345445545647910812913614381148[[#This Row],[Ingrediente]],Tabla34[#All],3,0)</f>
        <v>8.9250000000000007</v>
      </c>
      <c r="H39" s="11">
        <f>+Tabla110345345445545647910812913614381148[[#This Row],[Costo]]*Tabla110345345445545647910812913614381148[[#This Row],[Unidades]]</f>
        <v>714</v>
      </c>
      <c r="J39" s="5" t="s">
        <v>13</v>
      </c>
      <c r="K39" s="19" t="e">
        <f>+K35/K38</f>
        <v>#DIV/0!</v>
      </c>
    </row>
    <row r="40" spans="2:11" x14ac:dyDescent="0.3">
      <c r="B40" s="7" t="s">
        <v>526</v>
      </c>
      <c r="C40" s="8" t="s">
        <v>188</v>
      </c>
      <c r="D40" s="9">
        <v>40</v>
      </c>
      <c r="E40" s="213">
        <v>0</v>
      </c>
      <c r="F40" s="214">
        <v>40</v>
      </c>
      <c r="G40" s="10">
        <f>+VLOOKUP(Tabla110345345445545647910812913614381148[[#This Row],[Ingrediente]],Tabla34[#All],3,0)</f>
        <v>23.747277729999997</v>
      </c>
      <c r="H40" s="11">
        <f>+Tabla110345345445545647910812913614381148[[#This Row],[Costo]]*Tabla110345345445545647910812913614381148[[#This Row],[Unidades]]</f>
        <v>949.89110919999985</v>
      </c>
      <c r="J40" s="5" t="s">
        <v>14</v>
      </c>
      <c r="K40" s="20">
        <f>+K38-K35</f>
        <v>-11765.42794098</v>
      </c>
    </row>
    <row r="41" spans="2:11" x14ac:dyDescent="0.3">
      <c r="B41" s="7" t="s">
        <v>528</v>
      </c>
      <c r="C41" s="8" t="s">
        <v>188</v>
      </c>
      <c r="D41" s="9">
        <v>240</v>
      </c>
      <c r="E41" s="9">
        <v>0</v>
      </c>
      <c r="F41" s="9">
        <v>240</v>
      </c>
      <c r="G41" s="10">
        <f>+VLOOKUP(Tabla110345345445545647910812913614381148[[#This Row],[Ingrediente]],Tabla34[#All],3,0)</f>
        <v>4.8201292200000001</v>
      </c>
      <c r="H41" s="11">
        <f>+Tabla110345345445545647910812913614381148[[#This Row],[Costo]]*Tabla110345345445545647910812913614381148[[#This Row],[Unidades]]</f>
        <v>1156.8310128000001</v>
      </c>
      <c r="J41" s="5" t="s">
        <v>15</v>
      </c>
      <c r="K41" s="22">
        <f>+K40/K35</f>
        <v>-1</v>
      </c>
    </row>
    <row r="42" spans="2:11" x14ac:dyDescent="0.3">
      <c r="B42" s="7" t="s">
        <v>387</v>
      </c>
      <c r="C42" s="8" t="s">
        <v>570</v>
      </c>
      <c r="D42" s="9">
        <v>0.5</v>
      </c>
      <c r="E42" s="9">
        <v>0</v>
      </c>
      <c r="F42" s="9">
        <v>0.5</v>
      </c>
      <c r="G42" s="10">
        <f>+VLOOKUP(Tabla110345345445545647910812913614381148[[#This Row],[Ingrediente]],Tabla34[#All],3,0)</f>
        <v>8755</v>
      </c>
      <c r="H42" s="11">
        <f>+Tabla110345345445545647910812913614381148[[#This Row],[Costo]]*Tabla110345345445545647910812913614381148[[#This Row],[Unidades]]</f>
        <v>4377.5</v>
      </c>
    </row>
    <row r="43" spans="2:11" x14ac:dyDescent="0.3">
      <c r="B43" s="13"/>
      <c r="C43" s="14"/>
      <c r="D43" s="14"/>
      <c r="E43" s="14"/>
      <c r="F43" s="14"/>
      <c r="G43" s="15"/>
      <c r="H43" s="15">
        <f>SUBTOTAL(109,Tabla110345345445545647910812913614381148[Total costo])</f>
        <v>11205.169467600001</v>
      </c>
    </row>
    <row r="45" spans="2:11" x14ac:dyDescent="0.3">
      <c r="B45" s="89" t="s">
        <v>888</v>
      </c>
      <c r="C45" s="90"/>
      <c r="D45" s="90"/>
      <c r="E45" s="90"/>
      <c r="F45" s="90"/>
      <c r="G45" s="90"/>
      <c r="H45" s="90"/>
      <c r="J45" s="277" t="s">
        <v>0</v>
      </c>
      <c r="K45" s="277"/>
    </row>
    <row r="46" spans="2:11" ht="26.4" x14ac:dyDescent="0.3">
      <c r="B46" s="13" t="s">
        <v>1</v>
      </c>
      <c r="C46" s="14" t="s">
        <v>2</v>
      </c>
      <c r="D46" s="87" t="s">
        <v>571</v>
      </c>
      <c r="E46" s="14" t="s">
        <v>572</v>
      </c>
      <c r="F46" s="14" t="s">
        <v>573</v>
      </c>
      <c r="G46" s="28" t="s">
        <v>4</v>
      </c>
      <c r="H46" s="28" t="s">
        <v>5</v>
      </c>
      <c r="J46" s="5" t="s">
        <v>6</v>
      </c>
      <c r="K46" s="6">
        <f>+Tabla110345345445545647910812913614381159[[#Totals],[Total costo]]</f>
        <v>10324.0673952</v>
      </c>
    </row>
    <row r="47" spans="2:11" x14ac:dyDescent="0.3">
      <c r="B47" s="7" t="s">
        <v>398</v>
      </c>
      <c r="C47" s="8" t="s">
        <v>188</v>
      </c>
      <c r="D47" s="9">
        <v>50</v>
      </c>
      <c r="E47" s="9">
        <v>37</v>
      </c>
      <c r="F47" s="9">
        <v>79.364999999999995</v>
      </c>
      <c r="G47" s="10">
        <f>+VLOOKUP(Tabla110345345445545647910812913614381159[[#This Row],[Ingrediente]],Tabla34[#All],3,0)</f>
        <v>3.7999999999999994</v>
      </c>
      <c r="H47" s="11">
        <f>+Tabla110345345445545647910812913614381159[[#This Row],[Costo]]*Tabla110345345445545647910812913614381159[[#This Row],[Unidades]]</f>
        <v>301.58699999999993</v>
      </c>
      <c r="J47" s="5" t="s">
        <v>113</v>
      </c>
      <c r="K47" s="12">
        <f>+K46*5%</f>
        <v>516.20336975999999</v>
      </c>
    </row>
    <row r="48" spans="2:11" x14ac:dyDescent="0.3">
      <c r="B48" s="21" t="s">
        <v>476</v>
      </c>
      <c r="C48" s="8" t="s">
        <v>188</v>
      </c>
      <c r="D48" s="9">
        <v>50</v>
      </c>
      <c r="E48" s="9">
        <v>26</v>
      </c>
      <c r="F48" s="9">
        <v>67.567999999999998</v>
      </c>
      <c r="G48" s="10">
        <f>+VLOOKUP(Tabla110345345445545647910812913614381159[[#This Row],[Ingrediente]],Tabla34[#All],3,0)</f>
        <v>2.5</v>
      </c>
      <c r="H48" s="11">
        <f>+Tabla110345345445545647910812913614381159[[#This Row],[Costo]]*Tabla110345345445545647910812913614381159[[#This Row],[Unidades]]</f>
        <v>168.92</v>
      </c>
      <c r="J48" s="5" t="s">
        <v>9</v>
      </c>
      <c r="K48" s="12">
        <f>+K46+K47</f>
        <v>10840.27076496</v>
      </c>
    </row>
    <row r="49" spans="2:11" x14ac:dyDescent="0.3">
      <c r="B49" s="21" t="s">
        <v>446</v>
      </c>
      <c r="C49" s="8" t="s">
        <v>188</v>
      </c>
      <c r="D49" s="9">
        <v>1</v>
      </c>
      <c r="E49" s="9">
        <v>40</v>
      </c>
      <c r="F49" s="9">
        <v>1.667</v>
      </c>
      <c r="G49" s="10">
        <f>+VLOOKUP(Tabla110345345445545647910812913614381159[[#This Row],[Ingrediente]],Tabla34[#All],3,0)</f>
        <v>5.5</v>
      </c>
      <c r="H49" s="11">
        <f>+Tabla110345345445545647910812913614381159[[#This Row],[Costo]]*Tabla110345345445545647910812913614381159[[#This Row],[Unidades]]</f>
        <v>9.1684999999999999</v>
      </c>
      <c r="J49" s="17" t="s">
        <v>10</v>
      </c>
      <c r="K49" s="18"/>
    </row>
    <row r="50" spans="2:11" x14ac:dyDescent="0.3">
      <c r="B50" s="21" t="s">
        <v>420</v>
      </c>
      <c r="C50" s="8" t="s">
        <v>188</v>
      </c>
      <c r="D50" s="9">
        <v>50</v>
      </c>
      <c r="E50" s="9">
        <v>0</v>
      </c>
      <c r="F50" s="9">
        <v>50</v>
      </c>
      <c r="G50" s="10">
        <f>+VLOOKUP(Tabla110345345445545647910812913614381159[[#This Row],[Ingrediente]],Tabla34[#All],3,0)</f>
        <v>8.9250000000000007</v>
      </c>
      <c r="H50" s="11">
        <f>+Tabla110345345445545647910812913614381159[[#This Row],[Costo]]*Tabla110345345445545647910812913614381159[[#This Row],[Unidades]]</f>
        <v>446.25000000000006</v>
      </c>
      <c r="J50" s="5" t="s">
        <v>11</v>
      </c>
      <c r="K50" s="12">
        <f>+K49/1.08*0.08</f>
        <v>0</v>
      </c>
    </row>
    <row r="51" spans="2:11" x14ac:dyDescent="0.3">
      <c r="B51" s="21" t="s">
        <v>451</v>
      </c>
      <c r="C51" s="8" t="s">
        <v>188</v>
      </c>
      <c r="D51" s="9">
        <v>20</v>
      </c>
      <c r="E51" s="9">
        <v>0</v>
      </c>
      <c r="F51" s="9">
        <v>20</v>
      </c>
      <c r="G51" s="10">
        <f>+VLOOKUP(Tabla110345345445545647910812913614381159[[#This Row],[Ingrediente]],Tabla34[#All],3,0)</f>
        <v>10.193790849999999</v>
      </c>
      <c r="H51" s="11">
        <f>+Tabla110345345445545647910812913614381159[[#This Row],[Costo]]*Tabla110345345445545647910812913614381159[[#This Row],[Unidades]]</f>
        <v>203.87581699999998</v>
      </c>
      <c r="J51" s="5" t="s">
        <v>12</v>
      </c>
      <c r="K51" s="12">
        <f>+K49-K50</f>
        <v>0</v>
      </c>
    </row>
    <row r="52" spans="2:11" x14ac:dyDescent="0.3">
      <c r="B52" s="21" t="s">
        <v>371</v>
      </c>
      <c r="C52" s="8" t="s">
        <v>188</v>
      </c>
      <c r="D52" s="9">
        <v>180</v>
      </c>
      <c r="E52" s="9">
        <v>0</v>
      </c>
      <c r="F52" s="9">
        <v>180</v>
      </c>
      <c r="G52" s="10">
        <f>+VLOOKUP(Tabla110345345445545647910812913614381159[[#This Row],[Ingrediente]],Tabla34[#All],3,0)</f>
        <v>21.062481640000001</v>
      </c>
      <c r="H52" s="11">
        <f>+Tabla110345345445545647910812913614381159[[#This Row],[Costo]]*Tabla110345345445545647910812913614381159[[#This Row],[Unidades]]</f>
        <v>3791.2466952000004</v>
      </c>
      <c r="J52" s="5" t="s">
        <v>13</v>
      </c>
      <c r="K52" s="19" t="e">
        <f>+K48/K51</f>
        <v>#DIV/0!</v>
      </c>
    </row>
    <row r="53" spans="2:11" x14ac:dyDescent="0.3">
      <c r="B53" s="7" t="s">
        <v>528</v>
      </c>
      <c r="C53" s="8" t="s">
        <v>188</v>
      </c>
      <c r="D53" s="9">
        <v>150</v>
      </c>
      <c r="E53" s="213">
        <v>0</v>
      </c>
      <c r="F53" s="214">
        <v>150</v>
      </c>
      <c r="G53" s="10">
        <f>+VLOOKUP(Tabla110345345445545647910812913614381159[[#This Row],[Ingrediente]],Tabla34[#All],3,0)</f>
        <v>4.8201292200000001</v>
      </c>
      <c r="H53" s="11">
        <f>+Tabla110345345445545647910812913614381159[[#This Row],[Costo]]*Tabla110345345445545647910812913614381159[[#This Row],[Unidades]]</f>
        <v>723.01938300000006</v>
      </c>
      <c r="J53" s="5" t="s">
        <v>14</v>
      </c>
      <c r="K53" s="20">
        <f>+K51-K48</f>
        <v>-10840.27076496</v>
      </c>
    </row>
    <row r="54" spans="2:11" x14ac:dyDescent="0.3">
      <c r="B54" s="7" t="s">
        <v>1005</v>
      </c>
      <c r="C54" s="8" t="s">
        <v>188</v>
      </c>
      <c r="D54" s="9">
        <v>1</v>
      </c>
      <c r="E54" s="9">
        <v>0</v>
      </c>
      <c r="F54" s="9">
        <v>1</v>
      </c>
      <c r="G54" s="10">
        <f>+VLOOKUP(Tabla110345345445545647910812913614381159[[#This Row],[Ingrediente]],Tabla34[#All],3,0)</f>
        <v>4680</v>
      </c>
      <c r="H54" s="11">
        <f>+Tabla110345345445545647910812913614381159[[#This Row],[Costo]]*Tabla110345345445545647910812913614381159[[#This Row],[Unidades]]</f>
        <v>4680</v>
      </c>
      <c r="J54" s="5" t="s">
        <v>15</v>
      </c>
      <c r="K54" s="22">
        <f>+K53/K48</f>
        <v>-1</v>
      </c>
    </row>
    <row r="55" spans="2:11" x14ac:dyDescent="0.3">
      <c r="B55" s="13"/>
      <c r="C55" s="14"/>
      <c r="D55" s="14"/>
      <c r="E55" s="14"/>
      <c r="F55" s="14"/>
      <c r="G55" s="15"/>
      <c r="H55" s="15">
        <f>SUBTOTAL(109,Tabla110345345445545647910812913614381159[Total costo])</f>
        <v>10324.0673952</v>
      </c>
    </row>
    <row r="59" spans="2:11" x14ac:dyDescent="0.3">
      <c r="B59" s="89" t="s">
        <v>907</v>
      </c>
      <c r="C59" s="90"/>
      <c r="D59" s="90"/>
      <c r="E59" s="90"/>
      <c r="F59" s="90"/>
      <c r="G59" s="90"/>
      <c r="H59" s="90"/>
      <c r="J59" s="277" t="s">
        <v>0</v>
      </c>
      <c r="K59" s="277"/>
    </row>
    <row r="60" spans="2:11" ht="26.4" x14ac:dyDescent="0.3">
      <c r="B60" s="13" t="s">
        <v>1</v>
      </c>
      <c r="C60" s="14" t="s">
        <v>2</v>
      </c>
      <c r="D60" s="87" t="s">
        <v>571</v>
      </c>
      <c r="E60" s="14" t="s">
        <v>572</v>
      </c>
      <c r="F60" s="14" t="s">
        <v>573</v>
      </c>
      <c r="G60" s="28" t="s">
        <v>4</v>
      </c>
      <c r="H60" s="28" t="s">
        <v>5</v>
      </c>
      <c r="J60" s="5" t="s">
        <v>6</v>
      </c>
      <c r="K60" s="6">
        <f>+Tabla110345345445545647910812913614381160[[#Totals],[Total costo]]</f>
        <v>8390.5930100999994</v>
      </c>
    </row>
    <row r="61" spans="2:11" x14ac:dyDescent="0.3">
      <c r="B61" s="7" t="s">
        <v>368</v>
      </c>
      <c r="C61" s="8" t="s">
        <v>188</v>
      </c>
      <c r="D61" s="9">
        <v>150</v>
      </c>
      <c r="E61" s="9">
        <v>0</v>
      </c>
      <c r="F61" s="9">
        <v>150</v>
      </c>
      <c r="G61" s="10">
        <f>+VLOOKUP(Tabla110345345445545647910812913614381160[[#This Row],[Ingrediente]],Tabla34[#All],3,0)</f>
        <v>37</v>
      </c>
      <c r="H61" s="11">
        <f>+Tabla110345345445545647910812913614381160[[#This Row],[Costo]]*Tabla110345345445545647910812913614381160[[#This Row],[Unidades]]</f>
        <v>5550</v>
      </c>
      <c r="J61" s="5" t="s">
        <v>113</v>
      </c>
      <c r="K61" s="12">
        <f>+K60*5%</f>
        <v>419.52965050500001</v>
      </c>
    </row>
    <row r="62" spans="2:11" x14ac:dyDescent="0.3">
      <c r="B62" s="21" t="s">
        <v>35</v>
      </c>
      <c r="C62" s="8" t="s">
        <v>188</v>
      </c>
      <c r="D62" s="9">
        <v>10</v>
      </c>
      <c r="E62" s="9">
        <v>0</v>
      </c>
      <c r="F62" s="9">
        <v>10</v>
      </c>
      <c r="G62" s="10">
        <f>+VLOOKUP(Tabla110345345445545647910812913614381160[[#This Row],[Ingrediente]],Tabla34[#All],3,0)</f>
        <v>4.7460000000000004</v>
      </c>
      <c r="H62" s="11">
        <f>+Tabla110345345445545647910812913614381160[[#This Row],[Costo]]*Tabla110345345445545647910812913614381160[[#This Row],[Unidades]]</f>
        <v>47.460000000000008</v>
      </c>
      <c r="J62" s="5" t="s">
        <v>9</v>
      </c>
      <c r="K62" s="12">
        <f>+K60+K61</f>
        <v>8810.1226606049986</v>
      </c>
    </row>
    <row r="63" spans="2:11" x14ac:dyDescent="0.3">
      <c r="B63" s="21" t="s">
        <v>526</v>
      </c>
      <c r="C63" s="8" t="s">
        <v>188</v>
      </c>
      <c r="D63" s="9">
        <v>5</v>
      </c>
      <c r="E63" s="9">
        <v>0</v>
      </c>
      <c r="F63" s="9">
        <v>5</v>
      </c>
      <c r="G63" s="10">
        <f>+VLOOKUP(Tabla110345345445545647910812913614381160[[#This Row],[Ingrediente]],Tabla34[#All],3,0)</f>
        <v>23.747277729999997</v>
      </c>
      <c r="H63" s="11">
        <f>+Tabla110345345445545647910812913614381160[[#This Row],[Costo]]*Tabla110345345445545647910812913614381160[[#This Row],[Unidades]]</f>
        <v>118.73638864999998</v>
      </c>
      <c r="J63" s="17" t="s">
        <v>10</v>
      </c>
      <c r="K63" s="18"/>
    </row>
    <row r="64" spans="2:11" x14ac:dyDescent="0.3">
      <c r="B64" s="21" t="s">
        <v>402</v>
      </c>
      <c r="C64" s="8" t="s">
        <v>188</v>
      </c>
      <c r="D64" s="9">
        <v>10</v>
      </c>
      <c r="E64" s="9">
        <v>0</v>
      </c>
      <c r="F64" s="9">
        <v>10</v>
      </c>
      <c r="G64" s="10">
        <f>+VLOOKUP(Tabla110345345445545647910812913614381160[[#This Row],[Ingrediente]],Tabla34[#All],3,0)</f>
        <v>13.050000000000002</v>
      </c>
      <c r="H64" s="11">
        <f>+Tabla110345345445545647910812913614381160[[#This Row],[Costo]]*Tabla110345345445545647910812913614381160[[#This Row],[Unidades]]</f>
        <v>130.50000000000003</v>
      </c>
      <c r="J64" s="5" t="s">
        <v>11</v>
      </c>
      <c r="K64" s="12">
        <f>+K63/1.08*0.08</f>
        <v>0</v>
      </c>
    </row>
    <row r="65" spans="2:11" x14ac:dyDescent="0.3">
      <c r="B65" s="21" t="s">
        <v>378</v>
      </c>
      <c r="C65" s="8" t="s">
        <v>188</v>
      </c>
      <c r="D65" s="9">
        <v>150</v>
      </c>
      <c r="E65" s="9">
        <v>30</v>
      </c>
      <c r="F65" s="9">
        <v>214.286</v>
      </c>
      <c r="G65" s="10">
        <f>+VLOOKUP(Tabla110345345445545647910812913614381160[[#This Row],[Ingrediente]],Tabla34[#All],3,0)</f>
        <v>3.5</v>
      </c>
      <c r="H65" s="11">
        <f>+Tabla110345345445545647910812913614381160[[#This Row],[Costo]]*Tabla110345345445545647910812913614381160[[#This Row],[Unidades]]</f>
        <v>750.00099999999998</v>
      </c>
      <c r="J65" s="5" t="s">
        <v>12</v>
      </c>
      <c r="K65" s="12">
        <f>+K63-K64</f>
        <v>0</v>
      </c>
    </row>
    <row r="66" spans="2:11" x14ac:dyDescent="0.3">
      <c r="B66" s="21" t="s">
        <v>531</v>
      </c>
      <c r="C66" s="8" t="s">
        <v>188</v>
      </c>
      <c r="D66" s="9">
        <v>30</v>
      </c>
      <c r="E66" s="9">
        <v>0</v>
      </c>
      <c r="F66" s="9">
        <v>30</v>
      </c>
      <c r="G66" s="10">
        <f>+VLOOKUP(Tabla110345345445545647910812913614381160[[#This Row],[Ingrediente]],Tabla34[#All],3,0)</f>
        <v>3.5</v>
      </c>
      <c r="H66" s="11">
        <f>+Tabla110345345445545647910812913614381160[[#This Row],[Costo]]*Tabla110345345445545647910812913614381160[[#This Row],[Unidades]]</f>
        <v>105</v>
      </c>
      <c r="J66" s="5" t="s">
        <v>13</v>
      </c>
      <c r="K66" s="19" t="e">
        <f>+K62/K65</f>
        <v>#DIV/0!</v>
      </c>
    </row>
    <row r="67" spans="2:11" x14ac:dyDescent="0.3">
      <c r="B67" s="7" t="s">
        <v>476</v>
      </c>
      <c r="C67" s="8" t="s">
        <v>188</v>
      </c>
      <c r="D67" s="9">
        <v>30</v>
      </c>
      <c r="E67" s="213">
        <v>26</v>
      </c>
      <c r="F67" s="214">
        <v>40.540999999999997</v>
      </c>
      <c r="G67" s="10">
        <f>+VLOOKUP(Tabla110345345445545647910812913614381160[[#This Row],[Ingrediente]],Tabla34[#All],3,0)</f>
        <v>2.5</v>
      </c>
      <c r="H67" s="11">
        <f>+Tabla110345345445545647910812913614381160[[#This Row],[Costo]]*Tabla110345345445545647910812913614381160[[#This Row],[Unidades]]</f>
        <v>101.35249999999999</v>
      </c>
      <c r="J67" s="5" t="s">
        <v>14</v>
      </c>
      <c r="K67" s="20">
        <f>+K65-K62</f>
        <v>-8810.1226606049986</v>
      </c>
    </row>
    <row r="68" spans="2:11" x14ac:dyDescent="0.3">
      <c r="B68" s="7" t="s">
        <v>406</v>
      </c>
      <c r="C68" s="8" t="s">
        <v>188</v>
      </c>
      <c r="D68" s="9">
        <v>30</v>
      </c>
      <c r="E68" s="9">
        <v>26</v>
      </c>
      <c r="F68" s="9">
        <v>40.540999999999997</v>
      </c>
      <c r="G68" s="10">
        <f>+VLOOKUP(Tabla110345345445545647910812913614381160[[#This Row],[Ingrediente]],Tabla34[#All],3,0)</f>
        <v>14</v>
      </c>
      <c r="H68" s="11">
        <f>+Tabla110345345445545647910812913614381160[[#This Row],[Costo]]*Tabla110345345445545647910812913614381160[[#This Row],[Unidades]]</f>
        <v>567.57399999999996</v>
      </c>
      <c r="J68" s="5" t="s">
        <v>15</v>
      </c>
      <c r="K68" s="22">
        <f>+K67/K62</f>
        <v>-1</v>
      </c>
    </row>
    <row r="69" spans="2:11" x14ac:dyDescent="0.3">
      <c r="B69" s="7" t="s">
        <v>528</v>
      </c>
      <c r="C69" s="8" t="s">
        <v>188</v>
      </c>
      <c r="D69" s="9">
        <v>150</v>
      </c>
      <c r="E69" s="9">
        <v>0</v>
      </c>
      <c r="F69" s="9">
        <v>150</v>
      </c>
      <c r="G69" s="10">
        <f>+VLOOKUP(Tabla110345345445545647910812913614381160[[#This Row],[Ingrediente]],Tabla34[#All],3,0)</f>
        <v>4.8201292200000001</v>
      </c>
      <c r="H69" s="11">
        <f>+Tabla110345345445545647910812913614381160[[#This Row],[Costo]]*Tabla110345345445545647910812913614381160[[#This Row],[Unidades]]</f>
        <v>723.01938300000006</v>
      </c>
    </row>
    <row r="70" spans="2:11" x14ac:dyDescent="0.3">
      <c r="B70" s="7" t="s">
        <v>395</v>
      </c>
      <c r="C70" s="8" t="s">
        <v>188</v>
      </c>
      <c r="D70" s="9">
        <v>15</v>
      </c>
      <c r="E70" s="9">
        <v>0</v>
      </c>
      <c r="F70" s="9">
        <v>15</v>
      </c>
      <c r="G70" s="10">
        <f>+VLOOKUP(Tabla110345345445545647910812913614381160[[#This Row],[Ingrediente]],Tabla34[#All],3,0)</f>
        <v>19.79664923</v>
      </c>
      <c r="H70" s="11">
        <f>+Tabla110345345445545647910812913614381160[[#This Row],[Costo]]*Tabla110345345445545647910812913614381160[[#This Row],[Unidades]]</f>
        <v>296.94973844999998</v>
      </c>
    </row>
    <row r="71" spans="2:11" x14ac:dyDescent="0.3">
      <c r="B71" s="13"/>
      <c r="C71" s="14"/>
      <c r="D71" s="14"/>
      <c r="E71" s="14"/>
      <c r="F71" s="14"/>
      <c r="G71" s="15"/>
      <c r="H71" s="15">
        <f>SUBTOTAL(109,Tabla110345345445545647910812913614381160[Total costo])</f>
        <v>8390.5930100999994</v>
      </c>
    </row>
    <row r="73" spans="2:11" x14ac:dyDescent="0.3">
      <c r="B73" s="196" t="s">
        <v>810</v>
      </c>
      <c r="C73" s="90"/>
      <c r="D73" s="90"/>
      <c r="E73" s="90"/>
      <c r="F73" s="90"/>
      <c r="G73" s="90"/>
      <c r="H73" s="90"/>
      <c r="J73" s="277" t="s">
        <v>0</v>
      </c>
      <c r="K73" s="277"/>
    </row>
    <row r="74" spans="2:11" ht="26.4" x14ac:dyDescent="0.3">
      <c r="B74" s="13" t="s">
        <v>1</v>
      </c>
      <c r="C74" s="14" t="s">
        <v>2</v>
      </c>
      <c r="D74" s="87" t="s">
        <v>571</v>
      </c>
      <c r="E74" s="14" t="s">
        <v>572</v>
      </c>
      <c r="F74" s="14" t="s">
        <v>573</v>
      </c>
      <c r="G74" s="28" t="s">
        <v>4</v>
      </c>
      <c r="H74" s="28" t="s">
        <v>5</v>
      </c>
      <c r="J74" s="5" t="s">
        <v>6</v>
      </c>
      <c r="K74" s="6">
        <f>+Tabla110345345445545647910812913614381180[[#Totals],[Total costo]]</f>
        <v>7792.9689147000008</v>
      </c>
    </row>
    <row r="75" spans="2:11" x14ac:dyDescent="0.3">
      <c r="B75" s="7" t="s">
        <v>528</v>
      </c>
      <c r="C75" s="8" t="s">
        <v>188</v>
      </c>
      <c r="D75" s="9">
        <v>240</v>
      </c>
      <c r="E75" s="9">
        <v>0</v>
      </c>
      <c r="F75" s="9">
        <v>240</v>
      </c>
      <c r="G75" s="10">
        <f>+VLOOKUP(Tabla110345345445545647910812913614381180[[#This Row],[Ingrediente]],Tabla34[#All],3,0)</f>
        <v>4.8201292200000001</v>
      </c>
      <c r="H75" s="11">
        <f>+Tabla110345345445545647910812913614381180[[#This Row],[Costo]]*Tabla110345345445545647910812913614381180[[#This Row],[Unidades]]</f>
        <v>1156.8310128000001</v>
      </c>
      <c r="J75" s="5" t="s">
        <v>113</v>
      </c>
      <c r="K75" s="12">
        <f>+K74*5%</f>
        <v>389.64844573500005</v>
      </c>
    </row>
    <row r="76" spans="2:11" x14ac:dyDescent="0.3">
      <c r="B76" s="21" t="s">
        <v>559</v>
      </c>
      <c r="C76" s="8" t="s">
        <v>188</v>
      </c>
      <c r="D76" s="9">
        <v>150</v>
      </c>
      <c r="E76" s="9">
        <v>0</v>
      </c>
      <c r="F76" s="9">
        <v>150</v>
      </c>
      <c r="G76" s="10">
        <f>+VLOOKUP(Tabla110345345445545647910812913614381180[[#This Row],[Ingrediente]],Tabla34[#All],3,0)</f>
        <v>8.2163994999999996</v>
      </c>
      <c r="H76" s="11">
        <f>+Tabla110345345445545647910812913614381180[[#This Row],[Costo]]*Tabla110345345445545647910812913614381180[[#This Row],[Unidades]]</f>
        <v>1232.4599249999999</v>
      </c>
      <c r="J76" s="5" t="s">
        <v>9</v>
      </c>
      <c r="K76" s="12">
        <f>+K74+K75</f>
        <v>8182.6173604350006</v>
      </c>
    </row>
    <row r="77" spans="2:11" x14ac:dyDescent="0.3">
      <c r="B77" s="21" t="s">
        <v>337</v>
      </c>
      <c r="C77" s="8" t="s">
        <v>570</v>
      </c>
      <c r="D77" s="9">
        <v>1</v>
      </c>
      <c r="E77" s="9">
        <v>0</v>
      </c>
      <c r="F77" s="9">
        <v>1</v>
      </c>
      <c r="G77" s="10">
        <f>+VLOOKUP(Tabla110345345445545647910812913614381180[[#This Row],[Ingrediente]],Tabla34[#All],3,0)</f>
        <v>497.5</v>
      </c>
      <c r="H77" s="11">
        <f>+Tabla110345345445545647910812913614381180[[#This Row],[Costo]]*Tabla110345345445545647910812913614381180[[#This Row],[Unidades]]</f>
        <v>497.5</v>
      </c>
      <c r="J77" s="17" t="s">
        <v>10</v>
      </c>
      <c r="K77" s="18"/>
    </row>
    <row r="78" spans="2:11" x14ac:dyDescent="0.3">
      <c r="B78" s="21" t="s">
        <v>398</v>
      </c>
      <c r="C78" s="8" t="s">
        <v>188</v>
      </c>
      <c r="D78" s="9">
        <v>20</v>
      </c>
      <c r="E78" s="9">
        <v>20</v>
      </c>
      <c r="F78" s="9">
        <v>25</v>
      </c>
      <c r="G78" s="10">
        <f>+VLOOKUP(Tabla110345345445545647910812913614381180[[#This Row],[Ingrediente]],Tabla34[#All],3,0)</f>
        <v>3.7999999999999994</v>
      </c>
      <c r="H78" s="11">
        <f>+Tabla110345345445545647910812913614381180[[#This Row],[Costo]]*Tabla110345345445545647910812913614381180[[#This Row],[Unidades]]</f>
        <v>94.999999999999986</v>
      </c>
      <c r="J78" s="5" t="s">
        <v>11</v>
      </c>
      <c r="K78" s="12">
        <f>+K77/1.08*0.08</f>
        <v>0</v>
      </c>
    </row>
    <row r="79" spans="2:11" x14ac:dyDescent="0.3">
      <c r="B79" s="21" t="s">
        <v>470</v>
      </c>
      <c r="C79" s="8" t="s">
        <v>188</v>
      </c>
      <c r="D79" s="9">
        <v>8</v>
      </c>
      <c r="E79" s="9">
        <v>10</v>
      </c>
      <c r="F79" s="9">
        <v>8.8889999999999993</v>
      </c>
      <c r="G79" s="10">
        <f>+VLOOKUP(Tabla110345345445545647910812913614381180[[#This Row],[Ingrediente]],Tabla34[#All],3,0)</f>
        <v>8</v>
      </c>
      <c r="H79" s="11">
        <f>+Tabla110345345445545647910812913614381180[[#This Row],[Costo]]*Tabla110345345445545647910812913614381180[[#This Row],[Unidades]]</f>
        <v>71.111999999999995</v>
      </c>
      <c r="J79" s="5" t="s">
        <v>12</v>
      </c>
      <c r="K79" s="12">
        <f>+K77-K78</f>
        <v>0</v>
      </c>
    </row>
    <row r="80" spans="2:11" x14ac:dyDescent="0.3">
      <c r="B80" s="21" t="s">
        <v>446</v>
      </c>
      <c r="C80" s="8" t="s">
        <v>188</v>
      </c>
      <c r="D80" s="9">
        <v>1</v>
      </c>
      <c r="E80" s="9">
        <v>40</v>
      </c>
      <c r="F80" s="9">
        <v>1.667</v>
      </c>
      <c r="G80" s="10">
        <f>+VLOOKUP(Tabla110345345445545647910812913614381180[[#This Row],[Ingrediente]],Tabla34[#All],3,0)</f>
        <v>5.5</v>
      </c>
      <c r="H80" s="11">
        <f>+Tabla110345345445545647910812913614381180[[#This Row],[Costo]]*Tabla110345345445545647910812913614381180[[#This Row],[Unidades]]</f>
        <v>9.1684999999999999</v>
      </c>
      <c r="J80" s="5" t="s">
        <v>13</v>
      </c>
      <c r="K80" s="19" t="e">
        <f>+K76/K79</f>
        <v>#DIV/0!</v>
      </c>
    </row>
    <row r="81" spans="2:11" x14ac:dyDescent="0.3">
      <c r="B81" s="7" t="s">
        <v>226</v>
      </c>
      <c r="C81" s="8" t="s">
        <v>188</v>
      </c>
      <c r="D81" s="9">
        <v>5</v>
      </c>
      <c r="E81" s="213">
        <v>0</v>
      </c>
      <c r="F81" s="214">
        <v>5</v>
      </c>
      <c r="G81" s="10">
        <f>+VLOOKUP(Tabla110345345445545647910812913614381180[[#This Row],[Ingrediente]],Tabla34[#All],3,0)</f>
        <v>10.179495380000001</v>
      </c>
      <c r="H81" s="11">
        <f>+Tabla110345345445545647910812913614381180[[#This Row],[Costo]]*Tabla110345345445545647910812913614381180[[#This Row],[Unidades]]</f>
        <v>50.897476900000001</v>
      </c>
      <c r="J81" s="5" t="s">
        <v>14</v>
      </c>
      <c r="K81" s="20">
        <f>+K79-K76</f>
        <v>-8182.6173604350006</v>
      </c>
    </row>
    <row r="82" spans="2:11" x14ac:dyDescent="0.3">
      <c r="B82" s="7" t="s">
        <v>1005</v>
      </c>
      <c r="C82" s="8" t="s">
        <v>570</v>
      </c>
      <c r="D82" s="9">
        <v>1</v>
      </c>
      <c r="E82" s="9">
        <v>0</v>
      </c>
      <c r="F82" s="9">
        <v>1</v>
      </c>
      <c r="G82" s="10">
        <f>+VLOOKUP(Tabla110345345445545647910812913614381180[[#This Row],[Ingrediente]],Tabla34[#All],3,0)</f>
        <v>4680</v>
      </c>
      <c r="H82" s="11">
        <f>+Tabla110345345445545647910812913614381180[[#This Row],[Costo]]*Tabla110345345445545647910812913614381180[[#This Row],[Unidades]]</f>
        <v>4680</v>
      </c>
      <c r="J82" s="5" t="s">
        <v>15</v>
      </c>
      <c r="K82" s="22">
        <f>+K81/K76</f>
        <v>-1</v>
      </c>
    </row>
    <row r="83" spans="2:11" x14ac:dyDescent="0.3">
      <c r="B83" s="13"/>
      <c r="C83" s="14"/>
      <c r="D83" s="14"/>
      <c r="E83" s="14"/>
      <c r="F83" s="14"/>
      <c r="G83" s="15"/>
      <c r="H83" s="15">
        <f>SUBTOTAL(109,Tabla110345345445545647910812913614381180[Total costo])</f>
        <v>7792.9689147000008</v>
      </c>
    </row>
  </sheetData>
  <mergeCells count="6">
    <mergeCell ref="J73:K73"/>
    <mergeCell ref="J3:K3"/>
    <mergeCell ref="J18:K18"/>
    <mergeCell ref="J32:K32"/>
    <mergeCell ref="J45:K45"/>
    <mergeCell ref="J59:K59"/>
  </mergeCells>
  <conditionalFormatting sqref="K10">
    <cfRule type="cellIs" dxfId="263" priority="11" operator="lessThan">
      <formula>0.3</formula>
    </cfRule>
    <cfRule type="cellIs" dxfId="262" priority="12" operator="greaterThan">
      <formula>0.3</formula>
    </cfRule>
  </conditionalFormatting>
  <conditionalFormatting sqref="K25">
    <cfRule type="cellIs" dxfId="261" priority="9" operator="lessThan">
      <formula>0.3</formula>
    </cfRule>
    <cfRule type="cellIs" dxfId="260" priority="10" operator="greaterThan">
      <formula>0.3</formula>
    </cfRule>
  </conditionalFormatting>
  <conditionalFormatting sqref="K39">
    <cfRule type="cellIs" dxfId="259" priority="7" operator="lessThan">
      <formula>0.3</formula>
    </cfRule>
    <cfRule type="cellIs" dxfId="258" priority="8" operator="greaterThan">
      <formula>0.3</formula>
    </cfRule>
  </conditionalFormatting>
  <conditionalFormatting sqref="K52">
    <cfRule type="cellIs" dxfId="257" priority="5" operator="lessThan">
      <formula>0.3</formula>
    </cfRule>
    <cfRule type="cellIs" dxfId="256" priority="6" operator="greaterThan">
      <formula>0.3</formula>
    </cfRule>
  </conditionalFormatting>
  <conditionalFormatting sqref="K66">
    <cfRule type="cellIs" dxfId="255" priority="3" operator="lessThan">
      <formula>0.3</formula>
    </cfRule>
    <cfRule type="cellIs" dxfId="254" priority="4" operator="greaterThan">
      <formula>0.3</formula>
    </cfRule>
  </conditionalFormatting>
  <conditionalFormatting sqref="K80">
    <cfRule type="cellIs" dxfId="253" priority="1" operator="lessThan">
      <formula>0.3</formula>
    </cfRule>
    <cfRule type="cellIs" dxfId="252" priority="2" operator="greaterThan">
      <formula>0.3</formula>
    </cfRule>
  </conditionalFormatting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99706-6667-42FB-8358-DECCC19704E7}">
  <dimension ref="A6:J500"/>
  <sheetViews>
    <sheetView showGridLines="0" topLeftCell="A283" workbookViewId="0">
      <selection activeCell="A495" sqref="A495:G498"/>
    </sheetView>
  </sheetViews>
  <sheetFormatPr baseColWidth="10" defaultRowHeight="14.4" x14ac:dyDescent="0.3"/>
  <cols>
    <col min="1" max="1" width="29.109375" bestFit="1" customWidth="1"/>
    <col min="2" max="5" width="7.77734375" customWidth="1"/>
    <col min="6" max="7" width="10.77734375" customWidth="1"/>
    <col min="8" max="8" width="3.77734375" customWidth="1"/>
    <col min="9" max="9" width="26.109375" bestFit="1" customWidth="1"/>
  </cols>
  <sheetData>
    <row r="6" spans="1:10" x14ac:dyDescent="0.3">
      <c r="A6" s="1" t="s">
        <v>709</v>
      </c>
      <c r="B6" s="2"/>
      <c r="C6" s="2"/>
      <c r="D6" s="3"/>
      <c r="E6" s="3"/>
      <c r="F6" s="3"/>
      <c r="G6" s="3"/>
      <c r="H6" s="4"/>
      <c r="I6" s="277" t="s">
        <v>0</v>
      </c>
      <c r="J6" s="277"/>
    </row>
    <row r="7" spans="1:10" x14ac:dyDescent="0.3">
      <c r="A7" s="13" t="s">
        <v>1</v>
      </c>
      <c r="B7" s="14" t="s">
        <v>2</v>
      </c>
      <c r="C7" s="14" t="s">
        <v>3</v>
      </c>
      <c r="D7" s="14" t="s">
        <v>343</v>
      </c>
      <c r="E7" s="14" t="s">
        <v>585</v>
      </c>
      <c r="F7" s="28" t="s">
        <v>4</v>
      </c>
      <c r="G7" s="28" t="s">
        <v>5</v>
      </c>
      <c r="H7" s="4"/>
      <c r="I7" s="5" t="s">
        <v>6</v>
      </c>
      <c r="J7" s="6">
        <f>SUM(Tabla1103453454455456479108135149219[Total costo])</f>
        <v>789.46</v>
      </c>
    </row>
    <row r="8" spans="1:10" x14ac:dyDescent="0.3">
      <c r="A8" s="7" t="s">
        <v>445</v>
      </c>
      <c r="B8" s="8" t="s">
        <v>188</v>
      </c>
      <c r="C8" s="9">
        <v>20</v>
      </c>
      <c r="D8" s="9">
        <v>0</v>
      </c>
      <c r="E8" s="9">
        <v>20</v>
      </c>
      <c r="F8" s="10">
        <f>+VLOOKUP(Tabla1103453454455456479108135149219[[#This Row],[Ingrediente]],Tabla34[#All],3,0)</f>
        <v>39.472999999999999</v>
      </c>
      <c r="G8" s="11">
        <f>+Tabla1103453454455456479108135149219[[#This Row],[Costo]]*Tabla1103453454455456479108135149219[[#This Row],[Cant.]]</f>
        <v>789.46</v>
      </c>
      <c r="H8" s="4"/>
      <c r="I8" s="5" t="s">
        <v>113</v>
      </c>
      <c r="J8" s="12">
        <f>+J7*5%</f>
        <v>39.473000000000006</v>
      </c>
    </row>
    <row r="9" spans="1:10" x14ac:dyDescent="0.3">
      <c r="A9" s="13"/>
      <c r="B9" s="14"/>
      <c r="C9" s="14"/>
      <c r="D9" s="14"/>
      <c r="E9" s="14"/>
      <c r="F9" s="15"/>
      <c r="G9" s="15">
        <f>SUBTOTAL(109,Tabla1103453454455456479108135149219[Total costo])</f>
        <v>789.46</v>
      </c>
      <c r="H9" s="4"/>
      <c r="I9" s="5" t="s">
        <v>9</v>
      </c>
      <c r="J9" s="12">
        <f>+J7+J8</f>
        <v>828.93299999999999</v>
      </c>
    </row>
    <row r="10" spans="1:10" x14ac:dyDescent="0.3">
      <c r="H10" s="4"/>
      <c r="I10" s="17" t="s">
        <v>10</v>
      </c>
      <c r="J10" s="18">
        <v>4900</v>
      </c>
    </row>
    <row r="11" spans="1:10" x14ac:dyDescent="0.3">
      <c r="H11" s="4"/>
      <c r="I11" s="5" t="s">
        <v>11</v>
      </c>
      <c r="J11" s="12">
        <f>+J10/1.08*0.08</f>
        <v>362.96296296296293</v>
      </c>
    </row>
    <row r="12" spans="1:10" x14ac:dyDescent="0.3">
      <c r="H12" s="4"/>
      <c r="I12" s="5" t="s">
        <v>12</v>
      </c>
      <c r="J12" s="12">
        <f>+J10-J11</f>
        <v>4537.0370370370374</v>
      </c>
    </row>
    <row r="13" spans="1:10" x14ac:dyDescent="0.3">
      <c r="H13" s="4"/>
      <c r="I13" s="5" t="s">
        <v>13</v>
      </c>
      <c r="J13" s="19">
        <f>+J9/J12</f>
        <v>0.18270359999999999</v>
      </c>
    </row>
    <row r="14" spans="1:10" x14ac:dyDescent="0.3">
      <c r="H14" s="4"/>
      <c r="I14" s="5" t="s">
        <v>14</v>
      </c>
      <c r="J14" s="20">
        <f>+J12-J9</f>
        <v>3708.1040370370374</v>
      </c>
    </row>
    <row r="15" spans="1:10" x14ac:dyDescent="0.3">
      <c r="H15" s="4"/>
      <c r="I15" s="5" t="s">
        <v>15</v>
      </c>
      <c r="J15" s="22">
        <f>+J14/J9</f>
        <v>4.4733459001355209</v>
      </c>
    </row>
    <row r="16" spans="1:10" x14ac:dyDescent="0.3">
      <c r="F16" s="4"/>
      <c r="G16" s="4"/>
      <c r="H16" s="23"/>
    </row>
    <row r="17" spans="1:10" x14ac:dyDescent="0.3">
      <c r="F17" s="4"/>
      <c r="G17" s="4"/>
      <c r="H17" s="23"/>
    </row>
    <row r="18" spans="1:10" x14ac:dyDescent="0.3">
      <c r="A18" s="1" t="s">
        <v>710</v>
      </c>
      <c r="B18" s="2"/>
      <c r="C18" s="2"/>
      <c r="D18" s="3"/>
      <c r="E18" s="3"/>
      <c r="F18" s="3"/>
      <c r="G18" s="3"/>
      <c r="H18" s="4"/>
      <c r="I18" s="277" t="s">
        <v>0</v>
      </c>
      <c r="J18" s="277"/>
    </row>
    <row r="19" spans="1:10" x14ac:dyDescent="0.3">
      <c r="A19" s="13" t="s">
        <v>1</v>
      </c>
      <c r="B19" s="14" t="s">
        <v>2</v>
      </c>
      <c r="C19" s="14" t="s">
        <v>3</v>
      </c>
      <c r="D19" s="14" t="s">
        <v>343</v>
      </c>
      <c r="E19" s="14" t="s">
        <v>585</v>
      </c>
      <c r="F19" s="28" t="s">
        <v>4</v>
      </c>
      <c r="G19" s="28" t="s">
        <v>5</v>
      </c>
      <c r="H19" s="4"/>
      <c r="I19" s="5" t="s">
        <v>6</v>
      </c>
      <c r="J19" s="6">
        <f>SUM(Tabla1103453454455456479108135149219220[Total costo])</f>
        <v>939.52700449999998</v>
      </c>
    </row>
    <row r="20" spans="1:10" x14ac:dyDescent="0.3">
      <c r="A20" s="7" t="s">
        <v>84</v>
      </c>
      <c r="B20" s="8" t="s">
        <v>188</v>
      </c>
      <c r="C20" s="9">
        <v>30</v>
      </c>
      <c r="D20" s="9">
        <v>0</v>
      </c>
      <c r="E20" s="9">
        <v>30</v>
      </c>
      <c r="F20" s="10">
        <f>+VLOOKUP(Tabla1103453454455456479108135149219220[[#This Row],[Ingrediente]],Tabla34[#All],3,0)</f>
        <v>15</v>
      </c>
      <c r="G20" s="11">
        <f>+Tabla1103453454455456479108135149219220[[#This Row],[Costo]]*Tabla1103453454455456479108135149219220[[#This Row],[Cant.]]</f>
        <v>450</v>
      </c>
      <c r="H20" s="4"/>
      <c r="I20" s="5" t="s">
        <v>113</v>
      </c>
      <c r="J20" s="12">
        <f>+J19*5%</f>
        <v>46.976350225000004</v>
      </c>
    </row>
    <row r="21" spans="1:10" x14ac:dyDescent="0.3">
      <c r="A21" s="7" t="s">
        <v>512</v>
      </c>
      <c r="B21" s="8" t="s">
        <v>188</v>
      </c>
      <c r="C21" s="9">
        <v>50</v>
      </c>
      <c r="D21" s="9">
        <v>0</v>
      </c>
      <c r="E21" s="9">
        <v>50</v>
      </c>
      <c r="F21" s="10">
        <f>+VLOOKUP(Tabla1103453454455456479108135149219220[[#This Row],[Ingrediente]],Tabla34[#All],3,0)</f>
        <v>9.7905400900000004</v>
      </c>
      <c r="G21" s="11">
        <f>+Tabla1103453454455456479108135149219220[[#This Row],[Costo]]*Tabla1103453454455456479108135149219220[[#This Row],[Cant.]]</f>
        <v>489.52700450000003</v>
      </c>
      <c r="H21" s="4"/>
      <c r="I21" s="5" t="s">
        <v>9</v>
      </c>
      <c r="J21" s="12">
        <f>+J19+J20</f>
        <v>986.50335472500001</v>
      </c>
    </row>
    <row r="22" spans="1:10" x14ac:dyDescent="0.3">
      <c r="A22" s="13"/>
      <c r="B22" s="14"/>
      <c r="C22" s="14"/>
      <c r="D22" s="14"/>
      <c r="E22" s="14"/>
      <c r="F22" s="15"/>
      <c r="G22" s="15">
        <f>SUBTOTAL(109,Tabla1103453454455456479108135149219220[Total costo])</f>
        <v>939.52700449999998</v>
      </c>
      <c r="H22" s="4"/>
      <c r="I22" s="17" t="s">
        <v>10</v>
      </c>
      <c r="J22" s="18">
        <v>4900</v>
      </c>
    </row>
    <row r="23" spans="1:10" x14ac:dyDescent="0.3">
      <c r="H23" s="4"/>
      <c r="I23" s="5" t="s">
        <v>11</v>
      </c>
      <c r="J23" s="12">
        <f>+J22/1.08*0.08</f>
        <v>362.96296296296293</v>
      </c>
    </row>
    <row r="24" spans="1:10" x14ac:dyDescent="0.3">
      <c r="H24" s="4"/>
      <c r="I24" s="5" t="s">
        <v>12</v>
      </c>
      <c r="J24" s="12">
        <f>+J22-J23</f>
        <v>4537.0370370370374</v>
      </c>
    </row>
    <row r="25" spans="1:10" x14ac:dyDescent="0.3">
      <c r="H25" s="4"/>
      <c r="I25" s="5" t="s">
        <v>13</v>
      </c>
      <c r="J25" s="19">
        <f>+J21/J24</f>
        <v>0.21743339246999999</v>
      </c>
    </row>
    <row r="26" spans="1:10" x14ac:dyDescent="0.3">
      <c r="H26" s="4"/>
      <c r="I26" s="5" t="s">
        <v>14</v>
      </c>
      <c r="J26" s="20">
        <f>+J24-J21</f>
        <v>3550.5336823120374</v>
      </c>
    </row>
    <row r="27" spans="1:10" x14ac:dyDescent="0.3">
      <c r="H27" s="4"/>
      <c r="I27" s="5" t="s">
        <v>15</v>
      </c>
      <c r="J27" s="22">
        <f>+J26/J21</f>
        <v>3.5991095877233916</v>
      </c>
    </row>
    <row r="28" spans="1:10" x14ac:dyDescent="0.3">
      <c r="F28" s="4"/>
      <c r="G28" s="4"/>
      <c r="H28" s="23"/>
    </row>
    <row r="29" spans="1:10" x14ac:dyDescent="0.3">
      <c r="F29" s="4"/>
      <c r="G29" s="4"/>
      <c r="H29" s="23"/>
    </row>
    <row r="30" spans="1:10" x14ac:dyDescent="0.3">
      <c r="A30" s="1" t="s">
        <v>711</v>
      </c>
      <c r="B30" s="2"/>
      <c r="C30" s="2"/>
      <c r="D30" s="3"/>
      <c r="E30" s="3"/>
      <c r="F30" s="3"/>
      <c r="G30" s="3"/>
      <c r="H30" s="4"/>
      <c r="I30" s="277" t="s">
        <v>0</v>
      </c>
      <c r="J30" s="277"/>
    </row>
    <row r="31" spans="1:10" x14ac:dyDescent="0.3">
      <c r="A31" s="13" t="s">
        <v>1</v>
      </c>
      <c r="B31" s="14" t="s">
        <v>2</v>
      </c>
      <c r="C31" s="14" t="s">
        <v>3</v>
      </c>
      <c r="D31" s="14" t="s">
        <v>343</v>
      </c>
      <c r="E31" s="14" t="s">
        <v>585</v>
      </c>
      <c r="F31" s="28" t="s">
        <v>4</v>
      </c>
      <c r="G31" s="28" t="s">
        <v>5</v>
      </c>
      <c r="H31" s="4"/>
      <c r="I31" s="5" t="s">
        <v>6</v>
      </c>
      <c r="J31" s="6">
        <f>SUM(Tabla1103453454455456479108135149219221[Total costo])</f>
        <v>2646</v>
      </c>
    </row>
    <row r="32" spans="1:10" x14ac:dyDescent="0.3">
      <c r="A32" s="7" t="s">
        <v>406</v>
      </c>
      <c r="B32" s="8" t="s">
        <v>188</v>
      </c>
      <c r="C32" s="9">
        <v>150</v>
      </c>
      <c r="D32" s="9">
        <v>30</v>
      </c>
      <c r="E32" s="9">
        <v>189</v>
      </c>
      <c r="F32" s="10">
        <f>+VLOOKUP(Tabla1103453454455456479108135149219221[[#This Row],[Ingrediente]],Tabla34[#All],3,0)</f>
        <v>14</v>
      </c>
      <c r="G32" s="11">
        <f>+Tabla1103453454455456479108135149219221[[#This Row],[Costo]]*Tabla1103453454455456479108135149219221[[#This Row],[Columna2]]</f>
        <v>2646</v>
      </c>
      <c r="H32" s="4"/>
      <c r="I32" s="5" t="s">
        <v>113</v>
      </c>
      <c r="J32" s="12">
        <f>+J31*5%</f>
        <v>132.30000000000001</v>
      </c>
    </row>
    <row r="33" spans="1:10" x14ac:dyDescent="0.3">
      <c r="A33" s="13"/>
      <c r="B33" s="14"/>
      <c r="C33" s="14"/>
      <c r="D33" s="14"/>
      <c r="E33" s="14"/>
      <c r="F33" s="15"/>
      <c r="G33" s="15">
        <f>SUBTOTAL(109,Tabla1103453454455456479108135149219221[Total costo])</f>
        <v>2646</v>
      </c>
      <c r="H33" s="4"/>
      <c r="I33" s="5" t="s">
        <v>9</v>
      </c>
      <c r="J33" s="12">
        <f>+J31+J32</f>
        <v>2778.3</v>
      </c>
    </row>
    <row r="34" spans="1:10" x14ac:dyDescent="0.3">
      <c r="H34" s="4"/>
      <c r="I34" s="17" t="s">
        <v>10</v>
      </c>
      <c r="J34" s="18">
        <v>2500</v>
      </c>
    </row>
    <row r="35" spans="1:10" x14ac:dyDescent="0.3">
      <c r="H35" s="4"/>
      <c r="I35" s="5" t="s">
        <v>11</v>
      </c>
      <c r="J35" s="12">
        <f>+J34/1.08*0.08</f>
        <v>185.18518518518519</v>
      </c>
    </row>
    <row r="36" spans="1:10" x14ac:dyDescent="0.3">
      <c r="H36" s="4"/>
      <c r="I36" s="5" t="s">
        <v>12</v>
      </c>
      <c r="J36" s="12">
        <f>+J34-J35</f>
        <v>2314.8148148148148</v>
      </c>
    </row>
    <row r="37" spans="1:10" x14ac:dyDescent="0.3">
      <c r="H37" s="4"/>
      <c r="I37" s="5" t="s">
        <v>13</v>
      </c>
      <c r="J37" s="19">
        <f>+J33/J36</f>
        <v>1.2002256</v>
      </c>
    </row>
    <row r="38" spans="1:10" x14ac:dyDescent="0.3">
      <c r="H38" s="4"/>
      <c r="I38" s="5" t="s">
        <v>14</v>
      </c>
      <c r="J38" s="20">
        <f>+J36-J33</f>
        <v>-463.4851851851854</v>
      </c>
    </row>
    <row r="39" spans="1:10" x14ac:dyDescent="0.3">
      <c r="H39" s="4"/>
      <c r="I39" s="5" t="s">
        <v>15</v>
      </c>
      <c r="J39" s="22">
        <f>+J38/J33</f>
        <v>-0.16682330388553626</v>
      </c>
    </row>
    <row r="40" spans="1:10" x14ac:dyDescent="0.3">
      <c r="F40" s="4"/>
      <c r="G40" s="4"/>
      <c r="H40" s="23"/>
    </row>
    <row r="41" spans="1:10" x14ac:dyDescent="0.3">
      <c r="A41" s="1" t="s">
        <v>245</v>
      </c>
      <c r="B41" s="2"/>
      <c r="C41" s="2"/>
      <c r="D41" s="3"/>
      <c r="E41" s="3"/>
      <c r="F41" s="3"/>
      <c r="G41" s="3"/>
      <c r="H41" s="4"/>
      <c r="I41" s="277" t="s">
        <v>0</v>
      </c>
      <c r="J41" s="277"/>
    </row>
    <row r="42" spans="1:10" x14ac:dyDescent="0.3">
      <c r="A42" s="13" t="s">
        <v>1</v>
      </c>
      <c r="B42" s="14" t="s">
        <v>2</v>
      </c>
      <c r="C42" s="14" t="s">
        <v>3</v>
      </c>
      <c r="D42" s="14" t="s">
        <v>343</v>
      </c>
      <c r="E42" s="14" t="s">
        <v>585</v>
      </c>
      <c r="F42" s="28" t="s">
        <v>4</v>
      </c>
      <c r="G42" s="28" t="s">
        <v>5</v>
      </c>
      <c r="H42" s="24"/>
      <c r="I42" s="5" t="s">
        <v>6</v>
      </c>
      <c r="J42" s="6">
        <f>SUM(Tabla1103453454455456479108135149219222[Total costo])</f>
        <v>867.62325959999998</v>
      </c>
    </row>
    <row r="43" spans="1:10" x14ac:dyDescent="0.3">
      <c r="A43" s="7" t="s">
        <v>528</v>
      </c>
      <c r="B43" s="8" t="s">
        <v>188</v>
      </c>
      <c r="C43" s="9">
        <v>180</v>
      </c>
      <c r="D43" s="9">
        <v>0</v>
      </c>
      <c r="E43" s="9">
        <v>180</v>
      </c>
      <c r="F43" s="10">
        <f>+VLOOKUP(Tabla1103453454455456479108135149219222[[#This Row],[Ingrediente]],Tabla34[#All],3,0)</f>
        <v>4.8201292200000001</v>
      </c>
      <c r="G43" s="11">
        <f>+Tabla1103453454455456479108135149219222[[#This Row],[Costo]]*Tabla1103453454455456479108135149219222[[#This Row],[Columna2]]</f>
        <v>867.62325959999998</v>
      </c>
      <c r="I43" s="5" t="s">
        <v>113</v>
      </c>
      <c r="J43" s="12">
        <f>+J42*5%</f>
        <v>43.381162979999999</v>
      </c>
    </row>
    <row r="44" spans="1:10" x14ac:dyDescent="0.3">
      <c r="A44" s="13"/>
      <c r="B44" s="14"/>
      <c r="C44" s="14"/>
      <c r="D44" s="14"/>
      <c r="E44" s="14"/>
      <c r="F44" s="15"/>
      <c r="G44" s="15">
        <f>SUBTOTAL(109,Tabla1103453454455456479108135149219222[Total costo])</f>
        <v>867.62325959999998</v>
      </c>
      <c r="I44" s="5" t="s">
        <v>9</v>
      </c>
      <c r="J44" s="12">
        <f>+J42+J43</f>
        <v>911.00442257999998</v>
      </c>
    </row>
    <row r="45" spans="1:10" x14ac:dyDescent="0.3">
      <c r="H45" s="4"/>
      <c r="I45" s="17" t="s">
        <v>10</v>
      </c>
      <c r="J45" s="18">
        <v>8000</v>
      </c>
    </row>
    <row r="46" spans="1:10" x14ac:dyDescent="0.3">
      <c r="H46" s="4"/>
      <c r="I46" s="5" t="s">
        <v>11</v>
      </c>
      <c r="J46" s="12">
        <f>+J45/1.08*0.08</f>
        <v>592.59259259259261</v>
      </c>
    </row>
    <row r="47" spans="1:10" x14ac:dyDescent="0.3">
      <c r="H47" s="4"/>
      <c r="I47" s="5" t="s">
        <v>12</v>
      </c>
      <c r="J47" s="12">
        <f>+J45-J46</f>
        <v>7407.4074074074069</v>
      </c>
    </row>
    <row r="48" spans="1:10" x14ac:dyDescent="0.3">
      <c r="H48" s="4"/>
      <c r="I48" s="5" t="s">
        <v>13</v>
      </c>
      <c r="J48" s="19">
        <f>+J44/J47</f>
        <v>0.1229855970483</v>
      </c>
    </row>
    <row r="49" spans="1:10" x14ac:dyDescent="0.3">
      <c r="H49" s="4"/>
      <c r="I49" s="5" t="s">
        <v>14</v>
      </c>
      <c r="J49" s="20">
        <f>+J47-J44</f>
        <v>6496.4029848274067</v>
      </c>
    </row>
    <row r="50" spans="1:10" x14ac:dyDescent="0.3">
      <c r="H50" s="4"/>
      <c r="I50" s="5" t="s">
        <v>15</v>
      </c>
      <c r="J50" s="22">
        <f>+J49/J44</f>
        <v>7.1310334218019937</v>
      </c>
    </row>
    <row r="51" spans="1:10" x14ac:dyDescent="0.3">
      <c r="F51" s="4"/>
      <c r="G51" s="4"/>
      <c r="H51" s="23"/>
    </row>
    <row r="52" spans="1:10" x14ac:dyDescent="0.3">
      <c r="F52" s="4"/>
      <c r="G52" s="4"/>
      <c r="H52" s="23"/>
    </row>
    <row r="53" spans="1:10" x14ac:dyDescent="0.3">
      <c r="F53" s="4"/>
      <c r="G53" s="24"/>
      <c r="H53" s="24"/>
    </row>
    <row r="54" spans="1:10" x14ac:dyDescent="0.3">
      <c r="A54" s="1" t="s">
        <v>712</v>
      </c>
      <c r="B54" s="2"/>
      <c r="C54" s="2"/>
      <c r="D54" s="3"/>
      <c r="E54" s="3"/>
      <c r="F54" s="3"/>
      <c r="G54" s="3"/>
      <c r="H54" s="4"/>
      <c r="I54" s="277" t="s">
        <v>0</v>
      </c>
      <c r="J54" s="277"/>
    </row>
    <row r="55" spans="1:10" x14ac:dyDescent="0.3">
      <c r="A55" s="13" t="s">
        <v>1</v>
      </c>
      <c r="B55" s="14" t="s">
        <v>2</v>
      </c>
      <c r="C55" s="14" t="s">
        <v>3</v>
      </c>
      <c r="D55" s="14" t="s">
        <v>343</v>
      </c>
      <c r="E55" s="14" t="s">
        <v>585</v>
      </c>
      <c r="F55" s="28" t="s">
        <v>4</v>
      </c>
      <c r="G55" s="28" t="s">
        <v>5</v>
      </c>
      <c r="H55" s="24"/>
      <c r="I55" s="5" t="s">
        <v>6</v>
      </c>
      <c r="J55" s="6">
        <f>SUM(Tabla1103453454455456479108135149219223[Total costo])</f>
        <v>5342.6057071000005</v>
      </c>
    </row>
    <row r="56" spans="1:10" x14ac:dyDescent="0.3">
      <c r="A56" s="7" t="s">
        <v>528</v>
      </c>
      <c r="B56" s="8" t="s">
        <v>188</v>
      </c>
      <c r="C56" s="9">
        <v>120</v>
      </c>
      <c r="D56" s="9">
        <v>0</v>
      </c>
      <c r="E56" s="9">
        <v>120</v>
      </c>
      <c r="F56" s="10">
        <f>+VLOOKUP(Tabla1103453454455456479108135149219223[[#This Row],[Ingrediente]],Tabla34[#All],3,0)</f>
        <v>4.8201292200000001</v>
      </c>
      <c r="G56" s="11">
        <f>+Tabla1103453454455456479108135149219223[[#This Row],[Costo]]*Tabla1103453454455456479108135149219223[[#This Row],[Columna2]]</f>
        <v>578.41550640000003</v>
      </c>
      <c r="I56" s="5" t="s">
        <v>113</v>
      </c>
      <c r="J56" s="12">
        <f>+J55*5%</f>
        <v>267.13028535500001</v>
      </c>
    </row>
    <row r="57" spans="1:10" x14ac:dyDescent="0.3">
      <c r="A57" s="7" t="s">
        <v>413</v>
      </c>
      <c r="B57" s="8" t="s">
        <v>188</v>
      </c>
      <c r="C57" s="9">
        <v>80</v>
      </c>
      <c r="D57" s="9">
        <v>0</v>
      </c>
      <c r="E57" s="9">
        <v>80</v>
      </c>
      <c r="F57" s="10">
        <f>+VLOOKUP(Tabla1103453454455456479108135149219223[[#This Row],[Ingrediente]],Tabla34[#All],3,0)</f>
        <v>17.00824742</v>
      </c>
      <c r="G57" s="11">
        <f>+Tabla1103453454455456479108135149219223[[#This Row],[Costo]]*Tabla1103453454455456479108135149219223[[#This Row],[Columna2]]</f>
        <v>1360.6597936000001</v>
      </c>
      <c r="I57" s="5" t="s">
        <v>9</v>
      </c>
      <c r="J57" s="12">
        <f>+J55+J56</f>
        <v>5609.7359924550001</v>
      </c>
    </row>
    <row r="58" spans="1:10" x14ac:dyDescent="0.3">
      <c r="A58" s="7" t="s">
        <v>527</v>
      </c>
      <c r="B58" s="8" t="s">
        <v>188</v>
      </c>
      <c r="C58" s="9">
        <v>60</v>
      </c>
      <c r="D58" s="9">
        <v>0</v>
      </c>
      <c r="E58" s="9">
        <v>60</v>
      </c>
      <c r="F58" s="10">
        <f>+VLOOKUP(Tabla1103453454455456479108135149219223[[#This Row],[Ingrediente]],Tabla34[#All],3,0)</f>
        <v>12.173055509999999</v>
      </c>
      <c r="G58" s="11">
        <f>+Tabla1103453454455456479108135149219223[[#This Row],[Costo]]*Tabla1103453454455456479108135149219223[[#This Row],[Columna2]]</f>
        <v>730.38333059999991</v>
      </c>
      <c r="H58" s="4"/>
      <c r="I58" s="17" t="s">
        <v>10</v>
      </c>
      <c r="J58" s="18"/>
    </row>
    <row r="59" spans="1:10" x14ac:dyDescent="0.3">
      <c r="A59" s="7" t="s">
        <v>420</v>
      </c>
      <c r="B59" s="8" t="s">
        <v>188</v>
      </c>
      <c r="C59" s="9">
        <v>20</v>
      </c>
      <c r="D59" s="9">
        <v>0</v>
      </c>
      <c r="E59" s="9">
        <v>20</v>
      </c>
      <c r="F59" s="10">
        <f>+VLOOKUP(Tabla1103453454455456479108135149219223[[#This Row],[Ingrediente]],Tabla34[#All],3,0)</f>
        <v>8.9250000000000007</v>
      </c>
      <c r="G59" s="11">
        <f>+Tabla1103453454455456479108135149219223[[#This Row],[Costo]]*Tabla1103453454455456479108135149219223[[#This Row],[Columna2]]</f>
        <v>178.5</v>
      </c>
      <c r="H59" s="4"/>
      <c r="I59" s="5" t="s">
        <v>11</v>
      </c>
      <c r="J59" s="12">
        <f>+J58/1.08*0.08</f>
        <v>0</v>
      </c>
    </row>
    <row r="60" spans="1:10" x14ac:dyDescent="0.3">
      <c r="A60" s="7" t="s">
        <v>90</v>
      </c>
      <c r="B60" s="8" t="s">
        <v>188</v>
      </c>
      <c r="C60" s="9">
        <v>30</v>
      </c>
      <c r="D60" s="9">
        <v>0</v>
      </c>
      <c r="E60" s="9">
        <v>30</v>
      </c>
      <c r="F60" s="10">
        <f>+VLOOKUP(Tabla1103453454455456479108135149219223[[#This Row],[Ingrediente]],Tabla34[#All],3,0)</f>
        <v>1.8699025499999999</v>
      </c>
      <c r="G60" s="11">
        <f>+Tabla1103453454455456479108135149219223[[#This Row],[Costo]]*Tabla1103453454455456479108135149219223[[#This Row],[Columna2]]</f>
        <v>56.0970765</v>
      </c>
      <c r="H60" s="4"/>
      <c r="I60" s="5" t="s">
        <v>12</v>
      </c>
      <c r="J60" s="12">
        <f>+J58-J59</f>
        <v>0</v>
      </c>
    </row>
    <row r="61" spans="1:10" x14ac:dyDescent="0.3">
      <c r="A61" s="7" t="s">
        <v>474</v>
      </c>
      <c r="B61" s="8" t="s">
        <v>188</v>
      </c>
      <c r="C61" s="9">
        <v>15</v>
      </c>
      <c r="D61" s="9">
        <v>0</v>
      </c>
      <c r="E61" s="9">
        <v>15</v>
      </c>
      <c r="F61" s="10">
        <f>+VLOOKUP(Tabla1103453454455456479108135149219223[[#This Row],[Ingrediente]],Tabla34[#All],3,0)</f>
        <v>40.594999999999999</v>
      </c>
      <c r="G61" s="11">
        <f>+Tabla1103453454455456479108135149219223[[#This Row],[Costo]]*Tabla1103453454455456479108135149219223[[#This Row],[Columna2]]</f>
        <v>608.92499999999995</v>
      </c>
      <c r="H61" s="4"/>
      <c r="I61" s="5" t="s">
        <v>13</v>
      </c>
      <c r="J61" s="19" t="e">
        <f>+J57/J60</f>
        <v>#DIV/0!</v>
      </c>
    </row>
    <row r="62" spans="1:10" x14ac:dyDescent="0.3">
      <c r="A62" s="7" t="s">
        <v>376</v>
      </c>
      <c r="B62" s="8" t="s">
        <v>188</v>
      </c>
      <c r="C62" s="9">
        <v>30</v>
      </c>
      <c r="D62" s="9">
        <v>0</v>
      </c>
      <c r="E62" s="9">
        <v>30</v>
      </c>
      <c r="F62" s="10">
        <f>+VLOOKUP(Tabla1103453454455456479108135149219223[[#This Row],[Ingrediente]],Tabla34[#All],3,0)</f>
        <v>60.98749999999999</v>
      </c>
      <c r="G62" s="11">
        <f>+Tabla1103453454455456479108135149219223[[#This Row],[Costo]]*Tabla1103453454455456479108135149219223[[#This Row],[Columna2]]</f>
        <v>1829.6249999999998</v>
      </c>
      <c r="H62" s="4"/>
      <c r="I62" s="5" t="s">
        <v>14</v>
      </c>
      <c r="J62" s="20">
        <f>+J60-J57</f>
        <v>-5609.7359924550001</v>
      </c>
    </row>
    <row r="63" spans="1:10" x14ac:dyDescent="0.3">
      <c r="A63" s="13"/>
      <c r="B63" s="14"/>
      <c r="C63" s="14"/>
      <c r="D63" s="14"/>
      <c r="E63" s="14"/>
      <c r="F63" s="15"/>
      <c r="G63" s="15">
        <f>SUBTOTAL(109,Tabla1103453454455456479108135149219223[Total costo])</f>
        <v>5342.6057071000005</v>
      </c>
      <c r="H63" s="4"/>
      <c r="I63" s="5" t="s">
        <v>15</v>
      </c>
      <c r="J63" s="22">
        <f>+J62/J57</f>
        <v>-1</v>
      </c>
    </row>
    <row r="64" spans="1:10" x14ac:dyDescent="0.3">
      <c r="F64" s="4"/>
      <c r="G64" s="4"/>
      <c r="H64" s="23"/>
    </row>
    <row r="65" spans="1:10" x14ac:dyDescent="0.3">
      <c r="F65" s="4"/>
      <c r="G65" s="4"/>
      <c r="H65" s="23"/>
    </row>
    <row r="66" spans="1:10" x14ac:dyDescent="0.3">
      <c r="A66" s="1" t="s">
        <v>159</v>
      </c>
      <c r="B66" s="2"/>
      <c r="C66" s="2"/>
      <c r="D66" s="3"/>
      <c r="E66" s="3"/>
      <c r="F66" s="3"/>
      <c r="G66" s="3"/>
      <c r="H66" s="4"/>
      <c r="I66" s="277" t="s">
        <v>0</v>
      </c>
      <c r="J66" s="277"/>
    </row>
    <row r="67" spans="1:10" x14ac:dyDescent="0.3">
      <c r="A67" s="13" t="s">
        <v>1</v>
      </c>
      <c r="B67" s="14" t="s">
        <v>2</v>
      </c>
      <c r="C67" s="14" t="s">
        <v>3</v>
      </c>
      <c r="D67" s="14" t="s">
        <v>343</v>
      </c>
      <c r="E67" s="14" t="s">
        <v>585</v>
      </c>
      <c r="F67" s="28" t="s">
        <v>4</v>
      </c>
      <c r="G67" s="28" t="s">
        <v>5</v>
      </c>
      <c r="H67" s="4"/>
      <c r="I67" s="5" t="s">
        <v>6</v>
      </c>
      <c r="J67" s="6">
        <f>SUM(Tabla1103453454455456479108135149219224[Total costo])</f>
        <v>3399.9999999700003</v>
      </c>
    </row>
    <row r="68" spans="1:10" x14ac:dyDescent="0.3">
      <c r="A68" s="7" t="s">
        <v>373</v>
      </c>
      <c r="B68" s="8" t="s">
        <v>570</v>
      </c>
      <c r="C68" s="9">
        <v>7</v>
      </c>
      <c r="D68" s="9">
        <v>0</v>
      </c>
      <c r="E68" s="9">
        <v>7</v>
      </c>
      <c r="F68" s="10">
        <f>+VLOOKUP(Tabla1103453454455456479108135149219224[[#This Row],[Ingrediente]],Tabla34[#All],3,0)</f>
        <v>485.71428571000001</v>
      </c>
      <c r="G68" s="11">
        <f>+Tabla1103453454455456479108135149219224[[#This Row],[Costo]]*Tabla1103453454455456479108135149219224[[#This Row],[Cant.]]</f>
        <v>3399.9999999700003</v>
      </c>
      <c r="H68" s="4"/>
      <c r="I68" s="5" t="s">
        <v>113</v>
      </c>
      <c r="J68" s="12">
        <f>+J67*5%</f>
        <v>169.99999999850002</v>
      </c>
    </row>
    <row r="69" spans="1:10" x14ac:dyDescent="0.3">
      <c r="A69" s="13"/>
      <c r="B69" s="14"/>
      <c r="C69" s="14"/>
      <c r="D69" s="14"/>
      <c r="E69" s="14"/>
      <c r="F69" s="15"/>
      <c r="G69" s="15">
        <f>SUBTOTAL(109,Tabla1103453454455456479108135149219224[Total costo])</f>
        <v>3399.9999999700003</v>
      </c>
      <c r="H69" s="4"/>
      <c r="I69" s="5" t="s">
        <v>9</v>
      </c>
      <c r="J69" s="12">
        <f>+J67+J68</f>
        <v>3569.9999999685006</v>
      </c>
    </row>
    <row r="70" spans="1:10" x14ac:dyDescent="0.3">
      <c r="H70" s="24"/>
      <c r="I70" s="17" t="s">
        <v>10</v>
      </c>
      <c r="J70" s="18">
        <v>10000</v>
      </c>
    </row>
    <row r="71" spans="1:10" x14ac:dyDescent="0.3">
      <c r="I71" s="5" t="s">
        <v>11</v>
      </c>
      <c r="J71" s="12">
        <f>+J70/1.08*0.08</f>
        <v>740.74074074074076</v>
      </c>
    </row>
    <row r="72" spans="1:10" x14ac:dyDescent="0.3">
      <c r="I72" s="5" t="s">
        <v>12</v>
      </c>
      <c r="J72" s="12">
        <f>+J70-J71</f>
        <v>9259.2592592592591</v>
      </c>
    </row>
    <row r="73" spans="1:10" x14ac:dyDescent="0.3">
      <c r="I73" s="5" t="s">
        <v>13</v>
      </c>
      <c r="J73" s="19">
        <f>+J69/J72</f>
        <v>0.38555999999659807</v>
      </c>
    </row>
    <row r="74" spans="1:10" x14ac:dyDescent="0.3">
      <c r="H74" s="4"/>
      <c r="I74" s="5" t="s">
        <v>14</v>
      </c>
      <c r="J74" s="20">
        <f>+J72-J69</f>
        <v>5689.2592592907586</v>
      </c>
    </row>
    <row r="75" spans="1:10" x14ac:dyDescent="0.3">
      <c r="H75" s="4"/>
      <c r="I75" s="5" t="s">
        <v>15</v>
      </c>
      <c r="J75" s="22">
        <f>+J74/J69</f>
        <v>1.5936300446333214</v>
      </c>
    </row>
    <row r="76" spans="1:10" x14ac:dyDescent="0.3">
      <c r="G76" s="4"/>
      <c r="H76" s="23"/>
    </row>
    <row r="77" spans="1:10" x14ac:dyDescent="0.3">
      <c r="F77" s="4"/>
      <c r="G77" s="4"/>
      <c r="H77" s="23"/>
    </row>
    <row r="78" spans="1:10" x14ac:dyDescent="0.3">
      <c r="G78" s="4"/>
      <c r="H78" s="23"/>
    </row>
    <row r="79" spans="1:10" x14ac:dyDescent="0.3">
      <c r="F79" s="4"/>
      <c r="G79" s="4"/>
      <c r="H79" s="23"/>
    </row>
    <row r="80" spans="1:10" x14ac:dyDescent="0.3">
      <c r="A80" s="1" t="s">
        <v>713</v>
      </c>
      <c r="B80" s="2"/>
      <c r="C80" s="2"/>
      <c r="D80" s="3"/>
      <c r="E80" s="3"/>
      <c r="F80" s="3"/>
      <c r="G80" s="3"/>
      <c r="H80" s="4"/>
      <c r="I80" s="277" t="s">
        <v>0</v>
      </c>
      <c r="J80" s="277"/>
    </row>
    <row r="81" spans="1:10" x14ac:dyDescent="0.3">
      <c r="A81" s="13" t="s">
        <v>1</v>
      </c>
      <c r="B81" s="14" t="s">
        <v>2</v>
      </c>
      <c r="C81" s="14" t="s">
        <v>3</v>
      </c>
      <c r="D81" s="14" t="s">
        <v>343</v>
      </c>
      <c r="E81" s="14" t="s">
        <v>585</v>
      </c>
      <c r="F81" s="28" t="s">
        <v>4</v>
      </c>
      <c r="G81" s="28" t="s">
        <v>5</v>
      </c>
      <c r="H81" s="24"/>
      <c r="I81" s="5" t="s">
        <v>6</v>
      </c>
      <c r="J81" s="6">
        <f>SUM(Tabla1103453454455456479108135149219226227229230[Total costo])</f>
        <v>1190.8930189999999</v>
      </c>
    </row>
    <row r="82" spans="1:10" x14ac:dyDescent="0.3">
      <c r="A82" s="7" t="s">
        <v>662</v>
      </c>
      <c r="B82" s="8" t="s">
        <v>188</v>
      </c>
      <c r="C82" s="9">
        <v>100</v>
      </c>
      <c r="D82" s="9">
        <v>0</v>
      </c>
      <c r="E82" s="9">
        <v>100</v>
      </c>
      <c r="F82" s="10">
        <f>+VLOOKUP(Tabla1103453454455456479108135149219226227229230[[#This Row],[Ingrediente]],Tabla34[#All],3,0)</f>
        <v>11.90893019</v>
      </c>
      <c r="G82" s="11">
        <f>+Tabla1103453454455456479108135149219226227229230[[#This Row],[Costo]]*Tabla1103453454455456479108135149219226227229230[[#This Row],[Columna2]]</f>
        <v>1190.8930189999999</v>
      </c>
      <c r="I82" s="5" t="s">
        <v>113</v>
      </c>
      <c r="J82" s="12">
        <f>+J81*5%</f>
        <v>59.544650949999998</v>
      </c>
    </row>
    <row r="83" spans="1:10" x14ac:dyDescent="0.3">
      <c r="A83" s="13"/>
      <c r="B83" s="14"/>
      <c r="C83" s="14"/>
      <c r="D83" s="14"/>
      <c r="E83" s="14"/>
      <c r="F83" s="15"/>
      <c r="G83" s="15">
        <f>SUBTOTAL(109,Tabla1103453454455456479108135149219226227229230[Total costo])</f>
        <v>1190.8930189999999</v>
      </c>
      <c r="I83" s="5" t="s">
        <v>9</v>
      </c>
      <c r="J83" s="12">
        <f>+J81+J82</f>
        <v>1250.4376699499999</v>
      </c>
    </row>
    <row r="84" spans="1:10" x14ac:dyDescent="0.3">
      <c r="I84" s="17" t="s">
        <v>10</v>
      </c>
      <c r="J84" s="18">
        <v>5000</v>
      </c>
    </row>
    <row r="85" spans="1:10" x14ac:dyDescent="0.3">
      <c r="H85" s="4"/>
      <c r="I85" s="5" t="s">
        <v>11</v>
      </c>
      <c r="J85" s="12">
        <f>+J84/1.08*0.08</f>
        <v>370.37037037037038</v>
      </c>
    </row>
    <row r="86" spans="1:10" x14ac:dyDescent="0.3">
      <c r="H86" s="4"/>
      <c r="I86" s="5" t="s">
        <v>12</v>
      </c>
      <c r="J86" s="12">
        <f>+J84-J85</f>
        <v>4629.6296296296296</v>
      </c>
    </row>
    <row r="87" spans="1:10" x14ac:dyDescent="0.3">
      <c r="H87" s="4"/>
      <c r="I87" s="5" t="s">
        <v>13</v>
      </c>
      <c r="J87" s="19">
        <f>+J83/J86</f>
        <v>0.27009453670919997</v>
      </c>
    </row>
    <row r="88" spans="1:10" x14ac:dyDescent="0.3">
      <c r="H88" s="4"/>
      <c r="I88" s="5" t="s">
        <v>14</v>
      </c>
      <c r="J88" s="20">
        <f>+J86-J83</f>
        <v>3379.1919596796297</v>
      </c>
    </row>
    <row r="89" spans="1:10" x14ac:dyDescent="0.3">
      <c r="H89" s="4"/>
      <c r="I89" s="5" t="s">
        <v>15</v>
      </c>
      <c r="J89" s="22">
        <f>+J88/J83</f>
        <v>2.7024073577491876</v>
      </c>
    </row>
    <row r="90" spans="1:10" x14ac:dyDescent="0.3">
      <c r="F90" s="4"/>
      <c r="G90" s="4"/>
      <c r="H90" s="23"/>
    </row>
    <row r="91" spans="1:10" x14ac:dyDescent="0.3">
      <c r="F91" s="4"/>
    </row>
    <row r="92" spans="1:10" x14ac:dyDescent="0.3">
      <c r="A92" s="1" t="s">
        <v>714</v>
      </c>
      <c r="B92" s="2"/>
      <c r="C92" s="2"/>
      <c r="D92" s="3"/>
      <c r="E92" s="3"/>
      <c r="F92" s="3"/>
      <c r="G92" s="3"/>
      <c r="H92" s="4"/>
      <c r="I92" s="277" t="s">
        <v>0</v>
      </c>
      <c r="J92" s="277"/>
    </row>
    <row r="93" spans="1:10" x14ac:dyDescent="0.3">
      <c r="A93" s="13" t="s">
        <v>1</v>
      </c>
      <c r="B93" s="14" t="s">
        <v>2</v>
      </c>
      <c r="C93" s="14" t="s">
        <v>3</v>
      </c>
      <c r="D93" s="14" t="s">
        <v>343</v>
      </c>
      <c r="E93" s="14" t="s">
        <v>585</v>
      </c>
      <c r="F93" s="28" t="s">
        <v>4</v>
      </c>
      <c r="G93" s="28" t="s">
        <v>5</v>
      </c>
      <c r="H93" s="4"/>
      <c r="I93" s="5" t="s">
        <v>6</v>
      </c>
      <c r="J93" s="6">
        <f>SUM(Tabla110345345445545647910813514921922622722923023385[Total costo])</f>
        <v>159.08487395</v>
      </c>
    </row>
    <row r="94" spans="1:10" x14ac:dyDescent="0.3">
      <c r="A94" s="7" t="s">
        <v>414</v>
      </c>
      <c r="B94" s="8" t="s">
        <v>188</v>
      </c>
      <c r="C94" s="9">
        <v>5</v>
      </c>
      <c r="D94" s="9">
        <v>0</v>
      </c>
      <c r="E94" s="9">
        <v>5</v>
      </c>
      <c r="F94" s="10">
        <f>+VLOOKUP(Tabla110345345445545647910813514921922622722923023385[[#This Row],[Ingrediente]],Tabla34[#All],3,0)</f>
        <v>31.81697479</v>
      </c>
      <c r="G94" s="11">
        <f>+Tabla110345345445545647910813514921922622722923023385[[#This Row],[Costo]]*Tabla110345345445545647910813514921922622722923023385[[#This Row],[Cant.]]</f>
        <v>159.08487395</v>
      </c>
      <c r="H94" s="24"/>
      <c r="I94" s="5" t="s">
        <v>113</v>
      </c>
      <c r="J94" s="12">
        <f>+J93*5%</f>
        <v>7.9542436975000008</v>
      </c>
    </row>
    <row r="95" spans="1:10" x14ac:dyDescent="0.3">
      <c r="A95" s="13"/>
      <c r="B95" s="14"/>
      <c r="C95" s="14"/>
      <c r="D95" s="14"/>
      <c r="E95" s="14"/>
      <c r="F95" s="15"/>
      <c r="G95" s="15">
        <f>SUBTOTAL(109,Tabla110345345445545647910813514921922622722923023385[Total costo])</f>
        <v>159.08487395</v>
      </c>
      <c r="H95" s="4"/>
      <c r="I95" s="5" t="s">
        <v>9</v>
      </c>
      <c r="J95" s="12">
        <f>+J93+J94</f>
        <v>167.03911764750001</v>
      </c>
    </row>
    <row r="96" spans="1:10" x14ac:dyDescent="0.3">
      <c r="H96" s="4"/>
      <c r="I96" s="17" t="s">
        <v>10</v>
      </c>
      <c r="J96" s="18">
        <v>4900</v>
      </c>
    </row>
    <row r="97" spans="1:10" x14ac:dyDescent="0.3">
      <c r="H97" s="4"/>
      <c r="I97" s="5" t="s">
        <v>11</v>
      </c>
      <c r="J97" s="12">
        <f>+J96/1.08*0.08</f>
        <v>362.96296296296293</v>
      </c>
    </row>
    <row r="98" spans="1:10" x14ac:dyDescent="0.3">
      <c r="H98" s="4"/>
      <c r="I98" s="5" t="s">
        <v>12</v>
      </c>
      <c r="J98" s="12">
        <f>+J96-J97</f>
        <v>4537.0370370370374</v>
      </c>
    </row>
    <row r="99" spans="1:10" x14ac:dyDescent="0.3">
      <c r="H99" s="4"/>
      <c r="I99" s="5" t="s">
        <v>13</v>
      </c>
      <c r="J99" s="19">
        <f>+J95/J98</f>
        <v>3.6816785114142853E-2</v>
      </c>
    </row>
    <row r="100" spans="1:10" x14ac:dyDescent="0.3">
      <c r="H100" s="4"/>
      <c r="I100" s="5" t="s">
        <v>14</v>
      </c>
      <c r="J100" s="20">
        <f>+J98-J95</f>
        <v>4369.9979193895379</v>
      </c>
    </row>
    <row r="101" spans="1:10" x14ac:dyDescent="0.3">
      <c r="H101" s="4"/>
      <c r="I101" s="5" t="s">
        <v>15</v>
      </c>
      <c r="J101" s="22">
        <f>+J100/J95</f>
        <v>26.161524204237448</v>
      </c>
    </row>
    <row r="102" spans="1:10" x14ac:dyDescent="0.3">
      <c r="F102" s="4"/>
    </row>
    <row r="103" spans="1:10" x14ac:dyDescent="0.3">
      <c r="F103" s="4"/>
    </row>
    <row r="104" spans="1:10" x14ac:dyDescent="0.3">
      <c r="F104" s="4"/>
    </row>
    <row r="105" spans="1:10" x14ac:dyDescent="0.3">
      <c r="F105" s="4"/>
    </row>
    <row r="106" spans="1:10" x14ac:dyDescent="0.3">
      <c r="F106" s="4"/>
    </row>
    <row r="107" spans="1:10" x14ac:dyDescent="0.3">
      <c r="H107" s="4"/>
    </row>
    <row r="108" spans="1:10" x14ac:dyDescent="0.3">
      <c r="A108" s="1" t="s">
        <v>252</v>
      </c>
      <c r="B108" s="2"/>
      <c r="C108" s="2"/>
      <c r="D108" s="3"/>
      <c r="E108" s="3"/>
      <c r="F108" s="3"/>
      <c r="G108" s="3"/>
      <c r="H108" s="4"/>
      <c r="I108" s="277" t="s">
        <v>0</v>
      </c>
      <c r="J108" s="277"/>
    </row>
    <row r="109" spans="1:10" x14ac:dyDescent="0.3">
      <c r="A109" s="13" t="s">
        <v>1</v>
      </c>
      <c r="B109" s="14" t="s">
        <v>2</v>
      </c>
      <c r="C109" s="14" t="s">
        <v>3</v>
      </c>
      <c r="D109" s="14" t="s">
        <v>343</v>
      </c>
      <c r="E109" s="14" t="s">
        <v>585</v>
      </c>
      <c r="F109" s="28" t="s">
        <v>4</v>
      </c>
      <c r="G109" s="28" t="s">
        <v>5</v>
      </c>
      <c r="H109" s="4"/>
      <c r="I109" s="5" t="s">
        <v>6</v>
      </c>
      <c r="J109" s="6">
        <f>SUM(Tabla1103453454455456479108135149219226227229230233859598[Total costo])</f>
        <v>4920.8029999999999</v>
      </c>
    </row>
    <row r="110" spans="1:10" x14ac:dyDescent="0.3">
      <c r="A110" s="7" t="s">
        <v>103</v>
      </c>
      <c r="B110" s="8" t="s">
        <v>570</v>
      </c>
      <c r="C110" s="9">
        <v>1</v>
      </c>
      <c r="D110" s="9">
        <v>0</v>
      </c>
      <c r="E110" s="9">
        <v>1</v>
      </c>
      <c r="F110" s="10">
        <f>+VLOOKUP(Tabla1103453454455456479108135149219226227229230233859598[[#This Row],[Ingrediente]],Tabla34[#All],3,0)</f>
        <v>4920.8029999999999</v>
      </c>
      <c r="G110" s="11">
        <f>+Tabla1103453454455456479108135149219226227229230233859598[[#This Row],[Costo]]*Tabla1103453454455456479108135149219226227229230233859598[[#This Row],[Cant.]]</f>
        <v>4920.8029999999999</v>
      </c>
      <c r="H110" s="4"/>
      <c r="I110" s="5" t="s">
        <v>113</v>
      </c>
      <c r="J110" s="12">
        <f>+J109*5%</f>
        <v>246.04015000000001</v>
      </c>
    </row>
    <row r="111" spans="1:10" x14ac:dyDescent="0.3">
      <c r="A111" s="13"/>
      <c r="B111" s="14"/>
      <c r="C111" s="14"/>
      <c r="D111" s="14"/>
      <c r="E111" s="14"/>
      <c r="F111" s="15"/>
      <c r="G111" s="15">
        <f>SUBTOTAL(109,Tabla1103453454455456479108135149219226227229230233859598[Total costo])</f>
        <v>4920.8029999999999</v>
      </c>
      <c r="H111" s="4"/>
      <c r="I111" s="5" t="s">
        <v>9</v>
      </c>
      <c r="J111" s="12">
        <f>+J109+J110</f>
        <v>5166.8431499999997</v>
      </c>
    </row>
    <row r="112" spans="1:10" x14ac:dyDescent="0.3">
      <c r="H112" s="4"/>
      <c r="I112" s="17" t="s">
        <v>10</v>
      </c>
      <c r="J112" s="18">
        <v>35000</v>
      </c>
    </row>
    <row r="113" spans="1:10" x14ac:dyDescent="0.3">
      <c r="H113" s="4"/>
      <c r="I113" s="5" t="s">
        <v>11</v>
      </c>
      <c r="J113" s="12">
        <f>+J112/1.08*0.08</f>
        <v>2592.5925925925926</v>
      </c>
    </row>
    <row r="114" spans="1:10" x14ac:dyDescent="0.3">
      <c r="H114" s="4"/>
      <c r="I114" s="5" t="s">
        <v>12</v>
      </c>
      <c r="J114" s="12">
        <f>+J112-J113</f>
        <v>32407.407407407409</v>
      </c>
    </row>
    <row r="115" spans="1:10" x14ac:dyDescent="0.3">
      <c r="H115" s="4"/>
      <c r="I115" s="5" t="s">
        <v>13</v>
      </c>
      <c r="J115" s="19">
        <f>+J111/J114</f>
        <v>0.15943401719999997</v>
      </c>
    </row>
    <row r="116" spans="1:10" x14ac:dyDescent="0.3">
      <c r="H116" s="4"/>
      <c r="I116" s="5" t="s">
        <v>14</v>
      </c>
      <c r="J116" s="20">
        <f>+J114-J111</f>
        <v>27240.564257407408</v>
      </c>
    </row>
    <row r="117" spans="1:10" x14ac:dyDescent="0.3">
      <c r="I117" s="5" t="s">
        <v>15</v>
      </c>
      <c r="J117" s="22">
        <f>+J116/J111</f>
        <v>5.2721871879171349</v>
      </c>
    </row>
    <row r="119" spans="1:10" x14ac:dyDescent="0.3">
      <c r="H119" s="4"/>
    </row>
    <row r="120" spans="1:10" x14ac:dyDescent="0.3">
      <c r="A120" s="1" t="s">
        <v>715</v>
      </c>
      <c r="B120" s="2"/>
      <c r="C120" s="2"/>
      <c r="D120" s="3"/>
      <c r="E120" s="3"/>
      <c r="F120" s="99"/>
      <c r="G120" s="99"/>
      <c r="H120" s="4"/>
      <c r="I120" s="277" t="s">
        <v>0</v>
      </c>
      <c r="J120" s="277"/>
    </row>
    <row r="121" spans="1:10" x14ac:dyDescent="0.3">
      <c r="A121" s="13" t="s">
        <v>1</v>
      </c>
      <c r="B121" s="14" t="s">
        <v>2</v>
      </c>
      <c r="C121" s="14" t="s">
        <v>3</v>
      </c>
      <c r="D121" s="14" t="s">
        <v>343</v>
      </c>
      <c r="E121" s="14" t="s">
        <v>585</v>
      </c>
      <c r="F121" s="28" t="s">
        <v>4</v>
      </c>
      <c r="G121" s="28" t="s">
        <v>5</v>
      </c>
      <c r="H121" s="4"/>
      <c r="I121" s="5" t="s">
        <v>6</v>
      </c>
      <c r="J121" s="6">
        <f>SUM(Tabla1103453454455456479108135149219226227229230233859599[Total costo])</f>
        <v>1916.2085525</v>
      </c>
    </row>
    <row r="122" spans="1:10" x14ac:dyDescent="0.3">
      <c r="A122" s="7" t="s">
        <v>346</v>
      </c>
      <c r="B122" s="8" t="s">
        <v>188</v>
      </c>
      <c r="C122" s="9">
        <v>9.9999999000000006</v>
      </c>
      <c r="D122" s="9">
        <v>10</v>
      </c>
      <c r="E122" s="9">
        <v>11.111110999999999</v>
      </c>
      <c r="F122" s="10">
        <f>+VLOOKUP(Tabla1103453454455456479108135149219226227229230233859599[[#This Row],[Ingrediente]],Tabla34[#All],3,0)</f>
        <v>2.7000000000000006</v>
      </c>
      <c r="G122" s="11">
        <f>+Tabla1103453454455456479108135149219226227229230233859599[[#This Row],[Costo]]*Tabla1103453454455456479108135149219226227229230233859599[[#This Row],[Columna2]]</f>
        <v>29.999999700000004</v>
      </c>
      <c r="H122" s="4"/>
      <c r="I122" s="5" t="s">
        <v>113</v>
      </c>
      <c r="J122" s="12">
        <f>+J121*5%</f>
        <v>95.810427625000003</v>
      </c>
    </row>
    <row r="123" spans="1:10" x14ac:dyDescent="0.3">
      <c r="A123" s="7" t="s">
        <v>458</v>
      </c>
      <c r="B123" s="8" t="s">
        <v>188</v>
      </c>
      <c r="C123" s="9">
        <v>14.9999994</v>
      </c>
      <c r="D123" s="9">
        <v>10</v>
      </c>
      <c r="E123" s="9">
        <v>16.666665999999999</v>
      </c>
      <c r="F123" s="10">
        <f>+VLOOKUP(Tabla1103453454455456479108135149219226227229230233859599[[#This Row],[Ingrediente]],Tabla34[#All],3,0)</f>
        <v>5</v>
      </c>
      <c r="G123" s="11">
        <f>+Tabla1103453454455456479108135149219226227229230233859599[[#This Row],[Costo]]*Tabla1103453454455456479108135149219226227229230233859599[[#This Row],[Columna2]]</f>
        <v>83.333329999999989</v>
      </c>
      <c r="H123" s="4"/>
      <c r="I123" s="5" t="s">
        <v>9</v>
      </c>
      <c r="J123" s="12">
        <f>+J121+J122</f>
        <v>2012.0189801250001</v>
      </c>
    </row>
    <row r="124" spans="1:10" x14ac:dyDescent="0.3">
      <c r="A124" s="7" t="s">
        <v>950</v>
      </c>
      <c r="B124" s="8" t="s">
        <v>188</v>
      </c>
      <c r="C124" s="9">
        <v>20</v>
      </c>
      <c r="D124" s="9">
        <v>0</v>
      </c>
      <c r="E124" s="9">
        <v>20</v>
      </c>
      <c r="F124" s="10">
        <f>+VLOOKUP(Tabla1103453454455456479108135149219226227229230233859599[[#This Row],[Ingrediente]],Tabla34[#All],3,0)</f>
        <v>24.143761040000001</v>
      </c>
      <c r="G124" s="11">
        <f>+Tabla1103453454455456479108135149219226227229230233859599[[#This Row],[Costo]]*Tabla1103453454455456479108135149219226227229230233859599[[#This Row],[Columna2]]</f>
        <v>482.87522080000002</v>
      </c>
      <c r="H124" s="4"/>
      <c r="I124" s="17" t="s">
        <v>10</v>
      </c>
      <c r="J124" s="18">
        <v>5500</v>
      </c>
    </row>
    <row r="125" spans="1:10" x14ac:dyDescent="0.3">
      <c r="A125" s="7" t="s">
        <v>456</v>
      </c>
      <c r="B125" s="8" t="s">
        <v>188</v>
      </c>
      <c r="C125" s="9">
        <v>30</v>
      </c>
      <c r="D125" s="9">
        <v>0</v>
      </c>
      <c r="E125" s="9">
        <v>30</v>
      </c>
      <c r="F125" s="10">
        <f>+VLOOKUP(Tabla1103453454455456479108135149219226227229230233859599[[#This Row],[Ingrediente]],Tabla34[#All],3,0)</f>
        <v>24</v>
      </c>
      <c r="G125" s="11">
        <f>+Tabla1103453454455456479108135149219226227229230233859599[[#This Row],[Costo]]*Tabla1103453454455456479108135149219226227229230233859599[[#This Row],[Columna2]]</f>
        <v>720</v>
      </c>
      <c r="H125" s="4"/>
      <c r="I125" s="5" t="s">
        <v>11</v>
      </c>
      <c r="J125" s="12">
        <f>+J124/1.08*0.08</f>
        <v>407.40740740740739</v>
      </c>
    </row>
    <row r="126" spans="1:10" x14ac:dyDescent="0.3">
      <c r="A126" s="7" t="s">
        <v>406</v>
      </c>
      <c r="B126" s="8" t="s">
        <v>188</v>
      </c>
      <c r="C126" s="9">
        <v>30.000000100000001</v>
      </c>
      <c r="D126" s="9">
        <v>30</v>
      </c>
      <c r="E126" s="9">
        <v>42.857143000000001</v>
      </c>
      <c r="F126" s="10">
        <f>+VLOOKUP(Tabla1103453454455456479108135149219226227229230233859599[[#This Row],[Ingrediente]],Tabla34[#All],3,0)</f>
        <v>14</v>
      </c>
      <c r="G126" s="11">
        <f>+Tabla1103453454455456479108135149219226227229230233859599[[#This Row],[Costo]]*Tabla1103453454455456479108135149219226227229230233859599[[#This Row],[Columna2]]</f>
        <v>600.00000199999999</v>
      </c>
      <c r="H126" s="4"/>
      <c r="I126" s="5" t="s">
        <v>12</v>
      </c>
      <c r="J126" s="12">
        <f>+J124-J125</f>
        <v>5092.5925925925931</v>
      </c>
    </row>
    <row r="127" spans="1:10" x14ac:dyDescent="0.3">
      <c r="A127" s="13"/>
      <c r="B127" s="14"/>
      <c r="C127" s="14"/>
      <c r="D127" s="14"/>
      <c r="E127" s="14"/>
      <c r="F127" s="15"/>
      <c r="G127" s="15">
        <f>SUBTOTAL(109,Tabla1103453454455456479108135149219226227229230233859599[Total costo])</f>
        <v>1916.2085525</v>
      </c>
      <c r="H127" s="4"/>
      <c r="I127" s="5" t="s">
        <v>13</v>
      </c>
      <c r="J127" s="19">
        <f>+J123/J126</f>
        <v>0.39508736337</v>
      </c>
    </row>
    <row r="128" spans="1:10" x14ac:dyDescent="0.3">
      <c r="H128" s="4"/>
      <c r="I128" s="5" t="s">
        <v>14</v>
      </c>
      <c r="J128" s="20">
        <f>+J126-J123</f>
        <v>3080.5736124675932</v>
      </c>
    </row>
    <row r="129" spans="1:10" x14ac:dyDescent="0.3">
      <c r="I129" s="5" t="s">
        <v>15</v>
      </c>
      <c r="J129" s="22">
        <f>+J128/J123</f>
        <v>1.5310857615648374</v>
      </c>
    </row>
    <row r="134" spans="1:10" x14ac:dyDescent="0.3">
      <c r="H134" s="4"/>
      <c r="I134" s="277" t="s">
        <v>0</v>
      </c>
      <c r="J134" s="277"/>
    </row>
    <row r="135" spans="1:10" x14ac:dyDescent="0.3">
      <c r="A135" s="1" t="s">
        <v>161</v>
      </c>
      <c r="B135" s="2"/>
      <c r="C135" s="2"/>
      <c r="D135" s="3"/>
      <c r="E135" s="3"/>
      <c r="F135" s="3"/>
      <c r="G135" s="3"/>
      <c r="H135" s="4"/>
      <c r="I135" s="5" t="s">
        <v>6</v>
      </c>
      <c r="J135" s="6">
        <f>SUM(Tabla11034534544554564791081351492192262272292302338595100[Total costo])</f>
        <v>2066.6666149999996</v>
      </c>
    </row>
    <row r="136" spans="1:10" x14ac:dyDescent="0.3">
      <c r="A136" s="13" t="s">
        <v>1</v>
      </c>
      <c r="B136" s="14" t="s">
        <v>2</v>
      </c>
      <c r="C136" s="14" t="s">
        <v>3</v>
      </c>
      <c r="D136" s="14" t="s">
        <v>343</v>
      </c>
      <c r="E136" s="14" t="s">
        <v>585</v>
      </c>
      <c r="F136" s="28" t="s">
        <v>4</v>
      </c>
      <c r="G136" s="28" t="s">
        <v>5</v>
      </c>
      <c r="H136" s="4"/>
      <c r="I136" s="5" t="s">
        <v>113</v>
      </c>
      <c r="J136" s="12">
        <f>+J135*5%</f>
        <v>103.33333074999999</v>
      </c>
    </row>
    <row r="137" spans="1:10" x14ac:dyDescent="0.3">
      <c r="A137" s="7" t="s">
        <v>386</v>
      </c>
      <c r="B137" s="8" t="s">
        <v>188</v>
      </c>
      <c r="C137" s="9">
        <v>119.99999699999999</v>
      </c>
      <c r="D137" s="9">
        <v>10</v>
      </c>
      <c r="E137" s="9">
        <v>133.33332999999999</v>
      </c>
      <c r="F137" s="10">
        <f>+VLOOKUP(Tabla11034534544554564791081351492192262272292302338595100[[#This Row],[Ingrediente]],Tabla34[#All],3,0)</f>
        <v>15.5</v>
      </c>
      <c r="G137" s="11">
        <f>+Tabla11034534544554564791081351492192262272292302338595100[[#This Row],[Costo]]*Tabla11034534544554564791081351492192262272292302338595100[[#This Row],[Columna2]]</f>
        <v>2066.6666149999996</v>
      </c>
      <c r="H137" s="4"/>
      <c r="I137" s="5" t="s">
        <v>9</v>
      </c>
      <c r="J137" s="12">
        <f>+J135+J136</f>
        <v>2169.9999457499998</v>
      </c>
    </row>
    <row r="138" spans="1:10" x14ac:dyDescent="0.3">
      <c r="A138" s="13"/>
      <c r="B138" s="14"/>
      <c r="C138" s="14"/>
      <c r="D138" s="14"/>
      <c r="E138" s="14"/>
      <c r="F138" s="15"/>
      <c r="G138" s="15">
        <f>SUBTOTAL(109,Tabla11034534544554564791081351492192262272292302338595100[Total costo])</f>
        <v>2066.6666149999996</v>
      </c>
      <c r="H138" s="4"/>
      <c r="I138" s="17" t="s">
        <v>10</v>
      </c>
      <c r="J138" s="18">
        <v>9000</v>
      </c>
    </row>
    <row r="139" spans="1:10" x14ac:dyDescent="0.3">
      <c r="H139" s="4"/>
      <c r="I139" s="5" t="s">
        <v>11</v>
      </c>
      <c r="J139" s="12">
        <f>+J138/1.08*0.08</f>
        <v>666.66666666666663</v>
      </c>
    </row>
    <row r="140" spans="1:10" x14ac:dyDescent="0.3">
      <c r="H140" s="4"/>
      <c r="I140" s="5" t="s">
        <v>12</v>
      </c>
      <c r="J140" s="12">
        <f>+J138-J139</f>
        <v>8333.3333333333339</v>
      </c>
    </row>
    <row r="141" spans="1:10" x14ac:dyDescent="0.3">
      <c r="H141" s="4"/>
      <c r="I141" s="5" t="s">
        <v>13</v>
      </c>
      <c r="J141" s="19">
        <f>+J137/J140</f>
        <v>0.26039999348999998</v>
      </c>
    </row>
    <row r="142" spans="1:10" x14ac:dyDescent="0.3">
      <c r="H142" s="4"/>
      <c r="I142" s="5" t="s">
        <v>14</v>
      </c>
      <c r="J142" s="20">
        <f>+J140-J137</f>
        <v>6163.3333875833341</v>
      </c>
    </row>
    <row r="143" spans="1:10" x14ac:dyDescent="0.3">
      <c r="H143" s="4"/>
      <c r="I143" s="5" t="s">
        <v>15</v>
      </c>
      <c r="J143" s="22">
        <f>+J142/J137</f>
        <v>2.8402458717357941</v>
      </c>
    </row>
    <row r="145" spans="1:10" x14ac:dyDescent="0.3">
      <c r="H145" s="4"/>
    </row>
    <row r="146" spans="1:10" x14ac:dyDescent="0.3">
      <c r="A146" s="1" t="s">
        <v>716</v>
      </c>
      <c r="B146" s="2"/>
      <c r="C146" s="2"/>
      <c r="D146" s="3"/>
      <c r="E146" s="3"/>
      <c r="F146" s="3"/>
      <c r="G146" s="3"/>
      <c r="H146" s="4"/>
      <c r="I146" s="277" t="s">
        <v>0</v>
      </c>
      <c r="J146" s="277"/>
    </row>
    <row r="147" spans="1:10" x14ac:dyDescent="0.3">
      <c r="A147" s="13" t="s">
        <v>1</v>
      </c>
      <c r="B147" s="14" t="s">
        <v>2</v>
      </c>
      <c r="C147" s="14" t="s">
        <v>3</v>
      </c>
      <c r="D147" s="14" t="s">
        <v>343</v>
      </c>
      <c r="E147" s="14" t="s">
        <v>585</v>
      </c>
      <c r="F147" s="28" t="s">
        <v>4</v>
      </c>
      <c r="G147" s="28" t="s">
        <v>5</v>
      </c>
      <c r="H147" s="4"/>
      <c r="I147" s="5" t="s">
        <v>6</v>
      </c>
      <c r="J147" s="6">
        <f>SUM(Tabla11034534544554564791081351492192262272292302338595102[Total costo])</f>
        <v>0</v>
      </c>
    </row>
    <row r="148" spans="1:10" x14ac:dyDescent="0.3">
      <c r="A148" s="7" t="s">
        <v>377</v>
      </c>
      <c r="B148" s="8" t="s">
        <v>570</v>
      </c>
      <c r="C148" s="9">
        <v>1</v>
      </c>
      <c r="D148" s="9">
        <v>0</v>
      </c>
      <c r="E148" s="9">
        <v>1</v>
      </c>
      <c r="F148" s="10">
        <f>+VLOOKUP(Tabla11034534544554564791081351492192262272292302338595102[[#This Row],[Ingrediente]],Tabla34[#All],3,0)</f>
        <v>0</v>
      </c>
      <c r="G148" s="11">
        <f>+Tabla11034534544554564791081351492192262272292302338595102[[#This Row],[Costo]]*Tabla11034534544554564791081351492192262272292302338595102[[#This Row],[Cant.]]</f>
        <v>0</v>
      </c>
      <c r="H148" s="4"/>
      <c r="I148" s="5" t="s">
        <v>113</v>
      </c>
      <c r="J148" s="12">
        <f>+J147*5%</f>
        <v>0</v>
      </c>
    </row>
    <row r="149" spans="1:10" x14ac:dyDescent="0.3">
      <c r="A149" s="13"/>
      <c r="B149" s="14"/>
      <c r="C149" s="14"/>
      <c r="D149" s="14"/>
      <c r="E149" s="14"/>
      <c r="F149" s="15"/>
      <c r="G149" s="15">
        <f>SUBTOTAL(109,Tabla11034534544554564791081351492192262272292302338595102[Total costo])</f>
        <v>0</v>
      </c>
      <c r="H149" s="4"/>
      <c r="I149" s="5" t="s">
        <v>9</v>
      </c>
      <c r="J149" s="12">
        <f>+J147+J148</f>
        <v>0</v>
      </c>
    </row>
    <row r="150" spans="1:10" x14ac:dyDescent="0.3">
      <c r="F150" s="4"/>
      <c r="H150" s="4"/>
      <c r="I150" s="17" t="s">
        <v>10</v>
      </c>
      <c r="J150" s="18">
        <v>40000</v>
      </c>
    </row>
    <row r="151" spans="1:10" x14ac:dyDescent="0.3">
      <c r="H151" s="4"/>
      <c r="I151" s="5" t="s">
        <v>11</v>
      </c>
      <c r="J151" s="12">
        <f>+J150/1.08*0.08</f>
        <v>2962.962962962963</v>
      </c>
    </row>
    <row r="152" spans="1:10" x14ac:dyDescent="0.3">
      <c r="H152" s="4"/>
      <c r="I152" s="5" t="s">
        <v>12</v>
      </c>
      <c r="J152" s="12">
        <f>+J150-J151</f>
        <v>37037.037037037036</v>
      </c>
    </row>
    <row r="153" spans="1:10" x14ac:dyDescent="0.3">
      <c r="H153" s="4"/>
      <c r="I153" s="5" t="s">
        <v>13</v>
      </c>
      <c r="J153" s="19">
        <f>+J149/J152</f>
        <v>0</v>
      </c>
    </row>
    <row r="154" spans="1:10" x14ac:dyDescent="0.3">
      <c r="H154" s="4"/>
      <c r="I154" s="5" t="s">
        <v>14</v>
      </c>
      <c r="J154" s="20">
        <f>+J152-J149</f>
        <v>37037.037037037036</v>
      </c>
    </row>
    <row r="155" spans="1:10" x14ac:dyDescent="0.3">
      <c r="I155" s="5" t="s">
        <v>15</v>
      </c>
      <c r="J155" s="22" t="e">
        <f>+J154/J149</f>
        <v>#DIV/0!</v>
      </c>
    </row>
    <row r="157" spans="1:10" x14ac:dyDescent="0.3">
      <c r="F157" s="4"/>
    </row>
    <row r="158" spans="1:10" x14ac:dyDescent="0.3">
      <c r="A158" s="1" t="s">
        <v>717</v>
      </c>
      <c r="B158" s="2"/>
      <c r="C158" s="2"/>
      <c r="D158" s="3"/>
      <c r="E158" s="3"/>
      <c r="F158" s="3"/>
      <c r="G158" s="3"/>
      <c r="H158" s="4"/>
      <c r="I158" s="277" t="s">
        <v>0</v>
      </c>
      <c r="J158" s="277"/>
    </row>
    <row r="159" spans="1:10" x14ac:dyDescent="0.3">
      <c r="A159" s="13" t="s">
        <v>1</v>
      </c>
      <c r="B159" s="14" t="s">
        <v>2</v>
      </c>
      <c r="C159" s="14" t="s">
        <v>3</v>
      </c>
      <c r="D159" s="14" t="s">
        <v>343</v>
      </c>
      <c r="E159" s="14" t="s">
        <v>585</v>
      </c>
      <c r="F159" s="28" t="s">
        <v>4</v>
      </c>
      <c r="G159" s="28" t="s">
        <v>5</v>
      </c>
      <c r="H159" s="4"/>
      <c r="I159" s="5" t="s">
        <v>6</v>
      </c>
      <c r="J159" s="6">
        <f>SUM(Tabla11034534544554564791081351492192262272292302338595119[Total costo])</f>
        <v>4933.3332099999998</v>
      </c>
    </row>
    <row r="160" spans="1:10" x14ac:dyDescent="0.3">
      <c r="A160" s="7" t="s">
        <v>368</v>
      </c>
      <c r="B160" s="8" t="s">
        <v>188</v>
      </c>
      <c r="C160" s="9">
        <v>119.99999699999999</v>
      </c>
      <c r="D160" s="9">
        <v>10</v>
      </c>
      <c r="E160" s="9">
        <v>133.33332999999999</v>
      </c>
      <c r="F160" s="10">
        <f>+VLOOKUP(Tabla11034534544554564791081351492192262272292302338595119[[#This Row],[Ingrediente]],Tabla34[#All],3,0)</f>
        <v>37</v>
      </c>
      <c r="G160" s="11">
        <f>+Tabla11034534544554564791081351492192262272292302338595119[[#This Row],[Costo]]*Tabla11034534544554564791081351492192262272292302338595119[[#This Row],[Columna2]]</f>
        <v>4933.3332099999998</v>
      </c>
      <c r="H160" s="4"/>
      <c r="I160" s="5" t="s">
        <v>113</v>
      </c>
      <c r="J160" s="12">
        <f>+J159*5%</f>
        <v>246.66666050000001</v>
      </c>
    </row>
    <row r="161" spans="1:10" x14ac:dyDescent="0.3">
      <c r="A161" s="13"/>
      <c r="B161" s="14"/>
      <c r="C161" s="14"/>
      <c r="D161" s="14"/>
      <c r="E161" s="14"/>
      <c r="F161" s="15"/>
      <c r="G161" s="15">
        <f>SUBTOTAL(109,Tabla11034534544554564791081351492192262272292302338595119[Total costo])</f>
        <v>4933.3332099999998</v>
      </c>
      <c r="H161" s="4"/>
      <c r="I161" s="5" t="s">
        <v>9</v>
      </c>
      <c r="J161" s="12">
        <f>+J159+J160</f>
        <v>5179.9998704999998</v>
      </c>
    </row>
    <row r="162" spans="1:10" x14ac:dyDescent="0.3">
      <c r="H162" s="4"/>
      <c r="I162" s="17" t="s">
        <v>10</v>
      </c>
      <c r="J162" s="18">
        <v>25000</v>
      </c>
    </row>
    <row r="163" spans="1:10" x14ac:dyDescent="0.3">
      <c r="H163" s="4"/>
      <c r="I163" s="5" t="s">
        <v>11</v>
      </c>
      <c r="J163" s="12">
        <f>+J162/1.08*0.08</f>
        <v>1851.8518518518517</v>
      </c>
    </row>
    <row r="164" spans="1:10" x14ac:dyDescent="0.3">
      <c r="H164" s="4"/>
      <c r="I164" s="5" t="s">
        <v>12</v>
      </c>
      <c r="J164" s="12">
        <f>+J162-J163</f>
        <v>23148.14814814815</v>
      </c>
    </row>
    <row r="165" spans="1:10" x14ac:dyDescent="0.3">
      <c r="H165" s="4"/>
      <c r="I165" s="5" t="s">
        <v>13</v>
      </c>
      <c r="J165" s="19">
        <f>+J161/J164</f>
        <v>0.22377599440559998</v>
      </c>
    </row>
    <row r="166" spans="1:10" x14ac:dyDescent="0.3">
      <c r="H166" s="4"/>
      <c r="I166" s="5" t="s">
        <v>14</v>
      </c>
      <c r="J166" s="20">
        <f>+J164-J161</f>
        <v>17968.14827764815</v>
      </c>
    </row>
    <row r="167" spans="1:10" x14ac:dyDescent="0.3">
      <c r="I167" s="5" t="s">
        <v>15</v>
      </c>
      <c r="J167" s="22">
        <f>+J166/J161</f>
        <v>3.4687545804733335</v>
      </c>
    </row>
    <row r="170" spans="1:10" x14ac:dyDescent="0.3">
      <c r="A170" s="1" t="s">
        <v>718</v>
      </c>
      <c r="B170" s="2"/>
      <c r="C170" s="2"/>
      <c r="D170" s="3"/>
      <c r="E170" s="3"/>
      <c r="F170" s="3"/>
      <c r="G170" s="3"/>
      <c r="I170" s="277" t="s">
        <v>0</v>
      </c>
      <c r="J170" s="277"/>
    </row>
    <row r="171" spans="1:10" x14ac:dyDescent="0.3">
      <c r="A171" s="13" t="s">
        <v>1</v>
      </c>
      <c r="B171" s="14" t="s">
        <v>2</v>
      </c>
      <c r="C171" s="14" t="s">
        <v>3</v>
      </c>
      <c r="D171" s="14" t="s">
        <v>343</v>
      </c>
      <c r="E171" s="14" t="s">
        <v>585</v>
      </c>
      <c r="F171" s="28" t="s">
        <v>4</v>
      </c>
      <c r="G171" s="28" t="s">
        <v>5</v>
      </c>
      <c r="I171" s="5" t="s">
        <v>6</v>
      </c>
      <c r="J171" s="6">
        <f>SUM(Tabla11034534544554564791081351492192262272292302338595119131[Total costo])</f>
        <v>344.44442550000002</v>
      </c>
    </row>
    <row r="172" spans="1:10" x14ac:dyDescent="0.3">
      <c r="A172" s="7" t="s">
        <v>427</v>
      </c>
      <c r="B172" s="8" t="s">
        <v>188</v>
      </c>
      <c r="C172" s="9">
        <v>19.999998900000001</v>
      </c>
      <c r="D172" s="9">
        <v>10</v>
      </c>
      <c r="E172" s="9">
        <v>22.222221000000001</v>
      </c>
      <c r="F172" s="10">
        <f>+VLOOKUP(Tabla11034534544554564791081351492192262272292302338595119131[[#This Row],[Ingrediente]],Tabla34[#All],3,0)</f>
        <v>15.5</v>
      </c>
      <c r="G172" s="11">
        <f>+Tabla11034534544554564791081351492192262272292302338595119131[[#This Row],[Costo]]*Tabla11034534544554564791081351492192262272292302338595119131[[#This Row],[Columna2]]</f>
        <v>344.44442550000002</v>
      </c>
      <c r="H172" s="4"/>
      <c r="I172" s="5" t="s">
        <v>113</v>
      </c>
      <c r="J172" s="12">
        <f>+J171*5%</f>
        <v>17.222221275000003</v>
      </c>
    </row>
    <row r="173" spans="1:10" x14ac:dyDescent="0.3">
      <c r="A173" s="13"/>
      <c r="B173" s="14"/>
      <c r="C173" s="14"/>
      <c r="D173" s="14"/>
      <c r="E173" s="14"/>
      <c r="F173" s="15"/>
      <c r="G173" s="15">
        <f>SUBTOTAL(109,Tabla11034534544554564791081351492192262272292302338595119131[Total costo])</f>
        <v>344.44442550000002</v>
      </c>
      <c r="H173" s="4"/>
      <c r="I173" s="5" t="s">
        <v>9</v>
      </c>
      <c r="J173" s="12">
        <f>+J171+J172</f>
        <v>361.666646775</v>
      </c>
    </row>
    <row r="174" spans="1:10" x14ac:dyDescent="0.3">
      <c r="H174" s="4"/>
      <c r="I174" s="17" t="s">
        <v>10</v>
      </c>
      <c r="J174" s="18">
        <v>4900</v>
      </c>
    </row>
    <row r="175" spans="1:10" x14ac:dyDescent="0.3">
      <c r="H175" s="4"/>
      <c r="I175" s="5" t="s">
        <v>11</v>
      </c>
      <c r="J175" s="12">
        <f>+J174/1.08*0.08</f>
        <v>362.96296296296293</v>
      </c>
    </row>
    <row r="176" spans="1:10" x14ac:dyDescent="0.3">
      <c r="H176" s="4"/>
      <c r="I176" s="5" t="s">
        <v>12</v>
      </c>
      <c r="J176" s="12">
        <f>+J174-J175</f>
        <v>4537.0370370370374</v>
      </c>
    </row>
    <row r="177" spans="1:10" x14ac:dyDescent="0.3">
      <c r="H177" s="4"/>
      <c r="I177" s="5" t="s">
        <v>13</v>
      </c>
      <c r="J177" s="19">
        <f>+J173/J176</f>
        <v>7.9714281329999997E-2</v>
      </c>
    </row>
    <row r="178" spans="1:10" x14ac:dyDescent="0.3">
      <c r="H178" s="4"/>
      <c r="I178" s="5" t="s">
        <v>14</v>
      </c>
      <c r="J178" s="20">
        <f>+J176-J173</f>
        <v>4175.3703902620373</v>
      </c>
    </row>
    <row r="179" spans="1:10" x14ac:dyDescent="0.3">
      <c r="I179" s="5" t="s">
        <v>15</v>
      </c>
      <c r="J179" s="22">
        <f>+J178/J173</f>
        <v>11.544803557347709</v>
      </c>
    </row>
    <row r="180" spans="1:10" x14ac:dyDescent="0.3">
      <c r="G180" s="4"/>
      <c r="H180" s="29"/>
    </row>
    <row r="182" spans="1:10" x14ac:dyDescent="0.3">
      <c r="A182" s="280" t="s">
        <v>248</v>
      </c>
      <c r="B182" s="281"/>
      <c r="C182" s="281"/>
      <c r="D182" s="281"/>
      <c r="E182" s="281"/>
      <c r="F182" s="281"/>
      <c r="G182" s="281"/>
      <c r="I182" s="277" t="s">
        <v>0</v>
      </c>
      <c r="J182" s="277"/>
    </row>
    <row r="183" spans="1:10" x14ac:dyDescent="0.3">
      <c r="A183" s="13" t="s">
        <v>1</v>
      </c>
      <c r="B183" s="14" t="s">
        <v>2</v>
      </c>
      <c r="C183" s="14" t="s">
        <v>3</v>
      </c>
      <c r="D183" s="14" t="s">
        <v>343</v>
      </c>
      <c r="E183" s="14" t="s">
        <v>585</v>
      </c>
      <c r="F183" s="28" t="s">
        <v>4</v>
      </c>
      <c r="G183" s="28" t="s">
        <v>5</v>
      </c>
      <c r="I183" s="5" t="s">
        <v>6</v>
      </c>
      <c r="J183" s="6">
        <f>SUM(Tabla11034534544554564791081351492192262272292302338595119132[Total costo])</f>
        <v>744.1281156</v>
      </c>
    </row>
    <row r="184" spans="1:10" x14ac:dyDescent="0.3">
      <c r="A184" s="7" t="s">
        <v>560</v>
      </c>
      <c r="B184" s="8" t="s">
        <v>188</v>
      </c>
      <c r="C184" s="9">
        <v>30</v>
      </c>
      <c r="D184" s="9">
        <v>0</v>
      </c>
      <c r="E184" s="9">
        <v>30</v>
      </c>
      <c r="F184" s="10">
        <f>+VLOOKUP(Tabla11034534544554564791081351492192262272292302338595119132[[#This Row],[Ingrediente]],Tabla34[#All],3,0)</f>
        <v>24.804270519999999</v>
      </c>
      <c r="G184" s="11">
        <f>+Tabla11034534544554564791081351492192262272292302338595119132[[#This Row],[Costo]]*Tabla11034534544554564791081351492192262272292302338595119132[[#This Row],[Columna2]]</f>
        <v>744.1281156</v>
      </c>
      <c r="H184" s="4"/>
      <c r="I184" s="5" t="s">
        <v>113</v>
      </c>
      <c r="J184" s="12">
        <f>+J183*5%</f>
        <v>37.206405780000004</v>
      </c>
    </row>
    <row r="185" spans="1:10" x14ac:dyDescent="0.3">
      <c r="A185" s="13"/>
      <c r="B185" s="14"/>
      <c r="C185" s="14"/>
      <c r="D185" s="14"/>
      <c r="E185" s="14"/>
      <c r="F185" s="15"/>
      <c r="G185" s="15">
        <f>SUBTOTAL(109,Tabla11034534544554564791081351492192262272292302338595119132[Total costo])</f>
        <v>744.1281156</v>
      </c>
      <c r="H185" s="4"/>
      <c r="I185" s="5" t="s">
        <v>9</v>
      </c>
      <c r="J185" s="12">
        <f>+J183+J184</f>
        <v>781.33452137999996</v>
      </c>
    </row>
    <row r="186" spans="1:10" x14ac:dyDescent="0.3">
      <c r="H186" s="4"/>
      <c r="I186" s="17" t="s">
        <v>10</v>
      </c>
      <c r="J186" s="18">
        <v>2900</v>
      </c>
    </row>
    <row r="187" spans="1:10" x14ac:dyDescent="0.3">
      <c r="H187" s="4"/>
      <c r="I187" s="5" t="s">
        <v>11</v>
      </c>
      <c r="J187" s="12">
        <f>+J186/1.08*0.08</f>
        <v>214.81481481481481</v>
      </c>
    </row>
    <row r="188" spans="1:10" x14ac:dyDescent="0.3">
      <c r="H188" s="4"/>
      <c r="I188" s="5" t="s">
        <v>12</v>
      </c>
      <c r="J188" s="12">
        <f>+J186-J187</f>
        <v>2685.1851851851852</v>
      </c>
    </row>
    <row r="189" spans="1:10" x14ac:dyDescent="0.3">
      <c r="H189" s="4"/>
      <c r="I189" s="5" t="s">
        <v>13</v>
      </c>
      <c r="J189" s="19">
        <f>+J185/J188</f>
        <v>0.2909797527897931</v>
      </c>
    </row>
    <row r="190" spans="1:10" x14ac:dyDescent="0.3">
      <c r="H190" s="4"/>
      <c r="I190" s="5" t="s">
        <v>14</v>
      </c>
      <c r="J190" s="20">
        <f>+J188-J185</f>
        <v>1903.8506638051854</v>
      </c>
    </row>
    <row r="191" spans="1:10" x14ac:dyDescent="0.3">
      <c r="I191" s="5" t="s">
        <v>15</v>
      </c>
      <c r="J191" s="22">
        <f>+J190/J185</f>
        <v>2.4366652332762508</v>
      </c>
    </row>
    <row r="194" spans="1:10" x14ac:dyDescent="0.3">
      <c r="A194" s="1" t="s">
        <v>719</v>
      </c>
      <c r="B194" s="2"/>
      <c r="C194" s="2"/>
      <c r="D194" s="3"/>
      <c r="E194" s="294"/>
      <c r="F194" s="294"/>
      <c r="G194" s="294"/>
      <c r="I194" s="277" t="s">
        <v>0</v>
      </c>
      <c r="J194" s="277"/>
    </row>
    <row r="195" spans="1:10" x14ac:dyDescent="0.3">
      <c r="A195" s="13" t="s">
        <v>1</v>
      </c>
      <c r="B195" s="14" t="s">
        <v>2</v>
      </c>
      <c r="C195" s="14" t="s">
        <v>3</v>
      </c>
      <c r="D195" s="14" t="s">
        <v>343</v>
      </c>
      <c r="E195" s="14" t="s">
        <v>585</v>
      </c>
      <c r="F195" s="28" t="s">
        <v>4</v>
      </c>
      <c r="G195" s="28" t="s">
        <v>5</v>
      </c>
      <c r="I195" s="5" t="s">
        <v>6</v>
      </c>
      <c r="J195" s="6">
        <f>SUM(Tabla11034534544554564791081351492192262272292302338595119132136[Total costo])</f>
        <v>743.05799999999999</v>
      </c>
    </row>
    <row r="196" spans="1:10" x14ac:dyDescent="0.3">
      <c r="A196" s="7" t="s">
        <v>685</v>
      </c>
      <c r="B196" s="8" t="s">
        <v>188</v>
      </c>
      <c r="C196" s="9">
        <v>90</v>
      </c>
      <c r="D196" s="9">
        <v>0</v>
      </c>
      <c r="E196" s="9">
        <v>90</v>
      </c>
      <c r="F196" s="10">
        <f>+VLOOKUP(Tabla11034534544554564791081351492192262272292302338595119132136[[#This Row],[Ingrediente]],Tabla34[#All],3,0)</f>
        <v>8.2561999999999998</v>
      </c>
      <c r="G196" s="11">
        <f>+Tabla11034534544554564791081351492192262272292302338595119132136[[#This Row],[Costo]]*Tabla11034534544554564791081351492192262272292302338595119132136[[#This Row],[Cant.]]</f>
        <v>743.05799999999999</v>
      </c>
      <c r="I196" s="5" t="s">
        <v>113</v>
      </c>
      <c r="J196" s="12">
        <f>+J195*5%</f>
        <v>37.152900000000002</v>
      </c>
    </row>
    <row r="197" spans="1:10" x14ac:dyDescent="0.3">
      <c r="A197" s="13"/>
      <c r="B197" s="14"/>
      <c r="C197" s="14"/>
      <c r="D197" s="14"/>
      <c r="E197" s="14"/>
      <c r="F197" s="15"/>
      <c r="G197" s="15">
        <f>SUBTOTAL(109,Tabla11034534544554564791081351492192262272292302338595119132136[Total costo])</f>
        <v>743.05799999999999</v>
      </c>
      <c r="H197" s="4"/>
      <c r="I197" s="5" t="s">
        <v>9</v>
      </c>
      <c r="J197" s="12">
        <f>+J195+J196</f>
        <v>780.21090000000004</v>
      </c>
    </row>
    <row r="198" spans="1:10" x14ac:dyDescent="0.3">
      <c r="H198" s="4"/>
      <c r="I198" s="17" t="s">
        <v>10</v>
      </c>
      <c r="J198" s="18">
        <v>12000</v>
      </c>
    </row>
    <row r="199" spans="1:10" x14ac:dyDescent="0.3">
      <c r="H199" s="4"/>
      <c r="I199" s="5" t="s">
        <v>11</v>
      </c>
      <c r="J199" s="12">
        <f>+J198/1.08*0.08</f>
        <v>888.8888888888888</v>
      </c>
    </row>
    <row r="200" spans="1:10" x14ac:dyDescent="0.3">
      <c r="H200" s="4"/>
      <c r="I200" s="5" t="s">
        <v>12</v>
      </c>
      <c r="J200" s="12">
        <f>+J198-J199</f>
        <v>11111.111111111111</v>
      </c>
    </row>
    <row r="201" spans="1:10" x14ac:dyDescent="0.3">
      <c r="H201" s="4"/>
      <c r="I201" s="5" t="s">
        <v>13</v>
      </c>
      <c r="J201" s="19">
        <f>+J197/J200</f>
        <v>7.0218981E-2</v>
      </c>
    </row>
    <row r="202" spans="1:10" x14ac:dyDescent="0.3">
      <c r="H202" s="4"/>
      <c r="I202" s="5" t="s">
        <v>14</v>
      </c>
      <c r="J202" s="20">
        <f>+J200-J197</f>
        <v>10330.900211111111</v>
      </c>
    </row>
    <row r="203" spans="1:10" x14ac:dyDescent="0.3">
      <c r="I203" s="5" t="s">
        <v>15</v>
      </c>
      <c r="J203" s="22">
        <f>+J202/J197</f>
        <v>13.241163653457175</v>
      </c>
    </row>
    <row r="207" spans="1:10" x14ac:dyDescent="0.3">
      <c r="A207" s="1" t="s">
        <v>720</v>
      </c>
      <c r="B207" s="2"/>
      <c r="C207" s="2"/>
      <c r="D207" s="3"/>
      <c r="E207" s="294"/>
      <c r="F207" s="294"/>
      <c r="G207" s="294"/>
      <c r="I207" s="277" t="s">
        <v>0</v>
      </c>
      <c r="J207" s="277"/>
    </row>
    <row r="208" spans="1:10" x14ac:dyDescent="0.3">
      <c r="A208" s="13" t="s">
        <v>1</v>
      </c>
      <c r="B208" s="14" t="s">
        <v>2</v>
      </c>
      <c r="C208" s="14" t="s">
        <v>3</v>
      </c>
      <c r="D208" s="14" t="s">
        <v>343</v>
      </c>
      <c r="E208" s="14" t="s">
        <v>585</v>
      </c>
      <c r="F208" s="28" t="s">
        <v>4</v>
      </c>
      <c r="G208" s="28" t="s">
        <v>5</v>
      </c>
      <c r="I208" s="5" t="s">
        <v>6</v>
      </c>
      <c r="J208" s="6" t="e">
        <f>SUM(Tabla11034534544554564791081351492192262272292302338595119132137[Total costo])</f>
        <v>#N/A</v>
      </c>
    </row>
    <row r="209" spans="1:10" x14ac:dyDescent="0.3">
      <c r="A209" s="7" t="s">
        <v>360</v>
      </c>
      <c r="B209" s="8" t="s">
        <v>570</v>
      </c>
      <c r="C209" s="9">
        <v>1</v>
      </c>
      <c r="D209" s="9">
        <v>0</v>
      </c>
      <c r="E209" s="9">
        <v>1</v>
      </c>
      <c r="F209" s="10" t="e">
        <f>+VLOOKUP(Tabla11034534544554564791081351492192262272292302338595119132137[[#This Row],[Ingrediente]],Tabla34[#All],3,0)</f>
        <v>#N/A</v>
      </c>
      <c r="G209" s="11" t="e">
        <f>+Tabla11034534544554564791081351492192262272292302338595119132137[[#This Row],[Costo]]*Tabla11034534544554564791081351492192262272292302338595119132137[[#This Row],[Cant.]]</f>
        <v>#N/A</v>
      </c>
      <c r="I209" s="5" t="s">
        <v>113</v>
      </c>
      <c r="J209" s="12" t="e">
        <f>+J208*5%</f>
        <v>#N/A</v>
      </c>
    </row>
    <row r="210" spans="1:10" x14ac:dyDescent="0.3">
      <c r="A210" s="13"/>
      <c r="B210" s="14"/>
      <c r="C210" s="14"/>
      <c r="D210" s="14"/>
      <c r="E210" s="14"/>
      <c r="F210" s="15"/>
      <c r="G210" s="15" t="e">
        <f>SUBTOTAL(109,Tabla11034534544554564791081351492192262272292302338595119132137[Total costo])</f>
        <v>#N/A</v>
      </c>
      <c r="H210" s="4"/>
      <c r="I210" s="5" t="s">
        <v>9</v>
      </c>
      <c r="J210" s="12" t="e">
        <f>+J208+J209</f>
        <v>#N/A</v>
      </c>
    </row>
    <row r="211" spans="1:10" x14ac:dyDescent="0.3">
      <c r="H211" s="4"/>
      <c r="I211" s="17" t="s">
        <v>10</v>
      </c>
      <c r="J211" s="18">
        <v>1500</v>
      </c>
    </row>
    <row r="212" spans="1:10" x14ac:dyDescent="0.3">
      <c r="H212" s="4"/>
      <c r="I212" s="5" t="s">
        <v>11</v>
      </c>
      <c r="J212" s="12">
        <f>+J211/1.08*0.08</f>
        <v>111.1111111111111</v>
      </c>
    </row>
    <row r="213" spans="1:10" x14ac:dyDescent="0.3">
      <c r="H213" s="4"/>
      <c r="I213" s="5" t="s">
        <v>12</v>
      </c>
      <c r="J213" s="12">
        <f>+J211-J212</f>
        <v>1388.8888888888889</v>
      </c>
    </row>
    <row r="214" spans="1:10" x14ac:dyDescent="0.3">
      <c r="H214" s="4"/>
      <c r="I214" s="5" t="s">
        <v>13</v>
      </c>
      <c r="J214" s="19" t="e">
        <f>+J210/J213</f>
        <v>#N/A</v>
      </c>
    </row>
    <row r="215" spans="1:10" x14ac:dyDescent="0.3">
      <c r="H215" s="4"/>
      <c r="I215" s="5" t="s">
        <v>14</v>
      </c>
      <c r="J215" s="20" t="e">
        <f>+J213-J210</f>
        <v>#N/A</v>
      </c>
    </row>
    <row r="216" spans="1:10" x14ac:dyDescent="0.3">
      <c r="I216" s="5" t="s">
        <v>15</v>
      </c>
      <c r="J216" s="22" t="e">
        <f>+J215/J210</f>
        <v>#N/A</v>
      </c>
    </row>
    <row r="221" spans="1:10" x14ac:dyDescent="0.3">
      <c r="A221" s="1" t="s">
        <v>238</v>
      </c>
      <c r="B221" s="2"/>
      <c r="C221" s="2"/>
      <c r="D221" s="3"/>
      <c r="E221" s="294"/>
      <c r="F221" s="294"/>
      <c r="G221" s="294"/>
      <c r="I221" s="277" t="s">
        <v>0</v>
      </c>
      <c r="J221" s="277"/>
    </row>
    <row r="222" spans="1:10" x14ac:dyDescent="0.3">
      <c r="A222" s="13" t="s">
        <v>1</v>
      </c>
      <c r="B222" s="14" t="s">
        <v>2</v>
      </c>
      <c r="C222" s="14" t="s">
        <v>3</v>
      </c>
      <c r="D222" s="14" t="s">
        <v>343</v>
      </c>
      <c r="E222" s="14" t="s">
        <v>585</v>
      </c>
      <c r="F222" s="28" t="s">
        <v>4</v>
      </c>
      <c r="G222" s="28" t="s">
        <v>5</v>
      </c>
      <c r="I222" s="5" t="s">
        <v>6</v>
      </c>
      <c r="J222" s="6">
        <f>SUM(Tabla11034534544554564791081351492192262272292302338595119132137138[Total costo])</f>
        <v>6500</v>
      </c>
    </row>
    <row r="223" spans="1:10" x14ac:dyDescent="0.3">
      <c r="A223" s="7" t="s">
        <v>388</v>
      </c>
      <c r="B223" s="8" t="s">
        <v>570</v>
      </c>
      <c r="C223" s="9">
        <v>5</v>
      </c>
      <c r="D223" s="9">
        <v>0</v>
      </c>
      <c r="E223" s="9">
        <v>5</v>
      </c>
      <c r="F223" s="10">
        <f>+VLOOKUP(Tabla11034534544554564791081351492192262272292302338595119132137138[[#This Row],[Ingrediente]],Tabla34[#All],3,0)</f>
        <v>1300</v>
      </c>
      <c r="G223" s="11">
        <f>+Tabla11034534544554564791081351492192262272292302338595119132137138[[#This Row],[Costo]]*Tabla11034534544554564791081351492192262272292302338595119132137138[[#This Row],[Cant.]]</f>
        <v>6500</v>
      </c>
      <c r="I223" s="5" t="s">
        <v>113</v>
      </c>
      <c r="J223" s="12">
        <f>+J222*5%</f>
        <v>325</v>
      </c>
    </row>
    <row r="224" spans="1:10" x14ac:dyDescent="0.3">
      <c r="A224" s="13"/>
      <c r="B224" s="14"/>
      <c r="C224" s="14"/>
      <c r="D224" s="14"/>
      <c r="E224" s="14"/>
      <c r="F224" s="15"/>
      <c r="G224" s="15">
        <f>SUBTOTAL(109,Tabla11034534544554564791081351492192262272292302338595119132137138[Total costo])</f>
        <v>6500</v>
      </c>
      <c r="H224" s="4"/>
      <c r="I224" s="5" t="s">
        <v>9</v>
      </c>
      <c r="J224" s="12">
        <f>+J222+J223</f>
        <v>6825</v>
      </c>
    </row>
    <row r="225" spans="1:10" x14ac:dyDescent="0.3">
      <c r="H225" s="4"/>
      <c r="I225" s="17" t="s">
        <v>10</v>
      </c>
      <c r="J225" s="18">
        <v>25000</v>
      </c>
    </row>
    <row r="226" spans="1:10" x14ac:dyDescent="0.3">
      <c r="H226" s="4"/>
      <c r="I226" s="5" t="s">
        <v>11</v>
      </c>
      <c r="J226" s="12">
        <f>+J225/1.08*0.08</f>
        <v>1851.8518518518517</v>
      </c>
    </row>
    <row r="227" spans="1:10" x14ac:dyDescent="0.3">
      <c r="H227" s="4"/>
      <c r="I227" s="5" t="s">
        <v>12</v>
      </c>
      <c r="J227" s="12">
        <f>+J225-J226</f>
        <v>23148.14814814815</v>
      </c>
    </row>
    <row r="228" spans="1:10" x14ac:dyDescent="0.3">
      <c r="H228" s="4"/>
      <c r="I228" s="5" t="s">
        <v>13</v>
      </c>
      <c r="J228" s="19">
        <f>+J224/J227</f>
        <v>0.29483999999999999</v>
      </c>
    </row>
    <row r="229" spans="1:10" x14ac:dyDescent="0.3">
      <c r="H229" s="4"/>
      <c r="I229" s="5" t="s">
        <v>14</v>
      </c>
      <c r="J229" s="20">
        <f>+J227-J224</f>
        <v>16323.14814814815</v>
      </c>
    </row>
    <row r="230" spans="1:10" x14ac:dyDescent="0.3">
      <c r="I230" s="5" t="s">
        <v>15</v>
      </c>
      <c r="J230" s="22">
        <f>+J229/J224</f>
        <v>2.3916700583367252</v>
      </c>
    </row>
    <row r="232" spans="1:10" x14ac:dyDescent="0.3">
      <c r="A232" s="97" t="s">
        <v>721</v>
      </c>
      <c r="B232" s="88"/>
      <c r="C232" s="88"/>
      <c r="D232" s="88"/>
      <c r="E232" s="88"/>
      <c r="F232" s="88"/>
      <c r="G232" s="88"/>
      <c r="I232" s="277" t="s">
        <v>0</v>
      </c>
      <c r="J232" s="277"/>
    </row>
    <row r="233" spans="1:10" x14ac:dyDescent="0.3">
      <c r="A233" s="13" t="s">
        <v>1</v>
      </c>
      <c r="B233" s="14" t="s">
        <v>2</v>
      </c>
      <c r="C233" s="14" t="s">
        <v>3</v>
      </c>
      <c r="D233" s="14" t="s">
        <v>343</v>
      </c>
      <c r="E233" s="14" t="s">
        <v>585</v>
      </c>
      <c r="F233" s="28" t="s">
        <v>4</v>
      </c>
      <c r="G233" s="28" t="s">
        <v>5</v>
      </c>
      <c r="I233" s="5" t="s">
        <v>6</v>
      </c>
      <c r="J233" s="6">
        <f>SUM(Tabla11034534544554564791081351492192262272292302338595119132137140[Total costo])</f>
        <v>2101.44</v>
      </c>
    </row>
    <row r="234" spans="1:10" x14ac:dyDescent="0.3">
      <c r="A234" s="7" t="s">
        <v>453</v>
      </c>
      <c r="B234" s="8" t="s">
        <v>188</v>
      </c>
      <c r="C234" s="9">
        <v>480</v>
      </c>
      <c r="D234" s="9">
        <v>0</v>
      </c>
      <c r="E234" s="9">
        <v>480</v>
      </c>
      <c r="F234" s="10">
        <f>+VLOOKUP(Tabla11034534544554564791081351492192262272292302338595119132137140[[#This Row],[Ingrediente]],Tabla34[#All],3,0)</f>
        <v>4.3780000000000001</v>
      </c>
      <c r="G234" s="11">
        <f>+Tabla11034534544554564791081351492192262272292302338595119132137140[[#This Row],[Costo]]*Tabla11034534544554564791081351492192262272292302338595119132137140[[#This Row],[Cant.]]</f>
        <v>2101.44</v>
      </c>
      <c r="I234" s="5" t="s">
        <v>113</v>
      </c>
      <c r="J234" s="12">
        <f>+J233*5%</f>
        <v>105.072</v>
      </c>
    </row>
    <row r="235" spans="1:10" x14ac:dyDescent="0.3">
      <c r="A235" s="13"/>
      <c r="B235" s="14"/>
      <c r="C235" s="14"/>
      <c r="D235" s="14"/>
      <c r="E235" s="14"/>
      <c r="F235" s="15"/>
      <c r="G235" s="15">
        <f>SUBTOTAL(109,Tabla11034534544554564791081351492192262272292302338595119132137140[Total costo])</f>
        <v>2101.44</v>
      </c>
      <c r="H235" s="4"/>
      <c r="I235" s="5" t="s">
        <v>9</v>
      </c>
      <c r="J235" s="12">
        <f>+J233+J234</f>
        <v>2206.5120000000002</v>
      </c>
    </row>
    <row r="236" spans="1:10" x14ac:dyDescent="0.3">
      <c r="H236" s="4"/>
      <c r="I236" s="17" t="s">
        <v>10</v>
      </c>
      <c r="J236" s="18">
        <v>2000</v>
      </c>
    </row>
    <row r="237" spans="1:10" x14ac:dyDescent="0.3">
      <c r="H237" s="4"/>
      <c r="I237" s="5" t="s">
        <v>11</v>
      </c>
      <c r="J237" s="12">
        <f>+J236/1.08*0.08</f>
        <v>148.14814814814815</v>
      </c>
    </row>
    <row r="238" spans="1:10" x14ac:dyDescent="0.3">
      <c r="H238" s="4"/>
      <c r="I238" s="5" t="s">
        <v>12</v>
      </c>
      <c r="J238" s="12">
        <f>+J236-J237</f>
        <v>1851.8518518518517</v>
      </c>
    </row>
    <row r="239" spans="1:10" x14ac:dyDescent="0.3">
      <c r="H239" s="4"/>
      <c r="I239" s="5" t="s">
        <v>13</v>
      </c>
      <c r="J239" s="19">
        <f>+J235/J238</f>
        <v>1.1915164800000002</v>
      </c>
    </row>
    <row r="240" spans="1:10" x14ac:dyDescent="0.3">
      <c r="H240" s="4"/>
      <c r="I240" s="5" t="s">
        <v>14</v>
      </c>
      <c r="J240" s="20">
        <f>+J238-J235</f>
        <v>-354.66014814814844</v>
      </c>
    </row>
    <row r="241" spans="1:10" x14ac:dyDescent="0.3">
      <c r="I241" s="5" t="s">
        <v>15</v>
      </c>
      <c r="J241" s="22">
        <f>+J240/J235</f>
        <v>-0.1607333874223881</v>
      </c>
    </row>
    <row r="245" spans="1:10" x14ac:dyDescent="0.3">
      <c r="A245" s="97" t="s">
        <v>722</v>
      </c>
      <c r="B245" s="88"/>
      <c r="C245" s="88"/>
      <c r="D245" s="88"/>
      <c r="E245" s="88"/>
      <c r="F245" s="88"/>
      <c r="G245" s="88"/>
      <c r="I245" s="277" t="s">
        <v>0</v>
      </c>
      <c r="J245" s="277"/>
    </row>
    <row r="246" spans="1:10" x14ac:dyDescent="0.3">
      <c r="A246" s="13" t="s">
        <v>1</v>
      </c>
      <c r="B246" s="14" t="s">
        <v>2</v>
      </c>
      <c r="C246" s="14" t="s">
        <v>3</v>
      </c>
      <c r="D246" s="14" t="s">
        <v>343</v>
      </c>
      <c r="E246" s="14" t="s">
        <v>585</v>
      </c>
      <c r="F246" s="28" t="s">
        <v>4</v>
      </c>
      <c r="G246" s="28" t="s">
        <v>5</v>
      </c>
      <c r="I246" s="5" t="s">
        <v>6</v>
      </c>
      <c r="J246" s="6">
        <f>SUM(Tabla110345345445545647910813514921922622722923023385951191321371403[Total costo])</f>
        <v>957.93333340000004</v>
      </c>
    </row>
    <row r="247" spans="1:10" x14ac:dyDescent="0.3">
      <c r="A247" s="7" t="s">
        <v>644</v>
      </c>
      <c r="B247" s="8" t="s">
        <v>188</v>
      </c>
      <c r="C247" s="9">
        <v>20</v>
      </c>
      <c r="D247" s="9">
        <v>0</v>
      </c>
      <c r="E247" s="9">
        <v>20</v>
      </c>
      <c r="F247" s="10">
        <f>+VLOOKUP(Tabla110345345445545647910813514921922622722923023385951191321371403[[#This Row],[Ingrediente]],Tabla34[#All],3,0)</f>
        <v>47.896666670000002</v>
      </c>
      <c r="G247" s="11">
        <f>+Tabla110345345445545647910813514921922622722923023385951191321371403[[#This Row],[Costo]]*Tabla110345345445545647910813514921922622722923023385951191321371403[[#This Row],[Cant.]]</f>
        <v>957.93333340000004</v>
      </c>
      <c r="I247" s="5" t="s">
        <v>113</v>
      </c>
      <c r="J247" s="12">
        <f>+J246*5%</f>
        <v>47.896666670000002</v>
      </c>
    </row>
    <row r="248" spans="1:10" x14ac:dyDescent="0.3">
      <c r="A248" s="13"/>
      <c r="B248" s="14"/>
      <c r="C248" s="14"/>
      <c r="D248" s="14"/>
      <c r="E248" s="14"/>
      <c r="F248" s="15"/>
      <c r="G248" s="15">
        <f>SUBTOTAL(109,Tabla110345345445545647910813514921922622722923023385951191321371403[Total costo])</f>
        <v>957.93333340000004</v>
      </c>
      <c r="H248" s="4"/>
      <c r="I248" s="5" t="s">
        <v>9</v>
      </c>
      <c r="J248" s="12">
        <f>+J246+J247</f>
        <v>1005.8300000700001</v>
      </c>
    </row>
    <row r="249" spans="1:10" x14ac:dyDescent="0.3">
      <c r="H249" s="4"/>
      <c r="I249" s="17" t="s">
        <v>10</v>
      </c>
      <c r="J249" s="18">
        <v>4900</v>
      </c>
    </row>
    <row r="250" spans="1:10" x14ac:dyDescent="0.3">
      <c r="H250" s="4"/>
      <c r="I250" s="5" t="s">
        <v>11</v>
      </c>
      <c r="J250" s="12">
        <f>+J249/1.08*0.08</f>
        <v>362.96296296296293</v>
      </c>
    </row>
    <row r="251" spans="1:10" x14ac:dyDescent="0.3">
      <c r="H251" s="4"/>
      <c r="I251" s="5" t="s">
        <v>12</v>
      </c>
      <c r="J251" s="12">
        <f>+J249-J250</f>
        <v>4537.0370370370374</v>
      </c>
    </row>
    <row r="252" spans="1:10" x14ac:dyDescent="0.3">
      <c r="H252" s="4"/>
      <c r="I252" s="5" t="s">
        <v>13</v>
      </c>
      <c r="J252" s="19">
        <f>+J248/J251</f>
        <v>0.22169314287257144</v>
      </c>
    </row>
    <row r="253" spans="1:10" x14ac:dyDescent="0.3">
      <c r="H253" s="4"/>
      <c r="I253" s="5" t="s">
        <v>14</v>
      </c>
      <c r="J253" s="20">
        <f>+J251-J248</f>
        <v>3531.2070369670373</v>
      </c>
    </row>
    <row r="254" spans="1:10" x14ac:dyDescent="0.3">
      <c r="I254" s="5" t="s">
        <v>15</v>
      </c>
      <c r="J254" s="22">
        <f>+J253/J248</f>
        <v>3.5107394258684721</v>
      </c>
    </row>
    <row r="257" spans="1:10" x14ac:dyDescent="0.3">
      <c r="A257" s="97" t="s">
        <v>723</v>
      </c>
      <c r="B257" s="88"/>
      <c r="C257" s="88"/>
      <c r="D257" s="88"/>
      <c r="E257" s="88"/>
      <c r="F257" s="88"/>
      <c r="G257" s="88"/>
      <c r="I257" s="277" t="s">
        <v>0</v>
      </c>
      <c r="J257" s="277"/>
    </row>
    <row r="258" spans="1:10" x14ac:dyDescent="0.3">
      <c r="A258" s="13" t="s">
        <v>1</v>
      </c>
      <c r="B258" s="14" t="s">
        <v>2</v>
      </c>
      <c r="C258" s="14" t="s">
        <v>3</v>
      </c>
      <c r="D258" s="14" t="s">
        <v>343</v>
      </c>
      <c r="E258" s="14" t="s">
        <v>585</v>
      </c>
      <c r="F258" s="28" t="s">
        <v>4</v>
      </c>
      <c r="G258" s="28" t="s">
        <v>5</v>
      </c>
      <c r="I258" s="5" t="s">
        <v>6</v>
      </c>
      <c r="J258" s="6">
        <f>SUM(Tabla1103453454455456479108135149219226227229230233859511913213714036[Total costo])</f>
        <v>676.36465500000008</v>
      </c>
    </row>
    <row r="259" spans="1:10" x14ac:dyDescent="0.3">
      <c r="A259" s="7" t="s">
        <v>681</v>
      </c>
      <c r="B259" s="8" t="s">
        <v>188</v>
      </c>
      <c r="C259" s="9">
        <v>30</v>
      </c>
      <c r="D259" s="9">
        <v>0</v>
      </c>
      <c r="E259" s="9">
        <v>30</v>
      </c>
      <c r="F259" s="10">
        <f>+VLOOKUP(Tabla1103453454455456479108135149219226227229230233859511913213714036[[#This Row],[Ingrediente]],Tabla34[#All],3,0)</f>
        <v>22.545488500000001</v>
      </c>
      <c r="G259" s="11">
        <f>+Tabla1103453454455456479108135149219226227229230233859511913213714036[[#This Row],[Costo]]*Tabla1103453454455456479108135149219226227229230233859511913213714036[[#This Row],[Cant.]]</f>
        <v>676.36465500000008</v>
      </c>
      <c r="I259" s="5" t="s">
        <v>113</v>
      </c>
      <c r="J259" s="12">
        <f>+J258*5%</f>
        <v>33.818232750000007</v>
      </c>
    </row>
    <row r="260" spans="1:10" x14ac:dyDescent="0.3">
      <c r="A260" s="13"/>
      <c r="B260" s="14"/>
      <c r="C260" s="14"/>
      <c r="D260" s="14"/>
      <c r="E260" s="14"/>
      <c r="F260" s="15"/>
      <c r="G260" s="15">
        <f>SUBTOTAL(109,Tabla1103453454455456479108135149219226227229230233859511913213714036[Total costo])</f>
        <v>676.36465500000008</v>
      </c>
      <c r="H260" s="4"/>
      <c r="I260" s="5" t="s">
        <v>9</v>
      </c>
      <c r="J260" s="12">
        <f>+J258+J259</f>
        <v>710.18288775000008</v>
      </c>
    </row>
    <row r="261" spans="1:10" x14ac:dyDescent="0.3">
      <c r="H261" s="4"/>
      <c r="I261" s="17" t="s">
        <v>10</v>
      </c>
      <c r="J261" s="18">
        <v>2900</v>
      </c>
    </row>
    <row r="262" spans="1:10" x14ac:dyDescent="0.3">
      <c r="H262" s="4"/>
      <c r="I262" s="5" t="s">
        <v>11</v>
      </c>
      <c r="J262" s="12">
        <f>+J261/1.08*0.08</f>
        <v>214.81481481481481</v>
      </c>
    </row>
    <row r="263" spans="1:10" x14ac:dyDescent="0.3">
      <c r="H263" s="4"/>
      <c r="I263" s="5" t="s">
        <v>12</v>
      </c>
      <c r="J263" s="12">
        <f>+J261-J262</f>
        <v>2685.1851851851852</v>
      </c>
    </row>
    <row r="264" spans="1:10" x14ac:dyDescent="0.3">
      <c r="H264" s="4"/>
      <c r="I264" s="5" t="s">
        <v>13</v>
      </c>
      <c r="J264" s="19">
        <f>+J260/J263</f>
        <v>0.26448190302413793</v>
      </c>
    </row>
    <row r="265" spans="1:10" x14ac:dyDescent="0.3">
      <c r="H265" s="4"/>
      <c r="I265" s="5" t="s">
        <v>14</v>
      </c>
      <c r="J265" s="20">
        <f>+J263-J260</f>
        <v>1975.002297435185</v>
      </c>
    </row>
    <row r="266" spans="1:10" x14ac:dyDescent="0.3">
      <c r="I266" s="5" t="s">
        <v>15</v>
      </c>
      <c r="J266" s="22">
        <f>+J265/J260</f>
        <v>2.7809770293006961</v>
      </c>
    </row>
    <row r="268" spans="1:10" x14ac:dyDescent="0.3">
      <c r="A268" s="97" t="s">
        <v>724</v>
      </c>
      <c r="B268" s="88"/>
      <c r="C268" s="88"/>
      <c r="D268" s="88"/>
      <c r="E268" s="88"/>
      <c r="F268" s="88"/>
      <c r="G268" s="88"/>
      <c r="I268" s="277" t="s">
        <v>0</v>
      </c>
      <c r="J268" s="277"/>
    </row>
    <row r="269" spans="1:10" x14ac:dyDescent="0.3">
      <c r="A269" s="13" t="s">
        <v>1</v>
      </c>
      <c r="B269" s="14" t="s">
        <v>2</v>
      </c>
      <c r="C269" s="14" t="s">
        <v>3</v>
      </c>
      <c r="D269" s="14" t="s">
        <v>343</v>
      </c>
      <c r="E269" s="14" t="s">
        <v>585</v>
      </c>
      <c r="F269" s="28" t="s">
        <v>4</v>
      </c>
      <c r="G269" s="28" t="s">
        <v>5</v>
      </c>
      <c r="I269" s="5" t="s">
        <v>6</v>
      </c>
      <c r="J269" s="6">
        <f>SUM(Tabla1103453454455456479108135149219226227229230233859511913213714037[Total costo])</f>
        <v>1618.4</v>
      </c>
    </row>
    <row r="270" spans="1:10" x14ac:dyDescent="0.3">
      <c r="A270" s="7" t="s">
        <v>412</v>
      </c>
      <c r="B270" s="8" t="s">
        <v>570</v>
      </c>
      <c r="C270" s="9">
        <v>5</v>
      </c>
      <c r="D270" s="9">
        <v>0</v>
      </c>
      <c r="E270" s="9">
        <v>5</v>
      </c>
      <c r="F270" s="10">
        <f>+VLOOKUP(Tabla1103453454455456479108135149219226227229230233859511913213714037[[#This Row],[Ingrediente]],Tabla34[#All],3,0)</f>
        <v>323.68</v>
      </c>
      <c r="G270" s="11">
        <f>+Tabla1103453454455456479108135149219226227229230233859511913213714037[[#This Row],[Costo]]*Tabla1103453454455456479108135149219226227229230233859511913213714037[[#This Row],[Cant.]]</f>
        <v>1618.4</v>
      </c>
      <c r="I270" s="5" t="s">
        <v>113</v>
      </c>
      <c r="J270" s="12">
        <f>+J269*5%</f>
        <v>80.920000000000016</v>
      </c>
    </row>
    <row r="271" spans="1:10" x14ac:dyDescent="0.3">
      <c r="A271" s="13"/>
      <c r="B271" s="14"/>
      <c r="C271" s="14"/>
      <c r="D271" s="14"/>
      <c r="E271" s="14"/>
      <c r="F271" s="15"/>
      <c r="G271" s="15">
        <f>SUBTOTAL(109,Tabla1103453454455456479108135149219226227229230233859511913213714037[Total costo])</f>
        <v>1618.4</v>
      </c>
      <c r="H271" s="4"/>
      <c r="I271" s="5" t="s">
        <v>9</v>
      </c>
      <c r="J271" s="12">
        <f>+J269+J270</f>
        <v>1699.3200000000002</v>
      </c>
    </row>
    <row r="272" spans="1:10" x14ac:dyDescent="0.3">
      <c r="H272" s="4"/>
      <c r="I272" s="17" t="s">
        <v>10</v>
      </c>
      <c r="J272" s="18">
        <v>6000</v>
      </c>
    </row>
    <row r="273" spans="1:10" x14ac:dyDescent="0.3">
      <c r="H273" s="4"/>
      <c r="I273" s="5" t="s">
        <v>11</v>
      </c>
      <c r="J273" s="12">
        <f>+J272/1.08*0.08</f>
        <v>444.4444444444444</v>
      </c>
    </row>
    <row r="274" spans="1:10" x14ac:dyDescent="0.3">
      <c r="H274" s="4"/>
      <c r="I274" s="5" t="s">
        <v>12</v>
      </c>
      <c r="J274" s="12">
        <f>+J272-J273</f>
        <v>5555.5555555555557</v>
      </c>
    </row>
    <row r="275" spans="1:10" x14ac:dyDescent="0.3">
      <c r="H275" s="4"/>
      <c r="I275" s="5" t="s">
        <v>13</v>
      </c>
      <c r="J275" s="19">
        <f>+J271/J274</f>
        <v>0.30587760000000003</v>
      </c>
    </row>
    <row r="276" spans="1:10" x14ac:dyDescent="0.3">
      <c r="H276" s="4"/>
      <c r="I276" s="5" t="s">
        <v>14</v>
      </c>
      <c r="J276" s="20">
        <f>+J274-J271</f>
        <v>3856.2355555555555</v>
      </c>
    </row>
    <row r="277" spans="1:10" x14ac:dyDescent="0.3">
      <c r="I277" s="5" t="s">
        <v>15</v>
      </c>
      <c r="J277" s="22">
        <f>+J276/J271</f>
        <v>2.2692815688366847</v>
      </c>
    </row>
    <row r="279" spans="1:10" x14ac:dyDescent="0.3">
      <c r="A279" s="97" t="s">
        <v>250</v>
      </c>
      <c r="B279" s="88"/>
      <c r="C279" s="88"/>
      <c r="D279" s="88"/>
      <c r="E279" s="88"/>
      <c r="F279" s="88"/>
      <c r="G279" s="88"/>
      <c r="I279" s="277" t="s">
        <v>0</v>
      </c>
      <c r="J279" s="277"/>
    </row>
    <row r="280" spans="1:10" x14ac:dyDescent="0.3">
      <c r="A280" s="13" t="s">
        <v>1</v>
      </c>
      <c r="B280" s="14" t="s">
        <v>2</v>
      </c>
      <c r="C280" s="14" t="s">
        <v>3</v>
      </c>
      <c r="D280" s="14" t="s">
        <v>343</v>
      </c>
      <c r="E280" s="14" t="s">
        <v>585</v>
      </c>
      <c r="F280" s="28" t="s">
        <v>4</v>
      </c>
      <c r="G280" s="28" t="s">
        <v>5</v>
      </c>
      <c r="I280" s="5" t="s">
        <v>6</v>
      </c>
      <c r="J280" s="6">
        <f>SUM(Tabla1103453454455456479108135149219226227229230233859511913213714038[Total costo])</f>
        <v>857.50215209999999</v>
      </c>
    </row>
    <row r="281" spans="1:10" x14ac:dyDescent="0.3">
      <c r="A281" s="7" t="s">
        <v>69</v>
      </c>
      <c r="B281" s="8" t="s">
        <v>188</v>
      </c>
      <c r="C281" s="9">
        <v>30</v>
      </c>
      <c r="D281" s="9">
        <v>0</v>
      </c>
      <c r="E281" s="9">
        <v>30</v>
      </c>
      <c r="F281" s="10">
        <f>+VLOOKUP(Tabla1103453454455456479108135149219226227229230233859511913213714038[[#This Row],[Ingrediente]],Tabla34[#All],3,0)</f>
        <v>28.583405070000001</v>
      </c>
      <c r="G281" s="11">
        <f>+Tabla1103453454455456479108135149219226227229230233859511913213714038[[#This Row],[Costo]]*Tabla1103453454455456479108135149219226227229230233859511913213714038[[#This Row],[Cant.]]</f>
        <v>857.50215209999999</v>
      </c>
      <c r="I281" s="5" t="s">
        <v>113</v>
      </c>
      <c r="J281" s="12">
        <f>+J280*5%</f>
        <v>42.875107605000004</v>
      </c>
    </row>
    <row r="282" spans="1:10" x14ac:dyDescent="0.3">
      <c r="A282" s="13"/>
      <c r="B282" s="14"/>
      <c r="C282" s="14"/>
      <c r="D282" s="14"/>
      <c r="E282" s="14"/>
      <c r="F282" s="15"/>
      <c r="G282" s="15">
        <f>SUBTOTAL(109,Tabla1103453454455456479108135149219226227229230233859511913213714038[Total costo])</f>
        <v>857.50215209999999</v>
      </c>
      <c r="H282" s="4"/>
      <c r="I282" s="5" t="s">
        <v>9</v>
      </c>
      <c r="J282" s="12">
        <f>+J280+J281</f>
        <v>900.37725970500003</v>
      </c>
    </row>
    <row r="283" spans="1:10" x14ac:dyDescent="0.3">
      <c r="H283" s="4"/>
      <c r="I283" s="17" t="s">
        <v>10</v>
      </c>
      <c r="J283" s="18">
        <v>3900</v>
      </c>
    </row>
    <row r="284" spans="1:10" x14ac:dyDescent="0.3">
      <c r="H284" s="4"/>
      <c r="I284" s="5" t="s">
        <v>11</v>
      </c>
      <c r="J284" s="12">
        <f>+J283/1.08*0.08</f>
        <v>288.88888888888886</v>
      </c>
    </row>
    <row r="285" spans="1:10" x14ac:dyDescent="0.3">
      <c r="H285" s="4"/>
      <c r="I285" s="5" t="s">
        <v>12</v>
      </c>
      <c r="J285" s="12">
        <f>+J283-J284</f>
        <v>3611.1111111111113</v>
      </c>
    </row>
    <row r="286" spans="1:10" x14ac:dyDescent="0.3">
      <c r="H286" s="4"/>
      <c r="I286" s="5" t="s">
        <v>13</v>
      </c>
      <c r="J286" s="19">
        <f>+J282/J285</f>
        <v>0.24933524114907693</v>
      </c>
    </row>
    <row r="287" spans="1:10" x14ac:dyDescent="0.3">
      <c r="H287" s="4"/>
      <c r="I287" s="5" t="s">
        <v>14</v>
      </c>
      <c r="J287" s="20">
        <f>+J285-J282</f>
        <v>2710.7338514061112</v>
      </c>
    </row>
    <row r="288" spans="1:10" x14ac:dyDescent="0.3">
      <c r="I288" s="5" t="s">
        <v>15</v>
      </c>
      <c r="J288" s="22">
        <f>+J287/J282</f>
        <v>3.0106644988948932</v>
      </c>
    </row>
    <row r="292" spans="1:10" x14ac:dyDescent="0.3">
      <c r="A292" s="97" t="s">
        <v>725</v>
      </c>
      <c r="B292" s="88"/>
      <c r="C292" s="88"/>
      <c r="D292" s="88"/>
      <c r="E292" s="88"/>
      <c r="F292" s="88"/>
      <c r="G292" s="88"/>
      <c r="I292" s="277" t="s">
        <v>0</v>
      </c>
      <c r="J292" s="277"/>
    </row>
    <row r="293" spans="1:10" x14ac:dyDescent="0.3">
      <c r="A293" s="13" t="s">
        <v>1</v>
      </c>
      <c r="B293" s="14" t="s">
        <v>2</v>
      </c>
      <c r="C293" s="14" t="s">
        <v>3</v>
      </c>
      <c r="D293" s="14" t="s">
        <v>343</v>
      </c>
      <c r="E293" s="14" t="s">
        <v>585</v>
      </c>
      <c r="F293" s="28" t="s">
        <v>4</v>
      </c>
      <c r="G293" s="28" t="s">
        <v>5</v>
      </c>
      <c r="I293" s="5" t="s">
        <v>6</v>
      </c>
      <c r="J293" s="6">
        <f>SUM(Tabla1103453454455456479108135149219226227229230233859511913213714039[Total costo])</f>
        <v>2527.4977968000003</v>
      </c>
    </row>
    <row r="294" spans="1:10" x14ac:dyDescent="0.3">
      <c r="A294" s="7" t="s">
        <v>371</v>
      </c>
      <c r="B294" s="8" t="s">
        <v>188</v>
      </c>
      <c r="C294" s="9">
        <v>120</v>
      </c>
      <c r="D294" s="9">
        <v>0</v>
      </c>
      <c r="E294" s="9">
        <v>120</v>
      </c>
      <c r="F294" s="10">
        <f>+VLOOKUP(Tabla1103453454455456479108135149219226227229230233859511913213714039[[#This Row],[Ingrediente]],Tabla34[#All],3,0)</f>
        <v>21.062481640000001</v>
      </c>
      <c r="G294" s="11">
        <f>+Tabla1103453454455456479108135149219226227229230233859511913213714039[[#This Row],[Costo]]*Tabla1103453454455456479108135149219226227229230233859511913213714039[[#This Row],[Cant.]]</f>
        <v>2527.4977968000003</v>
      </c>
      <c r="I294" s="5" t="s">
        <v>113</v>
      </c>
      <c r="J294" s="12">
        <f>+J293*5%</f>
        <v>126.37488984000002</v>
      </c>
    </row>
    <row r="295" spans="1:10" x14ac:dyDescent="0.3">
      <c r="A295" s="13"/>
      <c r="B295" s="14"/>
      <c r="C295" s="14"/>
      <c r="D295" s="14"/>
      <c r="E295" s="14"/>
      <c r="F295" s="15"/>
      <c r="G295" s="15">
        <f>SUBTOTAL(109,Tabla1103453454455456479108135149219226227229230233859511913213714039[Total costo])</f>
        <v>2527.4977968000003</v>
      </c>
      <c r="H295" s="4"/>
      <c r="I295" s="5" t="s">
        <v>9</v>
      </c>
      <c r="J295" s="12">
        <f>+J293+J294</f>
        <v>2653.8726866400002</v>
      </c>
    </row>
    <row r="296" spans="1:10" x14ac:dyDescent="0.3">
      <c r="H296" s="4"/>
      <c r="I296" s="17" t="s">
        <v>10</v>
      </c>
      <c r="J296" s="18">
        <v>8000</v>
      </c>
    </row>
    <row r="297" spans="1:10" x14ac:dyDescent="0.3">
      <c r="H297" s="4"/>
      <c r="I297" s="5" t="s">
        <v>11</v>
      </c>
      <c r="J297" s="12">
        <f>+J296/1.08*0.08</f>
        <v>592.59259259259261</v>
      </c>
    </row>
    <row r="298" spans="1:10" x14ac:dyDescent="0.3">
      <c r="H298" s="4"/>
      <c r="I298" s="5" t="s">
        <v>12</v>
      </c>
      <c r="J298" s="12">
        <f>+J296-J297</f>
        <v>7407.4074074074069</v>
      </c>
    </row>
    <row r="299" spans="1:10" x14ac:dyDescent="0.3">
      <c r="H299" s="4"/>
      <c r="I299" s="5" t="s">
        <v>13</v>
      </c>
      <c r="J299" s="19">
        <f>+J295/J298</f>
        <v>0.35827281269640004</v>
      </c>
    </row>
    <row r="300" spans="1:10" x14ac:dyDescent="0.3">
      <c r="H300" s="4"/>
      <c r="I300" s="5" t="s">
        <v>14</v>
      </c>
      <c r="J300" s="20">
        <f>+J298-J295</f>
        <v>4753.5347207674067</v>
      </c>
    </row>
    <row r="301" spans="1:10" x14ac:dyDescent="0.3">
      <c r="I301" s="5" t="s">
        <v>15</v>
      </c>
      <c r="J301" s="22">
        <f>+J300/J295</f>
        <v>1.791169088365627</v>
      </c>
    </row>
    <row r="305" spans="1:10" x14ac:dyDescent="0.3">
      <c r="A305" s="97" t="s">
        <v>32</v>
      </c>
      <c r="B305" s="88"/>
      <c r="C305" s="88"/>
      <c r="D305" s="88"/>
      <c r="E305" s="88"/>
      <c r="F305" s="88"/>
      <c r="G305" s="88"/>
      <c r="I305" s="277" t="s">
        <v>0</v>
      </c>
      <c r="J305" s="277"/>
    </row>
    <row r="306" spans="1:10" x14ac:dyDescent="0.3">
      <c r="A306" s="13" t="s">
        <v>1</v>
      </c>
      <c r="B306" s="14" t="s">
        <v>2</v>
      </c>
      <c r="C306" s="14" t="s">
        <v>3</v>
      </c>
      <c r="D306" s="14" t="s">
        <v>343</v>
      </c>
      <c r="E306" s="14" t="s">
        <v>585</v>
      </c>
      <c r="F306" s="28" t="s">
        <v>4</v>
      </c>
      <c r="G306" s="28" t="s">
        <v>5</v>
      </c>
      <c r="I306" s="5" t="s">
        <v>6</v>
      </c>
      <c r="J306" s="6">
        <f>SUM(Tabla110345345445545647910813514921922622722923023385951191321371403910[Total costo])</f>
        <v>1333.3333333200001</v>
      </c>
    </row>
    <row r="307" spans="1:10" x14ac:dyDescent="0.3">
      <c r="A307" s="7" t="s">
        <v>358</v>
      </c>
      <c r="B307" s="8" t="s">
        <v>570</v>
      </c>
      <c r="C307" s="9">
        <v>1</v>
      </c>
      <c r="D307" s="9">
        <v>0</v>
      </c>
      <c r="E307" s="9">
        <v>1</v>
      </c>
      <c r="F307" s="10">
        <f>+VLOOKUP(Tabla110345345445545647910813514921922622722923023385951191321371403910[[#This Row],[Ingrediente]],Tabla34[#All],3,0)</f>
        <v>1333.3333333200001</v>
      </c>
      <c r="G307" s="11">
        <f>+Tabla110345345445545647910813514921922622722923023385951191321371403910[[#This Row],[Costo]]*Tabla110345345445545647910813514921922622722923023385951191321371403910[[#This Row],[Cant.]]</f>
        <v>1333.3333333200001</v>
      </c>
      <c r="I307" s="5" t="s">
        <v>113</v>
      </c>
      <c r="J307" s="12">
        <f>+J306*5%</f>
        <v>66.666666666000012</v>
      </c>
    </row>
    <row r="308" spans="1:10" x14ac:dyDescent="0.3">
      <c r="A308" s="13"/>
      <c r="B308" s="14"/>
      <c r="C308" s="14"/>
      <c r="D308" s="14"/>
      <c r="E308" s="14"/>
      <c r="F308" s="15"/>
      <c r="G308" s="15">
        <f>SUBTOTAL(109,Tabla110345345445545647910813514921922622722923023385951191321371403910[Total costo])</f>
        <v>1333.3333333200001</v>
      </c>
      <c r="H308" s="4"/>
      <c r="I308" s="5" t="s">
        <v>9</v>
      </c>
      <c r="J308" s="12">
        <f>+J306+J307</f>
        <v>1399.9999999860001</v>
      </c>
    </row>
    <row r="309" spans="1:10" x14ac:dyDescent="0.3">
      <c r="H309" s="4"/>
      <c r="I309" s="17" t="s">
        <v>10</v>
      </c>
      <c r="J309" s="18">
        <v>8000</v>
      </c>
    </row>
    <row r="310" spans="1:10" x14ac:dyDescent="0.3">
      <c r="H310" s="4"/>
      <c r="I310" s="5" t="s">
        <v>11</v>
      </c>
      <c r="J310" s="12">
        <f>+J309/1.08*0.08</f>
        <v>592.59259259259261</v>
      </c>
    </row>
    <row r="311" spans="1:10" x14ac:dyDescent="0.3">
      <c r="H311" s="4"/>
      <c r="I311" s="5" t="s">
        <v>12</v>
      </c>
      <c r="J311" s="12">
        <f>+J309-J310</f>
        <v>7407.4074074074069</v>
      </c>
    </row>
    <row r="312" spans="1:10" x14ac:dyDescent="0.3">
      <c r="H312" s="4"/>
      <c r="I312" s="5" t="s">
        <v>13</v>
      </c>
      <c r="J312" s="19">
        <f>+J308/J311</f>
        <v>0.18899999999811004</v>
      </c>
    </row>
    <row r="313" spans="1:10" x14ac:dyDescent="0.3">
      <c r="H313" s="4"/>
      <c r="I313" s="5" t="s">
        <v>14</v>
      </c>
      <c r="J313" s="20">
        <f>+J311-J308</f>
        <v>6007.4074074214068</v>
      </c>
    </row>
    <row r="314" spans="1:10" x14ac:dyDescent="0.3">
      <c r="I314" s="5" t="s">
        <v>15</v>
      </c>
      <c r="J314" s="22">
        <f>+J313/J308</f>
        <v>4.2910052910581999</v>
      </c>
    </row>
    <row r="316" spans="1:10" x14ac:dyDescent="0.3">
      <c r="A316" s="97" t="s">
        <v>726</v>
      </c>
      <c r="B316" s="88"/>
      <c r="C316" s="88"/>
      <c r="D316" s="88"/>
      <c r="E316" s="88"/>
      <c r="F316" s="88"/>
      <c r="G316" s="88"/>
      <c r="I316" s="277" t="s">
        <v>0</v>
      </c>
      <c r="J316" s="277"/>
    </row>
    <row r="317" spans="1:10" x14ac:dyDescent="0.3">
      <c r="A317" s="13" t="s">
        <v>1</v>
      </c>
      <c r="B317" s="14" t="s">
        <v>2</v>
      </c>
      <c r="C317" s="14" t="s">
        <v>3</v>
      </c>
      <c r="D317" s="14" t="s">
        <v>343</v>
      </c>
      <c r="E317" s="14" t="s">
        <v>585</v>
      </c>
      <c r="F317" s="28" t="s">
        <v>4</v>
      </c>
      <c r="G317" s="28" t="s">
        <v>5</v>
      </c>
      <c r="I317" s="5" t="s">
        <v>6</v>
      </c>
      <c r="J317" s="6">
        <f>SUM(Tabla110345345445545647910813514921922622722923023385951191321371403911[Total costo])</f>
        <v>20955.187312270002</v>
      </c>
    </row>
    <row r="318" spans="1:10" x14ac:dyDescent="0.3">
      <c r="A318" s="7" t="s">
        <v>363</v>
      </c>
      <c r="B318" s="8" t="s">
        <v>570</v>
      </c>
      <c r="C318" s="9">
        <v>1</v>
      </c>
      <c r="D318" s="9">
        <v>0</v>
      </c>
      <c r="E318" s="9">
        <v>1</v>
      </c>
      <c r="F318" s="10">
        <f>+VLOOKUP(Tabla110345345445545647910813514921922622722923023385951191321371403911[[#This Row],[Ingrediente]],Tabla34[#All],3,0)</f>
        <v>20955.187312270002</v>
      </c>
      <c r="G318" s="11">
        <f>+Tabla110345345445545647910813514921922622722923023385951191321371403911[[#This Row],[Costo]]*Tabla110345345445545647910813514921922622722923023385951191321371403911[[#This Row],[Cant.]]</f>
        <v>20955.187312270002</v>
      </c>
      <c r="I318" s="5" t="s">
        <v>113</v>
      </c>
      <c r="J318" s="12">
        <f>+J317*5%</f>
        <v>1047.7593656135002</v>
      </c>
    </row>
    <row r="319" spans="1:10" x14ac:dyDescent="0.3">
      <c r="A319" s="13"/>
      <c r="B319" s="14"/>
      <c r="C319" s="14"/>
      <c r="D319" s="14"/>
      <c r="E319" s="14"/>
      <c r="F319" s="15"/>
      <c r="G319" s="15">
        <f>SUBTOTAL(109,Tabla110345345445545647910813514921922622722923023385951191321371403911[Total costo])</f>
        <v>20955.187312270002</v>
      </c>
      <c r="H319" s="4"/>
      <c r="I319" s="5" t="s">
        <v>9</v>
      </c>
      <c r="J319" s="12">
        <f>+J317+J318</f>
        <v>22002.946677883501</v>
      </c>
    </row>
    <row r="320" spans="1:10" x14ac:dyDescent="0.3">
      <c r="H320" s="4"/>
      <c r="I320" s="17" t="s">
        <v>10</v>
      </c>
      <c r="J320" s="18">
        <v>17000</v>
      </c>
    </row>
    <row r="321" spans="1:10" x14ac:dyDescent="0.3">
      <c r="H321" s="4"/>
      <c r="I321" s="5" t="s">
        <v>11</v>
      </c>
      <c r="J321" s="12">
        <f>+J320/1.08*0.08</f>
        <v>1259.2592592592591</v>
      </c>
    </row>
    <row r="322" spans="1:10" x14ac:dyDescent="0.3">
      <c r="H322" s="4"/>
      <c r="I322" s="5" t="s">
        <v>12</v>
      </c>
      <c r="J322" s="12">
        <f>+J320-J321</f>
        <v>15740.740740740741</v>
      </c>
    </row>
    <row r="323" spans="1:10" x14ac:dyDescent="0.3">
      <c r="H323" s="4"/>
      <c r="I323" s="5" t="s">
        <v>13</v>
      </c>
      <c r="J323" s="19">
        <f>+J319/J322</f>
        <v>1.3978342595361284</v>
      </c>
    </row>
    <row r="324" spans="1:10" x14ac:dyDescent="0.3">
      <c r="H324" s="4"/>
      <c r="I324" s="5" t="s">
        <v>14</v>
      </c>
      <c r="J324" s="20">
        <f>+J322-J319</f>
        <v>-6262.2059371427604</v>
      </c>
    </row>
    <row r="325" spans="1:10" x14ac:dyDescent="0.3">
      <c r="I325" s="5" t="s">
        <v>15</v>
      </c>
      <c r="J325" s="22">
        <f>+J324/J319</f>
        <v>-0.28460760410046732</v>
      </c>
    </row>
    <row r="328" spans="1:10" x14ac:dyDescent="0.3">
      <c r="A328" s="97" t="s">
        <v>727</v>
      </c>
      <c r="B328" s="88"/>
      <c r="C328" s="88"/>
      <c r="D328" s="88"/>
      <c r="E328" s="88"/>
      <c r="F328" s="88"/>
      <c r="G328" s="88"/>
      <c r="I328" s="277" t="s">
        <v>0</v>
      </c>
      <c r="J328" s="277"/>
    </row>
    <row r="329" spans="1:10" x14ac:dyDescent="0.3">
      <c r="A329" s="13" t="s">
        <v>1</v>
      </c>
      <c r="B329" s="14" t="s">
        <v>2</v>
      </c>
      <c r="C329" s="14" t="s">
        <v>3</v>
      </c>
      <c r="D329" s="14" t="s">
        <v>343</v>
      </c>
      <c r="E329" s="14" t="s">
        <v>585</v>
      </c>
      <c r="F329" s="28" t="s">
        <v>4</v>
      </c>
      <c r="G329" s="28" t="s">
        <v>5</v>
      </c>
      <c r="I329" s="5" t="s">
        <v>6</v>
      </c>
      <c r="J329" s="6">
        <f>SUM(Tabla110345345445545647910813514921922622722923023385951191321371403912[Total costo])</f>
        <v>1219.7499999999998</v>
      </c>
    </row>
    <row r="330" spans="1:10" x14ac:dyDescent="0.3">
      <c r="A330" s="7" t="s">
        <v>376</v>
      </c>
      <c r="B330" s="8" t="s">
        <v>188</v>
      </c>
      <c r="C330" s="9">
        <v>20</v>
      </c>
      <c r="D330" s="9">
        <v>0</v>
      </c>
      <c r="E330" s="9">
        <v>20</v>
      </c>
      <c r="F330" s="10">
        <f>+VLOOKUP(Tabla110345345445545647910813514921922622722923023385951191321371403912[[#This Row],[Ingrediente]],Tabla34[#All],3,0)</f>
        <v>60.98749999999999</v>
      </c>
      <c r="G330" s="11">
        <f>+Tabla110345345445545647910813514921922622722923023385951191321371403912[[#This Row],[Costo]]*Tabla110345345445545647910813514921922622722923023385951191321371403912[[#This Row],[Cant.]]</f>
        <v>1219.7499999999998</v>
      </c>
      <c r="I330" s="5" t="s">
        <v>113</v>
      </c>
      <c r="J330" s="12">
        <f>+J329*5%</f>
        <v>60.98749999999999</v>
      </c>
    </row>
    <row r="331" spans="1:10" x14ac:dyDescent="0.3">
      <c r="A331" s="13"/>
      <c r="B331" s="14"/>
      <c r="C331" s="14"/>
      <c r="D331" s="14"/>
      <c r="E331" s="14"/>
      <c r="F331" s="15"/>
      <c r="G331" s="15">
        <f>SUBTOTAL(109,Tabla110345345445545647910813514921922622722923023385951191321371403912[Total costo])</f>
        <v>1219.7499999999998</v>
      </c>
      <c r="H331" s="4"/>
      <c r="I331" s="5" t="s">
        <v>9</v>
      </c>
      <c r="J331" s="12">
        <f>+J329+J330</f>
        <v>1280.7374999999997</v>
      </c>
    </row>
    <row r="332" spans="1:10" x14ac:dyDescent="0.3">
      <c r="H332" s="4"/>
      <c r="I332" s="17" t="s">
        <v>10</v>
      </c>
      <c r="J332" s="18">
        <v>8000</v>
      </c>
    </row>
    <row r="333" spans="1:10" x14ac:dyDescent="0.3">
      <c r="H333" s="4"/>
      <c r="I333" s="5" t="s">
        <v>11</v>
      </c>
      <c r="J333" s="12">
        <f>+J332/1.08*0.08</f>
        <v>592.59259259259261</v>
      </c>
    </row>
    <row r="334" spans="1:10" x14ac:dyDescent="0.3">
      <c r="H334" s="4"/>
      <c r="I334" s="5" t="s">
        <v>12</v>
      </c>
      <c r="J334" s="12">
        <f>+J332-J333</f>
        <v>7407.4074074074069</v>
      </c>
    </row>
    <row r="335" spans="1:10" x14ac:dyDescent="0.3">
      <c r="H335" s="4"/>
      <c r="I335" s="5" t="s">
        <v>13</v>
      </c>
      <c r="J335" s="19">
        <f>+J331/J334</f>
        <v>0.17289956249999996</v>
      </c>
    </row>
    <row r="336" spans="1:10" x14ac:dyDescent="0.3">
      <c r="H336" s="4"/>
      <c r="I336" s="5" t="s">
        <v>14</v>
      </c>
      <c r="J336" s="20">
        <f>+J334-J331</f>
        <v>6126.6699074074077</v>
      </c>
    </row>
    <row r="337" spans="1:10" x14ac:dyDescent="0.3">
      <c r="I337" s="5" t="s">
        <v>15</v>
      </c>
      <c r="J337" s="22">
        <f>+J336/J331</f>
        <v>4.7837046290964453</v>
      </c>
    </row>
    <row r="341" spans="1:10" x14ac:dyDescent="0.3">
      <c r="A341" s="97" t="s">
        <v>246</v>
      </c>
      <c r="B341" s="88"/>
      <c r="C341" s="88"/>
      <c r="D341" s="88"/>
      <c r="E341" s="88"/>
      <c r="F341" s="88"/>
      <c r="G341" s="88"/>
      <c r="I341" s="277" t="s">
        <v>0</v>
      </c>
      <c r="J341" s="277"/>
    </row>
    <row r="342" spans="1:10" x14ac:dyDescent="0.3">
      <c r="A342" s="13" t="s">
        <v>1</v>
      </c>
      <c r="B342" s="14" t="s">
        <v>2</v>
      </c>
      <c r="C342" s="14" t="s">
        <v>3</v>
      </c>
      <c r="D342" s="14" t="s">
        <v>343</v>
      </c>
      <c r="E342" s="14" t="s">
        <v>585</v>
      </c>
      <c r="F342" s="28" t="s">
        <v>4</v>
      </c>
      <c r="G342" s="28" t="s">
        <v>5</v>
      </c>
      <c r="I342" s="5" t="s">
        <v>6</v>
      </c>
      <c r="J342" s="6">
        <f>SUM(Tabla11034534544554564791081351492192262272292302338595119132137140391213[Total costo])</f>
        <v>367.59497729999998</v>
      </c>
    </row>
    <row r="343" spans="1:10" x14ac:dyDescent="0.3">
      <c r="A343" s="7" t="s">
        <v>74</v>
      </c>
      <c r="B343" s="8" t="s">
        <v>188</v>
      </c>
      <c r="C343" s="9">
        <v>30</v>
      </c>
      <c r="D343" s="9">
        <v>0</v>
      </c>
      <c r="E343" s="9">
        <v>30</v>
      </c>
      <c r="F343" s="10">
        <f>+VLOOKUP(Tabla11034534544554564791081351492192262272292302338595119132137140391213[[#This Row],[Ingrediente]],Tabla34[#All],3,0)</f>
        <v>12.25316591</v>
      </c>
      <c r="G343" s="11">
        <f>+Tabla11034534544554564791081351492192262272292302338595119132137140391213[[#This Row],[Costo]]*Tabla11034534544554564791081351492192262272292302338595119132137140391213[[#This Row],[Cant.]]</f>
        <v>367.59497729999998</v>
      </c>
      <c r="I343" s="5" t="s">
        <v>113</v>
      </c>
      <c r="J343" s="12">
        <f>+J342*5%</f>
        <v>18.379748865</v>
      </c>
    </row>
    <row r="344" spans="1:10" x14ac:dyDescent="0.3">
      <c r="A344" s="13"/>
      <c r="B344" s="14"/>
      <c r="C344" s="14"/>
      <c r="D344" s="14"/>
      <c r="E344" s="14"/>
      <c r="F344" s="15"/>
      <c r="G344" s="15">
        <f>SUBTOTAL(109,Tabla11034534544554564791081351492192262272292302338595119132137140391213[Total costo])</f>
        <v>367.59497729999998</v>
      </c>
      <c r="H344" s="4"/>
      <c r="I344" s="5" t="s">
        <v>9</v>
      </c>
      <c r="J344" s="12">
        <f>+J342+J343</f>
        <v>385.97472616499999</v>
      </c>
    </row>
    <row r="345" spans="1:10" x14ac:dyDescent="0.3">
      <c r="H345" s="4"/>
      <c r="I345" s="17" t="s">
        <v>10</v>
      </c>
      <c r="J345" s="18">
        <v>2900</v>
      </c>
    </row>
    <row r="346" spans="1:10" x14ac:dyDescent="0.3">
      <c r="H346" s="4"/>
      <c r="I346" s="5" t="s">
        <v>11</v>
      </c>
      <c r="J346" s="12">
        <f>+J345/1.08*0.08</f>
        <v>214.81481481481481</v>
      </c>
    </row>
    <row r="347" spans="1:10" x14ac:dyDescent="0.3">
      <c r="H347" s="4"/>
      <c r="I347" s="5" t="s">
        <v>12</v>
      </c>
      <c r="J347" s="12">
        <f>+J345-J346</f>
        <v>2685.1851851851852</v>
      </c>
    </row>
    <row r="348" spans="1:10" x14ac:dyDescent="0.3">
      <c r="H348" s="4"/>
      <c r="I348" s="5" t="s">
        <v>13</v>
      </c>
      <c r="J348" s="19">
        <f>+J344/J347</f>
        <v>0.1437423118131724</v>
      </c>
    </row>
    <row r="349" spans="1:10" x14ac:dyDescent="0.3">
      <c r="H349" s="4"/>
      <c r="I349" s="5" t="s">
        <v>14</v>
      </c>
      <c r="J349" s="20">
        <f>+J347-J344</f>
        <v>2299.2104590201852</v>
      </c>
    </row>
    <row r="350" spans="1:10" x14ac:dyDescent="0.3">
      <c r="I350" s="5" t="s">
        <v>15</v>
      </c>
      <c r="J350" s="22">
        <f>+J349/J344</f>
        <v>5.9568938149522719</v>
      </c>
    </row>
    <row r="354" spans="1:10" x14ac:dyDescent="0.3">
      <c r="A354" s="97" t="s">
        <v>728</v>
      </c>
      <c r="B354" s="88"/>
      <c r="C354" s="88"/>
      <c r="D354" s="88"/>
      <c r="E354" s="88"/>
      <c r="F354" s="88"/>
      <c r="G354" s="88"/>
      <c r="I354" s="277" t="s">
        <v>0</v>
      </c>
      <c r="J354" s="277"/>
    </row>
    <row r="355" spans="1:10" x14ac:dyDescent="0.3">
      <c r="A355" s="13" t="s">
        <v>1</v>
      </c>
      <c r="B355" s="14" t="s">
        <v>2</v>
      </c>
      <c r="C355" s="14" t="s">
        <v>3</v>
      </c>
      <c r="D355" s="14" t="s">
        <v>343</v>
      </c>
      <c r="E355" s="14" t="s">
        <v>585</v>
      </c>
      <c r="F355" s="28" t="s">
        <v>4</v>
      </c>
      <c r="G355" s="28" t="s">
        <v>5</v>
      </c>
      <c r="I355" s="5" t="s">
        <v>6</v>
      </c>
      <c r="J355" s="6" t="e">
        <f>SUM(Tabla11034534544554564791081351492192262272292302338595119132137140391214[Total costo])</f>
        <v>#N/A</v>
      </c>
    </row>
    <row r="356" spans="1:10" x14ac:dyDescent="0.3">
      <c r="A356" s="7" t="s">
        <v>521</v>
      </c>
      <c r="B356" s="8" t="s">
        <v>188</v>
      </c>
      <c r="C356" s="9">
        <v>30</v>
      </c>
      <c r="D356" s="9">
        <v>0</v>
      </c>
      <c r="E356" s="9">
        <v>30</v>
      </c>
      <c r="F356" s="10" t="e">
        <f>+VLOOKUP(Tabla11034534544554564791081351492192262272292302338595119132137140391214[[#This Row],[Ingrediente]],Tabla34[#All],3,0)</f>
        <v>#N/A</v>
      </c>
      <c r="G356" s="11" t="e">
        <f>+Tabla11034534544554564791081351492192262272292302338595119132137140391214[[#This Row],[Costo]]*Tabla11034534544554564791081351492192262272292302338595119132137140391214[[#This Row],[Columna2]]</f>
        <v>#N/A</v>
      </c>
      <c r="I356" s="5" t="s">
        <v>113</v>
      </c>
      <c r="J356" s="12" t="e">
        <f>+J355*5%</f>
        <v>#N/A</v>
      </c>
    </row>
    <row r="357" spans="1:10" x14ac:dyDescent="0.3">
      <c r="A357" s="13"/>
      <c r="B357" s="14"/>
      <c r="C357" s="14"/>
      <c r="D357" s="14"/>
      <c r="E357" s="14"/>
      <c r="F357" s="15"/>
      <c r="G357" s="15" t="e">
        <f>SUBTOTAL(109,Tabla11034534544554564791081351492192262272292302338595119132137140391214[Total costo])</f>
        <v>#N/A</v>
      </c>
      <c r="H357" s="4"/>
      <c r="I357" s="5" t="s">
        <v>9</v>
      </c>
      <c r="J357" s="12" t="e">
        <f>+J355+J356</f>
        <v>#N/A</v>
      </c>
    </row>
    <row r="358" spans="1:10" x14ac:dyDescent="0.3">
      <c r="H358" s="4"/>
      <c r="I358" s="17" t="s">
        <v>10</v>
      </c>
      <c r="J358" s="18">
        <v>2900</v>
      </c>
    </row>
    <row r="359" spans="1:10" x14ac:dyDescent="0.3">
      <c r="H359" s="4"/>
      <c r="I359" s="5" t="s">
        <v>11</v>
      </c>
      <c r="J359" s="12">
        <f>+J358/1.08*0.08</f>
        <v>214.81481481481481</v>
      </c>
    </row>
    <row r="360" spans="1:10" x14ac:dyDescent="0.3">
      <c r="H360" s="4"/>
      <c r="I360" s="5" t="s">
        <v>12</v>
      </c>
      <c r="J360" s="12">
        <f>+J358-J359</f>
        <v>2685.1851851851852</v>
      </c>
    </row>
    <row r="361" spans="1:10" x14ac:dyDescent="0.3">
      <c r="H361" s="4"/>
      <c r="I361" s="5" t="s">
        <v>13</v>
      </c>
      <c r="J361" s="19" t="e">
        <f>+J357/J360</f>
        <v>#N/A</v>
      </c>
    </row>
    <row r="362" spans="1:10" x14ac:dyDescent="0.3">
      <c r="H362" s="4"/>
      <c r="I362" s="5" t="s">
        <v>14</v>
      </c>
      <c r="J362" s="20" t="e">
        <f>+J360-J357</f>
        <v>#N/A</v>
      </c>
    </row>
    <row r="363" spans="1:10" x14ac:dyDescent="0.3">
      <c r="I363" s="5" t="s">
        <v>15</v>
      </c>
      <c r="J363" s="22" t="e">
        <f>+J362/J357</f>
        <v>#N/A</v>
      </c>
    </row>
    <row r="367" spans="1:10" x14ac:dyDescent="0.3">
      <c r="A367" s="97" t="s">
        <v>729</v>
      </c>
      <c r="B367" s="88"/>
      <c r="C367" s="88"/>
      <c r="D367" s="88"/>
      <c r="E367" s="88"/>
      <c r="F367" s="88"/>
      <c r="G367" s="88"/>
      <c r="I367" s="277" t="s">
        <v>0</v>
      </c>
      <c r="J367" s="277"/>
    </row>
    <row r="368" spans="1:10" x14ac:dyDescent="0.3">
      <c r="A368" s="13" t="s">
        <v>1</v>
      </c>
      <c r="B368" s="14" t="s">
        <v>2</v>
      </c>
      <c r="C368" s="14" t="s">
        <v>3</v>
      </c>
      <c r="D368" s="14" t="s">
        <v>343</v>
      </c>
      <c r="E368" s="14" t="s">
        <v>585</v>
      </c>
      <c r="F368" s="28" t="s">
        <v>4</v>
      </c>
      <c r="G368" s="28" t="s">
        <v>5</v>
      </c>
      <c r="I368" s="5" t="s">
        <v>6</v>
      </c>
      <c r="J368" s="6">
        <f>SUM(Tabla11034534544554564791081351492192262272292302338595119132137140391215[Total costo])</f>
        <v>564.84827580000001</v>
      </c>
    </row>
    <row r="369" spans="1:10" x14ac:dyDescent="0.3">
      <c r="A369" s="7" t="s">
        <v>393</v>
      </c>
      <c r="B369" s="8" t="s">
        <v>188</v>
      </c>
      <c r="C369" s="9">
        <v>30</v>
      </c>
      <c r="D369" s="9">
        <v>0</v>
      </c>
      <c r="E369" s="9">
        <v>30</v>
      </c>
      <c r="F369" s="10">
        <f>+VLOOKUP(Tabla11034534544554564791081351492192262272292302338595119132137140391215[[#This Row],[Ingrediente]],Tabla34[#All],3,0)</f>
        <v>18.828275860000002</v>
      </c>
      <c r="G369" s="11">
        <f>+Tabla11034534544554564791081351492192262272292302338595119132137140391215[[#This Row],[Costo]]*Tabla11034534544554564791081351492192262272292302338595119132137140391215[[#This Row],[Cant.]]</f>
        <v>564.84827580000001</v>
      </c>
      <c r="I369" s="5" t="s">
        <v>113</v>
      </c>
      <c r="J369" s="12">
        <f>+J368*5%</f>
        <v>28.242413790000001</v>
      </c>
    </row>
    <row r="370" spans="1:10" x14ac:dyDescent="0.3">
      <c r="A370" s="13"/>
      <c r="B370" s="14"/>
      <c r="C370" s="14"/>
      <c r="D370" s="14"/>
      <c r="E370" s="14"/>
      <c r="F370" s="15"/>
      <c r="G370" s="15">
        <f>SUBTOTAL(109,Tabla11034534544554564791081351492192262272292302338595119132137140391215[Total costo])</f>
        <v>564.84827580000001</v>
      </c>
      <c r="H370" s="4"/>
      <c r="I370" s="5" t="s">
        <v>9</v>
      </c>
      <c r="J370" s="12">
        <f>+J368+J369</f>
        <v>593.09068959000001</v>
      </c>
    </row>
    <row r="371" spans="1:10" x14ac:dyDescent="0.3">
      <c r="H371" s="4"/>
      <c r="I371" s="17" t="s">
        <v>10</v>
      </c>
      <c r="J371" s="18">
        <v>3900</v>
      </c>
    </row>
    <row r="372" spans="1:10" x14ac:dyDescent="0.3">
      <c r="H372" s="4"/>
      <c r="I372" s="5" t="s">
        <v>11</v>
      </c>
      <c r="J372" s="12">
        <f>+J371/1.08*0.08</f>
        <v>288.88888888888886</v>
      </c>
    </row>
    <row r="373" spans="1:10" x14ac:dyDescent="0.3">
      <c r="H373" s="4"/>
      <c r="I373" s="5" t="s">
        <v>12</v>
      </c>
      <c r="J373" s="12">
        <f>+J371-J372</f>
        <v>3611.1111111111113</v>
      </c>
    </row>
    <row r="374" spans="1:10" x14ac:dyDescent="0.3">
      <c r="H374" s="4"/>
      <c r="I374" s="5" t="s">
        <v>13</v>
      </c>
      <c r="J374" s="19">
        <f>+J370/J373</f>
        <v>0.16424049865569229</v>
      </c>
    </row>
    <row r="375" spans="1:10" x14ac:dyDescent="0.3">
      <c r="H375" s="4"/>
      <c r="I375" s="5" t="s">
        <v>14</v>
      </c>
      <c r="J375" s="20">
        <f>+J373-J370</f>
        <v>3018.0204215211115</v>
      </c>
    </row>
    <row r="376" spans="1:10" x14ac:dyDescent="0.3">
      <c r="I376" s="5" t="s">
        <v>15</v>
      </c>
      <c r="J376" s="22">
        <f>+J375/J370</f>
        <v>5.0886322690505406</v>
      </c>
    </row>
    <row r="380" spans="1:10" x14ac:dyDescent="0.3">
      <c r="A380" s="97" t="s">
        <v>730</v>
      </c>
      <c r="B380" s="88"/>
      <c r="C380" s="88"/>
      <c r="D380" s="88"/>
      <c r="E380" s="88"/>
      <c r="F380" s="88"/>
      <c r="G380" s="88"/>
      <c r="I380" s="277" t="s">
        <v>0</v>
      </c>
      <c r="J380" s="277"/>
    </row>
    <row r="381" spans="1:10" x14ac:dyDescent="0.3">
      <c r="A381" s="13" t="s">
        <v>1</v>
      </c>
      <c r="B381" s="14" t="s">
        <v>2</v>
      </c>
      <c r="C381" s="14" t="s">
        <v>3</v>
      </c>
      <c r="D381" s="14" t="s">
        <v>343</v>
      </c>
      <c r="E381" s="14" t="s">
        <v>585</v>
      </c>
      <c r="F381" s="28" t="s">
        <v>4</v>
      </c>
      <c r="G381" s="28" t="s">
        <v>5</v>
      </c>
      <c r="I381" s="5" t="s">
        <v>6</v>
      </c>
      <c r="J381" s="6">
        <f>SUM(Tabla1103453454455456479108135149219226227229230233859511913213714039121516[Total costo])</f>
        <v>689.98386760000005</v>
      </c>
    </row>
    <row r="382" spans="1:10" x14ac:dyDescent="0.3">
      <c r="A382" s="7" t="s">
        <v>75</v>
      </c>
      <c r="B382" s="8" t="s">
        <v>188</v>
      </c>
      <c r="C382" s="9">
        <v>40</v>
      </c>
      <c r="D382" s="9">
        <v>0</v>
      </c>
      <c r="E382" s="9">
        <v>40</v>
      </c>
      <c r="F382" s="10">
        <f>+VLOOKUP(Tabla1103453454455456479108135149219226227229230233859511913213714039121516[[#This Row],[Ingrediente]],Tabla34[#All],3,0)</f>
        <v>17.249596690000001</v>
      </c>
      <c r="G382" s="11">
        <f>+Tabla1103453454455456479108135149219226227229230233859511913213714039121516[[#This Row],[Costo]]*Tabla1103453454455456479108135149219226227229230233859511913213714039121516[[#This Row],[Cant.]]</f>
        <v>689.98386760000005</v>
      </c>
      <c r="I382" s="5" t="s">
        <v>113</v>
      </c>
      <c r="J382" s="12">
        <f>+J381*5%</f>
        <v>34.499193380000001</v>
      </c>
    </row>
    <row r="383" spans="1:10" x14ac:dyDescent="0.3">
      <c r="A383" s="13"/>
      <c r="B383" s="14"/>
      <c r="C383" s="14"/>
      <c r="D383" s="14"/>
      <c r="E383" s="14"/>
      <c r="F383" s="15"/>
      <c r="G383" s="15">
        <f>SUBTOTAL(109,Tabla1103453454455456479108135149219226227229230233859511913213714039121516[Total costo])</f>
        <v>689.98386760000005</v>
      </c>
      <c r="H383" s="4"/>
      <c r="I383" s="5" t="s">
        <v>9</v>
      </c>
      <c r="J383" s="12">
        <f>+J381+J382</f>
        <v>724.48306098</v>
      </c>
    </row>
    <row r="384" spans="1:10" x14ac:dyDescent="0.3">
      <c r="H384" s="4"/>
      <c r="I384" s="17" t="s">
        <v>10</v>
      </c>
      <c r="J384" s="18">
        <v>3900</v>
      </c>
    </row>
    <row r="385" spans="1:10" x14ac:dyDescent="0.3">
      <c r="H385" s="4"/>
      <c r="I385" s="5" t="s">
        <v>11</v>
      </c>
      <c r="J385" s="12">
        <f>+J384/1.08*0.08</f>
        <v>288.88888888888886</v>
      </c>
    </row>
    <row r="386" spans="1:10" x14ac:dyDescent="0.3">
      <c r="H386" s="4"/>
      <c r="I386" s="5" t="s">
        <v>12</v>
      </c>
      <c r="J386" s="12">
        <f>+J384-J385</f>
        <v>3611.1111111111113</v>
      </c>
    </row>
    <row r="387" spans="1:10" x14ac:dyDescent="0.3">
      <c r="H387" s="4"/>
      <c r="I387" s="5" t="s">
        <v>13</v>
      </c>
      <c r="J387" s="19">
        <f>+J383/J386</f>
        <v>0.20062607842523075</v>
      </c>
    </row>
    <row r="388" spans="1:10" x14ac:dyDescent="0.3">
      <c r="H388" s="4"/>
      <c r="I388" s="5" t="s">
        <v>14</v>
      </c>
      <c r="J388" s="20">
        <f>+J386-J383</f>
        <v>2886.6280501311112</v>
      </c>
    </row>
    <row r="389" spans="1:10" x14ac:dyDescent="0.3">
      <c r="I389" s="5" t="s">
        <v>15</v>
      </c>
      <c r="J389" s="22">
        <f>+J388/J383</f>
        <v>3.9843968832430701</v>
      </c>
    </row>
    <row r="393" spans="1:10" x14ac:dyDescent="0.3">
      <c r="A393" s="97" t="s">
        <v>731</v>
      </c>
      <c r="B393" s="88"/>
      <c r="C393" s="88"/>
      <c r="D393" s="88"/>
      <c r="E393" s="88"/>
      <c r="F393" s="88"/>
      <c r="G393" s="88"/>
      <c r="I393" s="277" t="s">
        <v>0</v>
      </c>
      <c r="J393" s="277"/>
    </row>
    <row r="394" spans="1:10" x14ac:dyDescent="0.3">
      <c r="A394" s="13" t="s">
        <v>1</v>
      </c>
      <c r="B394" s="14" t="s">
        <v>2</v>
      </c>
      <c r="C394" s="14" t="s">
        <v>3</v>
      </c>
      <c r="D394" s="14" t="s">
        <v>343</v>
      </c>
      <c r="E394" s="14" t="s">
        <v>585</v>
      </c>
      <c r="F394" s="28" t="s">
        <v>4</v>
      </c>
      <c r="G394" s="28" t="s">
        <v>5</v>
      </c>
      <c r="I394" s="5" t="s">
        <v>6</v>
      </c>
      <c r="J394" s="6">
        <f>SUM(Tabla110345345445545647910813514921922622722923023385951191321371403912151617[Total costo])</f>
        <v>367.59497729999998</v>
      </c>
    </row>
    <row r="395" spans="1:10" x14ac:dyDescent="0.3">
      <c r="A395" s="7" t="s">
        <v>74</v>
      </c>
      <c r="B395" s="8" t="s">
        <v>188</v>
      </c>
      <c r="C395" s="9">
        <v>30</v>
      </c>
      <c r="D395" s="9">
        <v>0</v>
      </c>
      <c r="E395" s="9">
        <v>30</v>
      </c>
      <c r="F395" s="10">
        <f>+VLOOKUP(Tabla110345345445545647910813514921922622722923023385951191321371403912151617[[#This Row],[Ingrediente]],Tabla34[#All],3,0)</f>
        <v>12.25316591</v>
      </c>
      <c r="G395" s="11">
        <f>+Tabla110345345445545647910813514921922622722923023385951191321371403912151617[[#This Row],[Costo]]*Tabla110345345445545647910813514921922622722923023385951191321371403912151617[[#This Row],[Cant.]]</f>
        <v>367.59497729999998</v>
      </c>
      <c r="I395" s="5" t="s">
        <v>113</v>
      </c>
      <c r="J395" s="12">
        <f>+J394*5%</f>
        <v>18.379748865</v>
      </c>
    </row>
    <row r="396" spans="1:10" x14ac:dyDescent="0.3">
      <c r="A396" s="13"/>
      <c r="B396" s="14"/>
      <c r="C396" s="14"/>
      <c r="D396" s="14"/>
      <c r="E396" s="14"/>
      <c r="F396" s="15"/>
      <c r="G396" s="15">
        <f>SUBTOTAL(109,Tabla110345345445545647910813514921922622722923023385951191321371403912151617[Total costo])</f>
        <v>367.59497729999998</v>
      </c>
      <c r="H396" s="4"/>
      <c r="I396" s="5" t="s">
        <v>9</v>
      </c>
      <c r="J396" s="12">
        <f>+J394+J395</f>
        <v>385.97472616499999</v>
      </c>
    </row>
    <row r="397" spans="1:10" x14ac:dyDescent="0.3">
      <c r="H397" s="4"/>
      <c r="I397" s="17" t="s">
        <v>10</v>
      </c>
      <c r="J397" s="18">
        <v>3900</v>
      </c>
    </row>
    <row r="398" spans="1:10" x14ac:dyDescent="0.3">
      <c r="H398" s="4"/>
      <c r="I398" s="5" t="s">
        <v>11</v>
      </c>
      <c r="J398" s="12">
        <f>+J397/1.08*0.08</f>
        <v>288.88888888888886</v>
      </c>
    </row>
    <row r="399" spans="1:10" x14ac:dyDescent="0.3">
      <c r="H399" s="4"/>
      <c r="I399" s="5" t="s">
        <v>12</v>
      </c>
      <c r="J399" s="12">
        <f>+J397-J398</f>
        <v>3611.1111111111113</v>
      </c>
    </row>
    <row r="400" spans="1:10" x14ac:dyDescent="0.3">
      <c r="H400" s="4"/>
      <c r="I400" s="5" t="s">
        <v>13</v>
      </c>
      <c r="J400" s="19">
        <f>+J396/J399</f>
        <v>0.10688530878415384</v>
      </c>
    </row>
    <row r="401" spans="1:10" x14ac:dyDescent="0.3">
      <c r="H401" s="4"/>
      <c r="I401" s="5" t="s">
        <v>14</v>
      </c>
      <c r="J401" s="20">
        <f>+J399-J396</f>
        <v>3225.1363849461113</v>
      </c>
    </row>
    <row r="402" spans="1:10" x14ac:dyDescent="0.3">
      <c r="I402" s="5" t="s">
        <v>15</v>
      </c>
      <c r="J402" s="22">
        <f>+J401/J396</f>
        <v>8.3558227166599526</v>
      </c>
    </row>
    <row r="405" spans="1:10" x14ac:dyDescent="0.3">
      <c r="A405" s="97" t="s">
        <v>732</v>
      </c>
      <c r="B405" s="88"/>
      <c r="C405" s="88"/>
      <c r="D405" s="88"/>
      <c r="E405" s="88"/>
      <c r="F405" s="88"/>
      <c r="G405" s="88"/>
      <c r="I405" s="277" t="s">
        <v>0</v>
      </c>
      <c r="J405" s="277"/>
    </row>
    <row r="406" spans="1:10" x14ac:dyDescent="0.3">
      <c r="A406" s="13" t="s">
        <v>1</v>
      </c>
      <c r="B406" s="14" t="s">
        <v>2</v>
      </c>
      <c r="C406" s="14" t="s">
        <v>3</v>
      </c>
      <c r="D406" s="14" t="s">
        <v>343</v>
      </c>
      <c r="E406" s="14" t="s">
        <v>585</v>
      </c>
      <c r="F406" s="28" t="s">
        <v>4</v>
      </c>
      <c r="G406" s="28" t="s">
        <v>5</v>
      </c>
      <c r="I406" s="5" t="s">
        <v>6</v>
      </c>
      <c r="J406" s="6">
        <f>SUM(Tabla110345345445545647910813514921922622722923023385951191321371403912151618[Total costo])</f>
        <v>2847.7767881999998</v>
      </c>
    </row>
    <row r="407" spans="1:10" x14ac:dyDescent="0.3">
      <c r="A407" s="7" t="s">
        <v>496</v>
      </c>
      <c r="B407" s="8" t="s">
        <v>188</v>
      </c>
      <c r="C407" s="9">
        <v>30</v>
      </c>
      <c r="D407" s="9">
        <v>0</v>
      </c>
      <c r="E407" s="9">
        <v>30</v>
      </c>
      <c r="F407" s="10">
        <f>+VLOOKUP(Tabla110345345445545647910813514921922622722923023385951191321371403912151618[[#This Row],[Ingrediente]],Tabla34[#All],3,0)</f>
        <v>94.925892939999997</v>
      </c>
      <c r="G407" s="11">
        <f>+Tabla110345345445545647910813514921922622722923023385951191321371403912151618[[#This Row],[Costo]]*Tabla110345345445545647910813514921922622722923023385951191321371403912151618[[#This Row],[Cant.]]</f>
        <v>2847.7767881999998</v>
      </c>
      <c r="I407" s="5" t="s">
        <v>113</v>
      </c>
      <c r="J407" s="12">
        <f>+J406*5%</f>
        <v>142.38883941</v>
      </c>
    </row>
    <row r="408" spans="1:10" x14ac:dyDescent="0.3">
      <c r="A408" s="13"/>
      <c r="B408" s="14"/>
      <c r="C408" s="14"/>
      <c r="D408" s="14"/>
      <c r="E408" s="14"/>
      <c r="F408" s="15"/>
      <c r="G408" s="15">
        <f>SUBTOTAL(109,Tabla110345345445545647910813514921922622722923023385951191321371403912151618[Total costo])</f>
        <v>2847.7767881999998</v>
      </c>
      <c r="H408" s="4"/>
      <c r="I408" s="5" t="s">
        <v>9</v>
      </c>
      <c r="J408" s="12">
        <f>+J406+J407</f>
        <v>2990.1656276099998</v>
      </c>
    </row>
    <row r="409" spans="1:10" x14ac:dyDescent="0.3">
      <c r="H409" s="4"/>
      <c r="I409" s="17" t="s">
        <v>10</v>
      </c>
      <c r="J409" s="18">
        <v>3900</v>
      </c>
    </row>
    <row r="410" spans="1:10" x14ac:dyDescent="0.3">
      <c r="H410" s="4"/>
      <c r="I410" s="5" t="s">
        <v>11</v>
      </c>
      <c r="J410" s="12">
        <f>+J409/1.08*0.08</f>
        <v>288.88888888888886</v>
      </c>
    </row>
    <row r="411" spans="1:10" x14ac:dyDescent="0.3">
      <c r="H411" s="4"/>
      <c r="I411" s="5" t="s">
        <v>12</v>
      </c>
      <c r="J411" s="12">
        <f>+J409-J410</f>
        <v>3611.1111111111113</v>
      </c>
    </row>
    <row r="412" spans="1:10" x14ac:dyDescent="0.3">
      <c r="H412" s="4"/>
      <c r="I412" s="5" t="s">
        <v>13</v>
      </c>
      <c r="J412" s="19">
        <f>+J408/J411</f>
        <v>0.82804586610738451</v>
      </c>
    </row>
    <row r="413" spans="1:10" x14ac:dyDescent="0.3">
      <c r="H413" s="4"/>
      <c r="I413" s="5" t="s">
        <v>14</v>
      </c>
      <c r="J413" s="20">
        <f>+J411-J408</f>
        <v>620.94548350111154</v>
      </c>
    </row>
    <row r="414" spans="1:10" x14ac:dyDescent="0.3">
      <c r="I414" s="5" t="s">
        <v>15</v>
      </c>
      <c r="J414" s="22">
        <f>+J413/J408</f>
        <v>0.2076625715203024</v>
      </c>
    </row>
    <row r="419" spans="1:10" x14ac:dyDescent="0.3">
      <c r="A419" s="97" t="s">
        <v>249</v>
      </c>
      <c r="B419" s="88"/>
      <c r="C419" s="88"/>
      <c r="D419" s="88"/>
      <c r="E419" s="88"/>
      <c r="F419" s="88"/>
      <c r="G419" s="88"/>
      <c r="I419" s="277" t="s">
        <v>0</v>
      </c>
      <c r="J419" s="277"/>
    </row>
    <row r="420" spans="1:10" x14ac:dyDescent="0.3">
      <c r="A420" s="13" t="s">
        <v>1</v>
      </c>
      <c r="B420" s="14" t="s">
        <v>2</v>
      </c>
      <c r="C420" s="14" t="s">
        <v>3</v>
      </c>
      <c r="D420" s="14" t="s">
        <v>343</v>
      </c>
      <c r="E420" s="14" t="s">
        <v>585</v>
      </c>
      <c r="F420" s="28" t="s">
        <v>4</v>
      </c>
      <c r="G420" s="28" t="s">
        <v>5</v>
      </c>
      <c r="I420" s="5" t="s">
        <v>6</v>
      </c>
      <c r="J420" s="6">
        <f>SUM(Tabla110345345445545647910813514921922622722923023385951191321371403912151620[Total costo])</f>
        <v>311.01904710000002</v>
      </c>
    </row>
    <row r="421" spans="1:10" x14ac:dyDescent="0.3">
      <c r="A421" s="7" t="s">
        <v>79</v>
      </c>
      <c r="B421" s="8" t="s">
        <v>188</v>
      </c>
      <c r="C421" s="9">
        <v>30</v>
      </c>
      <c r="D421" s="9">
        <v>0</v>
      </c>
      <c r="E421" s="9">
        <v>30</v>
      </c>
      <c r="F421" s="10">
        <f>+VLOOKUP(Tabla110345345445545647910813514921922622722923023385951191321371403912151620[[#This Row],[Ingrediente]],Tabla34[#All],3,0)</f>
        <v>10.36730157</v>
      </c>
      <c r="G421" s="11">
        <f>+Tabla110345345445545647910813514921922622722923023385951191321371403912151620[[#This Row],[Costo]]*Tabla110345345445545647910813514921922622722923023385951191321371403912151620[[#This Row],[Cant.]]</f>
        <v>311.01904710000002</v>
      </c>
      <c r="I421" s="5" t="s">
        <v>113</v>
      </c>
      <c r="J421" s="12">
        <f>+J420*5%</f>
        <v>15.550952355000002</v>
      </c>
    </row>
    <row r="422" spans="1:10" x14ac:dyDescent="0.3">
      <c r="A422" s="13"/>
      <c r="B422" s="14"/>
      <c r="C422" s="14"/>
      <c r="D422" s="14"/>
      <c r="E422" s="14"/>
      <c r="F422" s="15"/>
      <c r="G422" s="15">
        <f>SUBTOTAL(109,Tabla110345345445545647910813514921922622722923023385951191321371403912151620[Total costo])</f>
        <v>311.01904710000002</v>
      </c>
      <c r="H422" s="4"/>
      <c r="I422" s="5" t="s">
        <v>9</v>
      </c>
      <c r="J422" s="12">
        <f>+J420+J421</f>
        <v>326.56999945500002</v>
      </c>
    </row>
    <row r="423" spans="1:10" x14ac:dyDescent="0.3">
      <c r="H423" s="4"/>
      <c r="I423" s="17" t="s">
        <v>10</v>
      </c>
      <c r="J423" s="18">
        <v>4900</v>
      </c>
    </row>
    <row r="424" spans="1:10" x14ac:dyDescent="0.3">
      <c r="H424" s="4"/>
      <c r="I424" s="5" t="s">
        <v>11</v>
      </c>
      <c r="J424" s="12">
        <f>+J423/1.08*0.08</f>
        <v>362.96296296296293</v>
      </c>
    </row>
    <row r="425" spans="1:10" x14ac:dyDescent="0.3">
      <c r="H425" s="4"/>
      <c r="I425" s="5" t="s">
        <v>12</v>
      </c>
      <c r="J425" s="12">
        <f>+J423-J424</f>
        <v>4537.0370370370374</v>
      </c>
    </row>
    <row r="426" spans="1:10" x14ac:dyDescent="0.3">
      <c r="H426" s="4"/>
      <c r="I426" s="5" t="s">
        <v>13</v>
      </c>
      <c r="J426" s="19">
        <f>+J422/J425</f>
        <v>7.1978693757428575E-2</v>
      </c>
    </row>
    <row r="427" spans="1:10" x14ac:dyDescent="0.3">
      <c r="H427" s="4"/>
      <c r="I427" s="5" t="s">
        <v>14</v>
      </c>
      <c r="J427" s="20">
        <f>+J425-J422</f>
        <v>4210.4670375820369</v>
      </c>
    </row>
    <row r="428" spans="1:10" x14ac:dyDescent="0.3">
      <c r="I428" s="5" t="s">
        <v>15</v>
      </c>
      <c r="J428" s="22">
        <f>+J427/J422</f>
        <v>12.893000105976427</v>
      </c>
    </row>
    <row r="431" spans="1:10" x14ac:dyDescent="0.3">
      <c r="A431" s="97" t="s">
        <v>733</v>
      </c>
      <c r="B431" s="88"/>
      <c r="C431" s="88"/>
      <c r="D431" s="88"/>
      <c r="E431" s="88"/>
      <c r="F431" s="88"/>
      <c r="G431" s="88"/>
      <c r="I431" s="277" t="s">
        <v>0</v>
      </c>
      <c r="J431" s="277"/>
    </row>
    <row r="432" spans="1:10" x14ac:dyDescent="0.3">
      <c r="A432" s="13" t="s">
        <v>1</v>
      </c>
      <c r="B432" s="14" t="s">
        <v>2</v>
      </c>
      <c r="C432" s="14" t="s">
        <v>3</v>
      </c>
      <c r="D432" s="14" t="s">
        <v>343</v>
      </c>
      <c r="E432" s="14" t="s">
        <v>585</v>
      </c>
      <c r="F432" s="28" t="s">
        <v>4</v>
      </c>
      <c r="G432" s="28" t="s">
        <v>5</v>
      </c>
      <c r="I432" s="5" t="s">
        <v>6</v>
      </c>
      <c r="J432" s="6">
        <f>SUM(Tabla110345345445545647910813514921922622722923023385951191321371403912151629[Total costo])</f>
        <v>465.35590999999988</v>
      </c>
    </row>
    <row r="433" spans="1:10" x14ac:dyDescent="0.3">
      <c r="A433" s="7" t="s">
        <v>529</v>
      </c>
      <c r="B433" s="8" t="s">
        <v>188</v>
      </c>
      <c r="C433" s="9">
        <v>40</v>
      </c>
      <c r="D433" s="9">
        <v>0</v>
      </c>
      <c r="E433" s="9">
        <v>40</v>
      </c>
      <c r="F433" s="10">
        <f>+VLOOKUP(Tabla110345345445545647910813514921922622722923023385951191321371403912151629[[#This Row],[Ingrediente]],Tabla34[#All],3,0)</f>
        <v>11.633897749999997</v>
      </c>
      <c r="G433" s="11">
        <f>+Tabla110345345445545647910813514921922622722923023385951191321371403912151629[[#This Row],[Costo]]*Tabla110345345445545647910813514921922622722923023385951191321371403912151629[[#This Row],[Cant.]]</f>
        <v>465.35590999999988</v>
      </c>
      <c r="I433" s="5" t="s">
        <v>113</v>
      </c>
      <c r="J433" s="12">
        <f>+J432*5%</f>
        <v>23.267795499999995</v>
      </c>
    </row>
    <row r="434" spans="1:10" x14ac:dyDescent="0.3">
      <c r="A434" s="13"/>
      <c r="B434" s="14"/>
      <c r="C434" s="14"/>
      <c r="D434" s="14"/>
      <c r="E434" s="14"/>
      <c r="F434" s="15"/>
      <c r="G434" s="15">
        <f>SUBTOTAL(109,Tabla110345345445545647910813514921922622722923023385951191321371403912151629[Total costo])</f>
        <v>465.35590999999988</v>
      </c>
      <c r="H434" s="4"/>
      <c r="I434" s="5" t="s">
        <v>9</v>
      </c>
      <c r="J434" s="12">
        <f>+J432+J433</f>
        <v>488.62370549999986</v>
      </c>
    </row>
    <row r="435" spans="1:10" x14ac:dyDescent="0.3">
      <c r="H435" s="4"/>
      <c r="I435" s="17" t="s">
        <v>10</v>
      </c>
      <c r="J435" s="18">
        <v>2900</v>
      </c>
    </row>
    <row r="436" spans="1:10" x14ac:dyDescent="0.3">
      <c r="H436" s="4"/>
      <c r="I436" s="5" t="s">
        <v>11</v>
      </c>
      <c r="J436" s="12">
        <f>+J435/1.08*0.08</f>
        <v>214.81481481481481</v>
      </c>
    </row>
    <row r="437" spans="1:10" x14ac:dyDescent="0.3">
      <c r="H437" s="4"/>
      <c r="I437" s="5" t="s">
        <v>12</v>
      </c>
      <c r="J437" s="12">
        <f>+J435-J436</f>
        <v>2685.1851851851852</v>
      </c>
    </row>
    <row r="438" spans="1:10" x14ac:dyDescent="0.3">
      <c r="H438" s="4"/>
      <c r="I438" s="5" t="s">
        <v>13</v>
      </c>
      <c r="J438" s="19">
        <f>+J434/J437</f>
        <v>0.18197020756551718</v>
      </c>
    </row>
    <row r="439" spans="1:10" x14ac:dyDescent="0.3">
      <c r="H439" s="4"/>
      <c r="I439" s="5" t="s">
        <v>14</v>
      </c>
      <c r="J439" s="20">
        <f>+J437-J434</f>
        <v>2196.5614796851855</v>
      </c>
    </row>
    <row r="440" spans="1:10" x14ac:dyDescent="0.3">
      <c r="I440" s="5" t="s">
        <v>15</v>
      </c>
      <c r="J440" s="22">
        <f>+J439/J434</f>
        <v>4.4954050631609936</v>
      </c>
    </row>
    <row r="445" spans="1:10" x14ac:dyDescent="0.3">
      <c r="A445" s="97" t="s">
        <v>251</v>
      </c>
      <c r="B445" s="88"/>
      <c r="C445" s="88"/>
      <c r="D445" s="88"/>
      <c r="E445" s="88"/>
      <c r="F445" s="88"/>
      <c r="G445" s="88"/>
      <c r="I445" s="277" t="s">
        <v>0</v>
      </c>
      <c r="J445" s="277"/>
    </row>
    <row r="446" spans="1:10" x14ac:dyDescent="0.3">
      <c r="A446" s="13" t="s">
        <v>1</v>
      </c>
      <c r="B446" s="14" t="s">
        <v>2</v>
      </c>
      <c r="C446" s="14" t="s">
        <v>3</v>
      </c>
      <c r="D446" s="14" t="s">
        <v>343</v>
      </c>
      <c r="E446" s="14" t="s">
        <v>585</v>
      </c>
      <c r="F446" s="28" t="s">
        <v>4</v>
      </c>
      <c r="G446" s="28" t="s">
        <v>5</v>
      </c>
      <c r="I446" s="5" t="s">
        <v>6</v>
      </c>
      <c r="J446" s="6">
        <f>SUM(Tabla11034534544554564791081351492192262272292302338595119132137140391215162930[Total costo])</f>
        <v>305.38486140000003</v>
      </c>
    </row>
    <row r="447" spans="1:10" x14ac:dyDescent="0.3">
      <c r="A447" s="7" t="s">
        <v>226</v>
      </c>
      <c r="B447" s="8" t="s">
        <v>188</v>
      </c>
      <c r="C447" s="9">
        <v>30</v>
      </c>
      <c r="D447" s="9">
        <v>0</v>
      </c>
      <c r="E447" s="9">
        <v>30</v>
      </c>
      <c r="F447" s="10">
        <f>+VLOOKUP(Tabla11034534544554564791081351492192262272292302338595119132137140391215162930[[#This Row],[Ingrediente]],Tabla34[#All],3,0)</f>
        <v>10.179495380000001</v>
      </c>
      <c r="G447" s="11">
        <f>+Tabla11034534544554564791081351492192262272292302338595119132137140391215162930[[#This Row],[Costo]]*Tabla11034534544554564791081351492192262272292302338595119132137140391215162930[[#This Row],[Columna2]]</f>
        <v>305.38486140000003</v>
      </c>
      <c r="I447" s="5" t="s">
        <v>113</v>
      </c>
      <c r="J447" s="12">
        <f>+J446*5%</f>
        <v>15.269243070000002</v>
      </c>
    </row>
    <row r="448" spans="1:10" x14ac:dyDescent="0.3">
      <c r="A448" s="13"/>
      <c r="B448" s="14"/>
      <c r="C448" s="14"/>
      <c r="D448" s="14"/>
      <c r="E448" s="14"/>
      <c r="F448" s="15"/>
      <c r="G448" s="15">
        <f>SUBTOTAL(109,Tabla11034534544554564791081351492192262272292302338595119132137140391215162930[Total costo])</f>
        <v>305.38486140000003</v>
      </c>
      <c r="H448" s="4"/>
      <c r="I448" s="5" t="s">
        <v>9</v>
      </c>
      <c r="J448" s="12">
        <f>+J446+J447</f>
        <v>320.65410447000005</v>
      </c>
    </row>
    <row r="449" spans="1:10" x14ac:dyDescent="0.3">
      <c r="H449" s="4"/>
      <c r="I449" s="17" t="s">
        <v>10</v>
      </c>
      <c r="J449" s="18">
        <v>5000</v>
      </c>
    </row>
    <row r="450" spans="1:10" x14ac:dyDescent="0.3">
      <c r="H450" s="4"/>
      <c r="I450" s="5" t="s">
        <v>11</v>
      </c>
      <c r="J450" s="12">
        <f>+J449/1.08*0.08</f>
        <v>370.37037037037038</v>
      </c>
    </row>
    <row r="451" spans="1:10" x14ac:dyDescent="0.3">
      <c r="H451" s="4"/>
      <c r="I451" s="5" t="s">
        <v>12</v>
      </c>
      <c r="J451" s="12">
        <f>+J449-J450</f>
        <v>4629.6296296296296</v>
      </c>
    </row>
    <row r="452" spans="1:10" x14ac:dyDescent="0.3">
      <c r="H452" s="4"/>
      <c r="I452" s="5" t="s">
        <v>13</v>
      </c>
      <c r="J452" s="19">
        <f>+J448/J451</f>
        <v>6.9261286565520011E-2</v>
      </c>
    </row>
    <row r="453" spans="1:10" x14ac:dyDescent="0.3">
      <c r="H453" s="4"/>
      <c r="I453" s="5" t="s">
        <v>14</v>
      </c>
      <c r="J453" s="20">
        <f>+J451-J448</f>
        <v>4308.9755251596298</v>
      </c>
    </row>
    <row r="454" spans="1:10" x14ac:dyDescent="0.3">
      <c r="I454" s="5" t="s">
        <v>15</v>
      </c>
      <c r="J454" s="22">
        <f>+J453/J448</f>
        <v>13.438080052902524</v>
      </c>
    </row>
    <row r="457" spans="1:10" x14ac:dyDescent="0.3">
      <c r="A457" s="97" t="s">
        <v>734</v>
      </c>
      <c r="B457" s="88"/>
      <c r="C457" s="88"/>
      <c r="D457" s="88"/>
      <c r="E457" s="88"/>
      <c r="F457" s="88"/>
      <c r="G457" s="88"/>
      <c r="I457" s="277" t="s">
        <v>0</v>
      </c>
      <c r="J457" s="277"/>
    </row>
    <row r="458" spans="1:10" x14ac:dyDescent="0.3">
      <c r="A458" s="13" t="s">
        <v>1</v>
      </c>
      <c r="B458" s="14" t="s">
        <v>2</v>
      </c>
      <c r="C458" s="14" t="s">
        <v>3</v>
      </c>
      <c r="D458" s="14" t="s">
        <v>343</v>
      </c>
      <c r="E458" s="14" t="s">
        <v>585</v>
      </c>
      <c r="F458" s="28" t="s">
        <v>4</v>
      </c>
      <c r="G458" s="28" t="s">
        <v>5</v>
      </c>
      <c r="I458" s="5" t="s">
        <v>6</v>
      </c>
      <c r="J458" s="6">
        <f>SUM(Tabla1103453454455456479108135149219226227229230233859511913213714039121516293032[Total costo])</f>
        <v>12280</v>
      </c>
    </row>
    <row r="459" spans="1:10" x14ac:dyDescent="0.3">
      <c r="A459" s="7" t="s">
        <v>366</v>
      </c>
      <c r="B459" s="8" t="s">
        <v>570</v>
      </c>
      <c r="C459" s="9">
        <v>1</v>
      </c>
      <c r="D459" s="9">
        <v>0</v>
      </c>
      <c r="E459" s="9">
        <v>1</v>
      </c>
      <c r="F459" s="10">
        <f>+VLOOKUP(Tabla1103453454455456479108135149219226227229230233859511913213714039121516293032[[#This Row],[Ingrediente]],Tabla34[#All],3,0)</f>
        <v>12280</v>
      </c>
      <c r="G459" s="11">
        <f>+Tabla1103453454455456479108135149219226227229230233859511913213714039121516293032[[#This Row],[Costo]]*Tabla1103453454455456479108135149219226227229230233859511913213714039121516293032[[#This Row],[Cant.]]</f>
        <v>12280</v>
      </c>
      <c r="I459" s="5" t="s">
        <v>113</v>
      </c>
      <c r="J459" s="12">
        <f>+J458*5%</f>
        <v>614</v>
      </c>
    </row>
    <row r="460" spans="1:10" x14ac:dyDescent="0.3">
      <c r="A460" s="13"/>
      <c r="B460" s="14"/>
      <c r="C460" s="14"/>
      <c r="D460" s="14"/>
      <c r="E460" s="14"/>
      <c r="F460" s="15"/>
      <c r="G460" s="15">
        <f>SUBTOTAL(109,Tabla1103453454455456479108135149219226227229230233859511913213714039121516293032[Total costo])</f>
        <v>12280</v>
      </c>
      <c r="H460" s="4"/>
      <c r="I460" s="5" t="s">
        <v>9</v>
      </c>
      <c r="J460" s="12">
        <f>+J458+J459</f>
        <v>12894</v>
      </c>
    </row>
    <row r="461" spans="1:10" x14ac:dyDescent="0.3">
      <c r="H461" s="4"/>
      <c r="I461" s="17" t="s">
        <v>10</v>
      </c>
      <c r="J461" s="18">
        <v>11500</v>
      </c>
    </row>
    <row r="462" spans="1:10" x14ac:dyDescent="0.3">
      <c r="H462" s="4"/>
      <c r="I462" s="5" t="s">
        <v>11</v>
      </c>
      <c r="J462" s="12">
        <f>+J461/1.08*0.08</f>
        <v>851.85185185185185</v>
      </c>
    </row>
    <row r="463" spans="1:10" x14ac:dyDescent="0.3">
      <c r="H463" s="4"/>
      <c r="I463" s="5" t="s">
        <v>12</v>
      </c>
      <c r="J463" s="12">
        <f>+J461-J462</f>
        <v>10648.148148148148</v>
      </c>
    </row>
    <row r="464" spans="1:10" x14ac:dyDescent="0.3">
      <c r="H464" s="4"/>
      <c r="I464" s="5" t="s">
        <v>13</v>
      </c>
      <c r="J464" s="19">
        <f>+J460/J463</f>
        <v>1.2109147826086957</v>
      </c>
    </row>
    <row r="465" spans="1:10" x14ac:dyDescent="0.3">
      <c r="H465" s="4"/>
      <c r="I465" s="5" t="s">
        <v>14</v>
      </c>
      <c r="J465" s="20">
        <f>+J463-J460</f>
        <v>-2245.8518518518522</v>
      </c>
    </row>
    <row r="466" spans="1:10" x14ac:dyDescent="0.3">
      <c r="I466" s="5" t="s">
        <v>15</v>
      </c>
      <c r="J466" s="22">
        <f>+J465/J460</f>
        <v>-0.17417805582843587</v>
      </c>
    </row>
    <row r="468" spans="1:10" x14ac:dyDescent="0.3">
      <c r="A468" s="97" t="s">
        <v>160</v>
      </c>
      <c r="B468" s="88"/>
      <c r="C468" s="88"/>
      <c r="D468" s="88"/>
      <c r="E468" s="88"/>
      <c r="F468" s="88"/>
      <c r="G468" s="88"/>
      <c r="I468" s="277" t="s">
        <v>0</v>
      </c>
      <c r="J468" s="277"/>
    </row>
    <row r="469" spans="1:10" x14ac:dyDescent="0.3">
      <c r="A469" s="13" t="s">
        <v>1</v>
      </c>
      <c r="B469" s="14" t="s">
        <v>2</v>
      </c>
      <c r="C469" s="14" t="s">
        <v>3</v>
      </c>
      <c r="D469" s="14" t="s">
        <v>343</v>
      </c>
      <c r="E469" s="14" t="s">
        <v>585</v>
      </c>
      <c r="F469" s="28" t="s">
        <v>4</v>
      </c>
      <c r="G469" s="28" t="s">
        <v>5</v>
      </c>
      <c r="I469" s="5" t="s">
        <v>6</v>
      </c>
      <c r="J469" s="6">
        <f>SUM(Tabla1103453454455456479108135149219226227229230233859511913213714039121516293033[Total costo])</f>
        <v>4002.0382164999996</v>
      </c>
    </row>
    <row r="470" spans="1:10" x14ac:dyDescent="0.3">
      <c r="A470" s="7" t="s">
        <v>533</v>
      </c>
      <c r="B470" s="8" t="s">
        <v>570</v>
      </c>
      <c r="C470" s="9">
        <v>1</v>
      </c>
      <c r="D470" s="9">
        <v>0</v>
      </c>
      <c r="E470" s="9">
        <v>1</v>
      </c>
      <c r="F470" s="10">
        <f>+VLOOKUP(Tabla1103453454455456479108135149219226227229230233859511913213714039121516293033[[#This Row],[Ingrediente]],Tabla34[#All],3,0)</f>
        <v>4002.0382164999996</v>
      </c>
      <c r="G470" s="11">
        <f>+Tabla1103453454455456479108135149219226227229230233859511913213714039121516293033[[#This Row],[Costo]]*Tabla1103453454455456479108135149219226227229230233859511913213714039121516293033[[#This Row],[Cant.]]</f>
        <v>4002.0382164999996</v>
      </c>
      <c r="I470" s="5" t="s">
        <v>113</v>
      </c>
      <c r="J470" s="12">
        <f>+J469*5%</f>
        <v>200.101910825</v>
      </c>
    </row>
    <row r="471" spans="1:10" x14ac:dyDescent="0.3">
      <c r="A471" s="13"/>
      <c r="B471" s="14"/>
      <c r="C471" s="14"/>
      <c r="D471" s="14"/>
      <c r="E471" s="14"/>
      <c r="F471" s="15"/>
      <c r="G471" s="15">
        <f>SUBTOTAL(109,Tabla1103453454455456479108135149219226227229230233859511913213714039121516293033[Total costo])</f>
        <v>4002.0382164999996</v>
      </c>
      <c r="H471" s="4"/>
      <c r="I471" s="5" t="s">
        <v>9</v>
      </c>
      <c r="J471" s="12">
        <f>+J469+J470</f>
        <v>4202.1401273249994</v>
      </c>
    </row>
    <row r="472" spans="1:10" x14ac:dyDescent="0.3">
      <c r="H472" s="4"/>
      <c r="I472" s="17" t="s">
        <v>10</v>
      </c>
      <c r="J472" s="18">
        <v>15000</v>
      </c>
    </row>
    <row r="473" spans="1:10" x14ac:dyDescent="0.3">
      <c r="H473" s="4"/>
      <c r="I473" s="5" t="s">
        <v>11</v>
      </c>
      <c r="J473" s="12">
        <f>+J472/1.08*0.08</f>
        <v>1111.1111111111111</v>
      </c>
    </row>
    <row r="474" spans="1:10" x14ac:dyDescent="0.3">
      <c r="H474" s="4"/>
      <c r="I474" s="5" t="s">
        <v>12</v>
      </c>
      <c r="J474" s="12">
        <f>+J472-J473</f>
        <v>13888.888888888889</v>
      </c>
    </row>
    <row r="475" spans="1:10" x14ac:dyDescent="0.3">
      <c r="H475" s="4"/>
      <c r="I475" s="5" t="s">
        <v>13</v>
      </c>
      <c r="J475" s="19">
        <f>+J471/J474</f>
        <v>0.30255408916739995</v>
      </c>
    </row>
    <row r="476" spans="1:10" x14ac:dyDescent="0.3">
      <c r="H476" s="4"/>
      <c r="I476" s="5" t="s">
        <v>14</v>
      </c>
      <c r="J476" s="20">
        <f>+J474-J471</f>
        <v>9686.7487615638893</v>
      </c>
    </row>
    <row r="477" spans="1:10" x14ac:dyDescent="0.3">
      <c r="I477" s="5" t="s">
        <v>15</v>
      </c>
      <c r="J477" s="22">
        <f>+J476/J471</f>
        <v>2.3051941315746376</v>
      </c>
    </row>
    <row r="479" spans="1:10" x14ac:dyDescent="0.3">
      <c r="A479" s="97" t="s">
        <v>735</v>
      </c>
      <c r="B479" s="88"/>
      <c r="C479" s="88"/>
      <c r="D479" s="88"/>
      <c r="E479" s="88"/>
      <c r="F479" s="88"/>
      <c r="G479" s="88"/>
      <c r="I479" s="277" t="s">
        <v>0</v>
      </c>
      <c r="J479" s="277"/>
    </row>
    <row r="480" spans="1:10" x14ac:dyDescent="0.3">
      <c r="A480" s="13" t="s">
        <v>1</v>
      </c>
      <c r="B480" s="14" t="s">
        <v>2</v>
      </c>
      <c r="C480" s="14" t="s">
        <v>3</v>
      </c>
      <c r="D480" s="14" t="s">
        <v>343</v>
      </c>
      <c r="E480" s="14" t="s">
        <v>585</v>
      </c>
      <c r="F480" s="28" t="s">
        <v>4</v>
      </c>
      <c r="G480" s="28" t="s">
        <v>5</v>
      </c>
      <c r="I480" s="5" t="s">
        <v>6</v>
      </c>
      <c r="J480" s="6">
        <f>SUM(Tabla1103453454455456479108135149219226227229230233859511913213714039121516293036[Total costo])</f>
        <v>2299.9999943399998</v>
      </c>
    </row>
    <row r="481" spans="1:10" x14ac:dyDescent="0.3">
      <c r="A481" s="7" t="s">
        <v>346</v>
      </c>
      <c r="B481" s="8" t="s">
        <v>188</v>
      </c>
      <c r="C481" s="9">
        <v>39.999998699999999</v>
      </c>
      <c r="D481" s="9">
        <v>10</v>
      </c>
      <c r="E481" s="9">
        <v>44.444443</v>
      </c>
      <c r="F481" s="10">
        <f>+VLOOKUP(Tabla1103453454455456479108135149219226227229230233859511913213714039121516293036[[#This Row],[Ingrediente]],Tabla34[#All],3,0)</f>
        <v>2.7000000000000006</v>
      </c>
      <c r="G481" s="11">
        <f>+Tabla1103453454455456479108135149219226227229230233859511913213714039121516293036[[#This Row],[Costo]]*Tabla1103453454455456479108135149219226227229230233859511913213714039121516293036[[#This Row],[Cant.]]</f>
        <v>107.99999649000003</v>
      </c>
      <c r="I481" s="5" t="s">
        <v>113</v>
      </c>
      <c r="J481" s="12">
        <f>+J480*5%</f>
        <v>114.99999971699999</v>
      </c>
    </row>
    <row r="482" spans="1:10" x14ac:dyDescent="0.3">
      <c r="A482" s="7" t="s">
        <v>347</v>
      </c>
      <c r="B482" s="8" t="s">
        <v>188</v>
      </c>
      <c r="C482" s="9">
        <v>60</v>
      </c>
      <c r="D482" s="9">
        <v>40</v>
      </c>
      <c r="E482" s="9">
        <v>100</v>
      </c>
      <c r="F482" s="103">
        <f>+VLOOKUP(Tabla1103453454455456479108135149219226227229230233859511913213714039121516293036[[#This Row],[Ingrediente]],Tabla34[#All],3,0)</f>
        <v>7.8</v>
      </c>
      <c r="G482" s="104">
        <f>+Tabla1103453454455456479108135149219226227229230233859511913213714039121516293036[[#This Row],[Costo]]*Tabla1103453454455456479108135149219226227229230233859511913213714039121516293036[[#This Row],[Cant.]]</f>
        <v>468</v>
      </c>
      <c r="H482" s="4"/>
      <c r="I482" s="5" t="s">
        <v>9</v>
      </c>
      <c r="J482" s="12">
        <f>+J480+J481</f>
        <v>2414.9999940569996</v>
      </c>
    </row>
    <row r="483" spans="1:10" x14ac:dyDescent="0.3">
      <c r="A483" s="7" t="s">
        <v>417</v>
      </c>
      <c r="B483" s="8" t="s">
        <v>188</v>
      </c>
      <c r="C483" s="9">
        <v>50</v>
      </c>
      <c r="D483" s="9">
        <v>0</v>
      </c>
      <c r="E483" s="9">
        <v>50</v>
      </c>
      <c r="F483" s="103">
        <f>+VLOOKUP(Tabla1103453454455456479108135149219226227229230233859511913213714039121516293036[[#This Row],[Ingrediente]],Tabla34[#All],3,0)</f>
        <v>27</v>
      </c>
      <c r="G483" s="104">
        <f>+Tabla1103453454455456479108135149219226227229230233859511913213714039121516293036[[#This Row],[Costo]]*Tabla1103453454455456479108135149219226227229230233859511913213714039121516293036[[#This Row],[Cant.]]</f>
        <v>1350</v>
      </c>
      <c r="H483" s="4"/>
      <c r="I483" s="17" t="s">
        <v>10</v>
      </c>
      <c r="J483" s="18">
        <v>8900</v>
      </c>
    </row>
    <row r="484" spans="1:10" x14ac:dyDescent="0.3">
      <c r="A484" s="7" t="s">
        <v>470</v>
      </c>
      <c r="B484" s="8" t="s">
        <v>188</v>
      </c>
      <c r="C484" s="9">
        <v>15.0000003</v>
      </c>
      <c r="D484" s="9">
        <v>5</v>
      </c>
      <c r="E484" s="9">
        <v>15.789474</v>
      </c>
      <c r="F484" s="103">
        <f>+VLOOKUP(Tabla1103453454455456479108135149219226227229230233859511913213714039121516293036[[#This Row],[Ingrediente]],Tabla34[#All],3,0)</f>
        <v>8</v>
      </c>
      <c r="G484" s="104">
        <f>+Tabla1103453454455456479108135149219226227229230233859511913213714039121516293036[[#This Row],[Costo]]*Tabla1103453454455456479108135149219226227229230233859511913213714039121516293036[[#This Row],[Cant.]]</f>
        <v>120.0000024</v>
      </c>
      <c r="H484" s="4"/>
      <c r="I484" s="5" t="s">
        <v>11</v>
      </c>
      <c r="J484" s="12">
        <f>+J483/1.08*0.08</f>
        <v>659.25925925925924</v>
      </c>
    </row>
    <row r="485" spans="1:10" x14ac:dyDescent="0.3">
      <c r="A485" s="7" t="s">
        <v>398</v>
      </c>
      <c r="B485" s="8" t="s">
        <v>188</v>
      </c>
      <c r="C485" s="9">
        <v>30</v>
      </c>
      <c r="D485" s="9">
        <v>0</v>
      </c>
      <c r="E485" s="9">
        <v>30</v>
      </c>
      <c r="F485" s="103">
        <f>+VLOOKUP(Tabla1103453454455456479108135149219226227229230233859511913213714039121516293036[[#This Row],[Ingrediente]],Tabla34[#All],3,0)</f>
        <v>3.7999999999999994</v>
      </c>
      <c r="G485" s="104">
        <f>+Tabla1103453454455456479108135149219226227229230233859511913213714039121516293036[[#This Row],[Costo]]*Tabla1103453454455456479108135149219226227229230233859511913213714039121516293036[[#This Row],[Cant.]]</f>
        <v>113.99999999999999</v>
      </c>
      <c r="H485" s="4"/>
      <c r="I485" s="5" t="s">
        <v>12</v>
      </c>
      <c r="J485" s="12">
        <f>+J483-J484</f>
        <v>8240.7407407407409</v>
      </c>
    </row>
    <row r="486" spans="1:10" x14ac:dyDescent="0.3">
      <c r="A486" s="7" t="s">
        <v>85</v>
      </c>
      <c r="B486" s="8" t="s">
        <v>188</v>
      </c>
      <c r="C486" s="9">
        <v>39.999998699999999</v>
      </c>
      <c r="D486" s="9">
        <v>10</v>
      </c>
      <c r="E486" s="9">
        <v>44.444443</v>
      </c>
      <c r="F486" s="103">
        <f>+VLOOKUP(Tabla1103453454455456479108135149219226227229230233859511913213714039121516293036[[#This Row],[Ingrediente]],Tabla34[#All],3,0)</f>
        <v>3.5</v>
      </c>
      <c r="G486" s="104">
        <f>+Tabla1103453454455456479108135149219226227229230233859511913213714039121516293036[[#This Row],[Costo]]*Tabla1103453454455456479108135149219226227229230233859511913213714039121516293036[[#This Row],[Cant.]]</f>
        <v>139.99999545</v>
      </c>
      <c r="H486" s="4"/>
      <c r="I486" s="5" t="s">
        <v>13</v>
      </c>
      <c r="J486" s="19">
        <f>+J482/J485</f>
        <v>0.2930561790541078</v>
      </c>
    </row>
    <row r="487" spans="1:10" x14ac:dyDescent="0.3">
      <c r="A487" s="13"/>
      <c r="B487" s="14"/>
      <c r="C487" s="14"/>
      <c r="D487" s="14"/>
      <c r="E487" s="14"/>
      <c r="F487" s="15"/>
      <c r="G487" s="15">
        <f>SUBTOTAL(109,Tabla1103453454455456479108135149219226227229230233859511913213714039121516293036[Total costo])</f>
        <v>2299.9999943399998</v>
      </c>
      <c r="H487" s="4"/>
      <c r="I487" s="5" t="s">
        <v>14</v>
      </c>
      <c r="J487" s="20">
        <f>+J485-J482</f>
        <v>5825.7407466837412</v>
      </c>
    </row>
    <row r="488" spans="1:10" x14ac:dyDescent="0.3">
      <c r="I488" s="5" t="s">
        <v>15</v>
      </c>
      <c r="J488" s="22">
        <f>+J487/J482</f>
        <v>2.4123150149151678</v>
      </c>
    </row>
    <row r="491" spans="1:10" x14ac:dyDescent="0.3">
      <c r="A491" s="97" t="s">
        <v>959</v>
      </c>
      <c r="B491" s="88"/>
      <c r="C491" s="88"/>
      <c r="D491" s="88"/>
      <c r="E491" s="88"/>
      <c r="F491" s="88"/>
      <c r="G491" s="88"/>
      <c r="I491" s="277" t="s">
        <v>0</v>
      </c>
      <c r="J491" s="277"/>
    </row>
    <row r="492" spans="1:10" x14ac:dyDescent="0.3">
      <c r="A492" s="13" t="s">
        <v>1</v>
      </c>
      <c r="B492" s="14" t="s">
        <v>2</v>
      </c>
      <c r="C492" s="14" t="s">
        <v>3</v>
      </c>
      <c r="D492" s="14" t="s">
        <v>343</v>
      </c>
      <c r="E492" s="14" t="s">
        <v>585</v>
      </c>
      <c r="F492" s="28" t="s">
        <v>4</v>
      </c>
      <c r="G492" s="28" t="s">
        <v>5</v>
      </c>
      <c r="I492" s="5" t="s">
        <v>6</v>
      </c>
      <c r="J492" s="6">
        <f>SUM(Tabla110345345445545647910813514921922622722923023385951191321371403912151629303639[Total costo])</f>
        <v>2910.2058964000003</v>
      </c>
    </row>
    <row r="493" spans="1:10" x14ac:dyDescent="0.3">
      <c r="A493" s="7" t="s">
        <v>528</v>
      </c>
      <c r="B493" s="8" t="s">
        <v>188</v>
      </c>
      <c r="C493" s="9">
        <v>120</v>
      </c>
      <c r="D493" s="9">
        <v>0</v>
      </c>
      <c r="E493" s="9">
        <v>120</v>
      </c>
      <c r="F493" s="10">
        <f>+VLOOKUP(Tabla110345345445545647910813514921922622722923023385951191321371403912151629303639[[#This Row],[Ingrediente]],Tabla34[#All],3,0)</f>
        <v>4.8201292200000001</v>
      </c>
      <c r="G493" s="11">
        <f>+Tabla110345345445545647910813514921922622722923023385951191321371403912151629303639[[#This Row],[Costo]]*Tabla110345345445545647910813514921922622722923023385951191321371403912151629303639[[#This Row],[Cant.]]</f>
        <v>578.41550640000003</v>
      </c>
      <c r="I493" s="5" t="s">
        <v>113</v>
      </c>
      <c r="J493" s="12">
        <f>+J492*5%</f>
        <v>145.51029482000001</v>
      </c>
    </row>
    <row r="494" spans="1:10" x14ac:dyDescent="0.3">
      <c r="A494" s="7" t="s">
        <v>449</v>
      </c>
      <c r="B494" s="8" t="s">
        <v>188</v>
      </c>
      <c r="C494" s="9">
        <v>100</v>
      </c>
      <c r="D494" s="9">
        <v>0</v>
      </c>
      <c r="E494" s="9">
        <v>100</v>
      </c>
      <c r="F494" s="103">
        <f>+VLOOKUP(Tabla110345345445545647910813514921922622722923023385951191321371403912151629303639[[#This Row],[Ingrediente]],Tabla34[#All],3,0)</f>
        <v>23.317903900000001</v>
      </c>
      <c r="G494" s="104">
        <f>+Tabla110345345445545647910813514921922622722923023385951191321371403912151629303639[[#This Row],[Costo]]*Tabla110345345445545647910813514921922622722923023385951191321371403912151629303639[[#This Row],[Cant.]]</f>
        <v>2331.7903900000001</v>
      </c>
      <c r="H494" s="4"/>
      <c r="I494" s="5" t="s">
        <v>9</v>
      </c>
      <c r="J494" s="12">
        <f>+J492+J493</f>
        <v>3055.7161912200004</v>
      </c>
    </row>
    <row r="495" spans="1:10" x14ac:dyDescent="0.3">
      <c r="A495" s="13"/>
      <c r="B495" s="14"/>
      <c r="C495" s="14"/>
      <c r="D495" s="14"/>
      <c r="E495" s="14"/>
      <c r="F495" s="15"/>
      <c r="G495" s="15">
        <f>SUBTOTAL(109,Tabla110345345445545647910813514921922622722923023385951191321371403912151629303639[Total costo])</f>
        <v>2910.2058964000003</v>
      </c>
      <c r="H495" s="4"/>
      <c r="I495" s="17" t="s">
        <v>10</v>
      </c>
      <c r="J495" s="18">
        <v>8900</v>
      </c>
    </row>
    <row r="496" spans="1:10" x14ac:dyDescent="0.3">
      <c r="H496" s="4"/>
      <c r="I496" s="5" t="s">
        <v>11</v>
      </c>
      <c r="J496" s="12">
        <f>+J495/1.08*0.08</f>
        <v>659.25925925925924</v>
      </c>
    </row>
    <row r="497" spans="8:10" x14ac:dyDescent="0.3">
      <c r="H497" s="4"/>
      <c r="I497" s="5" t="s">
        <v>12</v>
      </c>
      <c r="J497" s="12">
        <f>+J495-J496</f>
        <v>8240.7407407407409</v>
      </c>
    </row>
    <row r="498" spans="8:10" x14ac:dyDescent="0.3">
      <c r="H498" s="4"/>
      <c r="I498" s="5" t="s">
        <v>13</v>
      </c>
      <c r="J498" s="19">
        <f>+J494/J497</f>
        <v>0.37080600972107869</v>
      </c>
    </row>
    <row r="499" spans="8:10" x14ac:dyDescent="0.3">
      <c r="H499" s="4"/>
      <c r="I499" s="5" t="s">
        <v>14</v>
      </c>
      <c r="J499" s="20">
        <f>+J497-J494</f>
        <v>5185.02454952074</v>
      </c>
    </row>
    <row r="500" spans="8:10" x14ac:dyDescent="0.3">
      <c r="I500" s="5" t="s">
        <v>15</v>
      </c>
      <c r="J500" s="22">
        <f>+J499/J494</f>
        <v>1.6968279202168344</v>
      </c>
    </row>
  </sheetData>
  <mergeCells count="44">
    <mergeCell ref="I491:J491"/>
    <mergeCell ref="I431:J431"/>
    <mergeCell ref="I445:J445"/>
    <mergeCell ref="I457:J457"/>
    <mergeCell ref="I468:J468"/>
    <mergeCell ref="I479:J479"/>
    <mergeCell ref="I367:J367"/>
    <mergeCell ref="I380:J380"/>
    <mergeCell ref="I393:J393"/>
    <mergeCell ref="I405:J405"/>
    <mergeCell ref="I419:J419"/>
    <mergeCell ref="I305:J305"/>
    <mergeCell ref="I316:J316"/>
    <mergeCell ref="I328:J328"/>
    <mergeCell ref="I341:J341"/>
    <mergeCell ref="I354:J354"/>
    <mergeCell ref="I245:J245"/>
    <mergeCell ref="I257:J257"/>
    <mergeCell ref="I268:J268"/>
    <mergeCell ref="I279:J279"/>
    <mergeCell ref="I292:J292"/>
    <mergeCell ref="I232:J232"/>
    <mergeCell ref="I158:J158"/>
    <mergeCell ref="I170:J170"/>
    <mergeCell ref="I182:J182"/>
    <mergeCell ref="I194:J194"/>
    <mergeCell ref="I207:J207"/>
    <mergeCell ref="A182:G182"/>
    <mergeCell ref="E194:G194"/>
    <mergeCell ref="E207:G207"/>
    <mergeCell ref="E221:G221"/>
    <mergeCell ref="I108:J108"/>
    <mergeCell ref="I120:J120"/>
    <mergeCell ref="I134:J134"/>
    <mergeCell ref="I146:J146"/>
    <mergeCell ref="I221:J221"/>
    <mergeCell ref="I92:J92"/>
    <mergeCell ref="I80:J80"/>
    <mergeCell ref="I66:J66"/>
    <mergeCell ref="I6:J6"/>
    <mergeCell ref="I18:J18"/>
    <mergeCell ref="I30:J30"/>
    <mergeCell ref="I41:J41"/>
    <mergeCell ref="I54:J54"/>
  </mergeCells>
  <phoneticPr fontId="20" type="noConversion"/>
  <conditionalFormatting sqref="J13">
    <cfRule type="cellIs" dxfId="251" priority="103" operator="lessThan">
      <formula>0.3</formula>
    </cfRule>
    <cfRule type="cellIs" dxfId="250" priority="104" operator="greaterThan">
      <formula>0.3</formula>
    </cfRule>
  </conditionalFormatting>
  <conditionalFormatting sqref="J25">
    <cfRule type="cellIs" dxfId="249" priority="101" operator="lessThan">
      <formula>0.3</formula>
    </cfRule>
    <cfRule type="cellIs" dxfId="248" priority="102" operator="greaterThan">
      <formula>0.3</formula>
    </cfRule>
  </conditionalFormatting>
  <conditionalFormatting sqref="J37">
    <cfRule type="cellIs" dxfId="247" priority="99" operator="lessThan">
      <formula>0.3</formula>
    </cfRule>
    <cfRule type="cellIs" dxfId="246" priority="100" operator="greaterThan">
      <formula>0.3</formula>
    </cfRule>
  </conditionalFormatting>
  <conditionalFormatting sqref="J48">
    <cfRule type="cellIs" dxfId="245" priority="97" operator="lessThan">
      <formula>0.3</formula>
    </cfRule>
    <cfRule type="cellIs" dxfId="244" priority="98" operator="greaterThan">
      <formula>0.3</formula>
    </cfRule>
  </conditionalFormatting>
  <conditionalFormatting sqref="J61">
    <cfRule type="cellIs" dxfId="243" priority="95" operator="lessThan">
      <formula>0.3</formula>
    </cfRule>
    <cfRule type="cellIs" dxfId="242" priority="96" operator="greaterThan">
      <formula>0.3</formula>
    </cfRule>
  </conditionalFormatting>
  <conditionalFormatting sqref="J73">
    <cfRule type="cellIs" dxfId="241" priority="93" operator="lessThan">
      <formula>0.3</formula>
    </cfRule>
    <cfRule type="cellIs" dxfId="240" priority="94" operator="greaterThan">
      <formula>0.3</formula>
    </cfRule>
  </conditionalFormatting>
  <conditionalFormatting sqref="J87">
    <cfRule type="cellIs" dxfId="239" priority="81" operator="lessThan">
      <formula>0.3</formula>
    </cfRule>
    <cfRule type="cellIs" dxfId="238" priority="82" operator="greaterThan">
      <formula>0.3</formula>
    </cfRule>
  </conditionalFormatting>
  <conditionalFormatting sqref="J99">
    <cfRule type="cellIs" dxfId="237" priority="73" operator="lessThan">
      <formula>0.3</formula>
    </cfRule>
    <cfRule type="cellIs" dxfId="236" priority="74" operator="greaterThan">
      <formula>0.3</formula>
    </cfRule>
  </conditionalFormatting>
  <conditionalFormatting sqref="J115">
    <cfRule type="cellIs" dxfId="235" priority="69" operator="lessThan">
      <formula>0.3</formula>
    </cfRule>
    <cfRule type="cellIs" dxfId="234" priority="70" operator="greaterThan">
      <formula>0.3</formula>
    </cfRule>
  </conditionalFormatting>
  <conditionalFormatting sqref="J127">
    <cfRule type="cellIs" dxfId="233" priority="67" operator="lessThan">
      <formula>0.3</formula>
    </cfRule>
    <cfRule type="cellIs" dxfId="232" priority="68" operator="greaterThan">
      <formula>0.3</formula>
    </cfRule>
  </conditionalFormatting>
  <conditionalFormatting sqref="J141">
    <cfRule type="cellIs" dxfId="231" priority="65" operator="lessThan">
      <formula>0.3</formula>
    </cfRule>
    <cfRule type="cellIs" dxfId="230" priority="66" operator="greaterThan">
      <formula>0.3</formula>
    </cfRule>
  </conditionalFormatting>
  <conditionalFormatting sqref="J153">
    <cfRule type="cellIs" dxfId="229" priority="63" operator="lessThan">
      <formula>0.3</formula>
    </cfRule>
    <cfRule type="cellIs" dxfId="228" priority="64" operator="greaterThan">
      <formula>0.3</formula>
    </cfRule>
  </conditionalFormatting>
  <conditionalFormatting sqref="J165">
    <cfRule type="cellIs" dxfId="227" priority="61" operator="lessThan">
      <formula>0.3</formula>
    </cfRule>
    <cfRule type="cellIs" dxfId="226" priority="62" operator="greaterThan">
      <formula>0.3</formula>
    </cfRule>
  </conditionalFormatting>
  <conditionalFormatting sqref="J177">
    <cfRule type="cellIs" dxfId="225" priority="59" operator="lessThan">
      <formula>0.3</formula>
    </cfRule>
    <cfRule type="cellIs" dxfId="224" priority="60" operator="greaterThan">
      <formula>0.3</formula>
    </cfRule>
  </conditionalFormatting>
  <conditionalFormatting sqref="J189">
    <cfRule type="cellIs" dxfId="223" priority="57" operator="lessThan">
      <formula>0.3</formula>
    </cfRule>
    <cfRule type="cellIs" dxfId="222" priority="58" operator="greaterThan">
      <formula>0.3</formula>
    </cfRule>
  </conditionalFormatting>
  <conditionalFormatting sqref="J201">
    <cfRule type="cellIs" dxfId="221" priority="55" operator="lessThan">
      <formula>0.3</formula>
    </cfRule>
    <cfRule type="cellIs" dxfId="220" priority="56" operator="greaterThan">
      <formula>0.3</formula>
    </cfRule>
  </conditionalFormatting>
  <conditionalFormatting sqref="J214">
    <cfRule type="cellIs" dxfId="219" priority="53" operator="lessThan">
      <formula>0.3</formula>
    </cfRule>
    <cfRule type="cellIs" dxfId="218" priority="54" operator="greaterThan">
      <formula>0.3</formula>
    </cfRule>
  </conditionalFormatting>
  <conditionalFormatting sqref="J228">
    <cfRule type="cellIs" dxfId="217" priority="51" operator="lessThan">
      <formula>0.3</formula>
    </cfRule>
    <cfRule type="cellIs" dxfId="216" priority="52" operator="greaterThan">
      <formula>0.3</formula>
    </cfRule>
  </conditionalFormatting>
  <conditionalFormatting sqref="J239">
    <cfRule type="cellIs" dxfId="215" priority="49" operator="lessThan">
      <formula>0.3</formula>
    </cfRule>
    <cfRule type="cellIs" dxfId="214" priority="50" operator="greaterThan">
      <formula>0.3</formula>
    </cfRule>
  </conditionalFormatting>
  <conditionalFormatting sqref="J252">
    <cfRule type="cellIs" dxfId="213" priority="41" operator="lessThan">
      <formula>0.3</formula>
    </cfRule>
    <cfRule type="cellIs" dxfId="212" priority="42" operator="greaterThan">
      <formula>0.3</formula>
    </cfRule>
  </conditionalFormatting>
  <conditionalFormatting sqref="J264">
    <cfRule type="cellIs" dxfId="211" priority="39" operator="lessThan">
      <formula>0.3</formula>
    </cfRule>
    <cfRule type="cellIs" dxfId="210" priority="40" operator="greaterThan">
      <formula>0.3</formula>
    </cfRule>
  </conditionalFormatting>
  <conditionalFormatting sqref="J275">
    <cfRule type="cellIs" dxfId="209" priority="37" operator="lessThan">
      <formula>0.3</formula>
    </cfRule>
    <cfRule type="cellIs" dxfId="208" priority="38" operator="greaterThan">
      <formula>0.3</formula>
    </cfRule>
  </conditionalFormatting>
  <conditionalFormatting sqref="J286">
    <cfRule type="cellIs" dxfId="207" priority="35" operator="lessThan">
      <formula>0.3</formula>
    </cfRule>
    <cfRule type="cellIs" dxfId="206" priority="36" operator="greaterThan">
      <formula>0.3</formula>
    </cfRule>
  </conditionalFormatting>
  <conditionalFormatting sqref="J299">
    <cfRule type="cellIs" dxfId="205" priority="33" operator="lessThan">
      <formula>0.3</formula>
    </cfRule>
    <cfRule type="cellIs" dxfId="204" priority="34" operator="greaterThan">
      <formula>0.3</formula>
    </cfRule>
  </conditionalFormatting>
  <conditionalFormatting sqref="J312">
    <cfRule type="cellIs" dxfId="203" priority="31" operator="lessThan">
      <formula>0.3</formula>
    </cfRule>
    <cfRule type="cellIs" dxfId="202" priority="32" operator="greaterThan">
      <formula>0.3</formula>
    </cfRule>
  </conditionalFormatting>
  <conditionalFormatting sqref="J323">
    <cfRule type="cellIs" dxfId="201" priority="29" operator="lessThan">
      <formula>0.3</formula>
    </cfRule>
    <cfRule type="cellIs" dxfId="200" priority="30" operator="greaterThan">
      <formula>0.3</formula>
    </cfRule>
  </conditionalFormatting>
  <conditionalFormatting sqref="J335">
    <cfRule type="cellIs" dxfId="199" priority="27" operator="lessThan">
      <formula>0.3</formula>
    </cfRule>
    <cfRule type="cellIs" dxfId="198" priority="28" operator="greaterThan">
      <formula>0.3</formula>
    </cfRule>
  </conditionalFormatting>
  <conditionalFormatting sqref="J348">
    <cfRule type="cellIs" dxfId="197" priority="25" operator="lessThan">
      <formula>0.3</formula>
    </cfRule>
    <cfRule type="cellIs" dxfId="196" priority="26" operator="greaterThan">
      <formula>0.3</formula>
    </cfRule>
  </conditionalFormatting>
  <conditionalFormatting sqref="J361">
    <cfRule type="cellIs" dxfId="195" priority="23" operator="lessThan">
      <formula>0.3</formula>
    </cfRule>
    <cfRule type="cellIs" dxfId="194" priority="24" operator="greaterThan">
      <formula>0.3</formula>
    </cfRule>
  </conditionalFormatting>
  <conditionalFormatting sqref="J374">
    <cfRule type="cellIs" dxfId="193" priority="21" operator="lessThan">
      <formula>0.3</formula>
    </cfRule>
    <cfRule type="cellIs" dxfId="192" priority="22" operator="greaterThan">
      <formula>0.3</formula>
    </cfRule>
  </conditionalFormatting>
  <conditionalFormatting sqref="J387">
    <cfRule type="cellIs" dxfId="191" priority="19" operator="lessThan">
      <formula>0.3</formula>
    </cfRule>
    <cfRule type="cellIs" dxfId="190" priority="20" operator="greaterThan">
      <formula>0.3</formula>
    </cfRule>
  </conditionalFormatting>
  <conditionalFormatting sqref="J400">
    <cfRule type="cellIs" dxfId="189" priority="17" operator="lessThan">
      <formula>0.3</formula>
    </cfRule>
    <cfRule type="cellIs" dxfId="188" priority="18" operator="greaterThan">
      <formula>0.3</formula>
    </cfRule>
  </conditionalFormatting>
  <conditionalFormatting sqref="J412">
    <cfRule type="cellIs" dxfId="187" priority="15" operator="lessThan">
      <formula>0.3</formula>
    </cfRule>
    <cfRule type="cellIs" dxfId="186" priority="16" operator="greaterThan">
      <formula>0.3</formula>
    </cfRule>
  </conditionalFormatting>
  <conditionalFormatting sqref="J426">
    <cfRule type="cellIs" dxfId="185" priority="13" operator="lessThan">
      <formula>0.3</formula>
    </cfRule>
    <cfRule type="cellIs" dxfId="184" priority="14" operator="greaterThan">
      <formula>0.3</formula>
    </cfRule>
  </conditionalFormatting>
  <conditionalFormatting sqref="J438">
    <cfRule type="cellIs" dxfId="183" priority="11" operator="lessThan">
      <formula>0.3</formula>
    </cfRule>
    <cfRule type="cellIs" dxfId="182" priority="12" operator="greaterThan">
      <formula>0.3</formula>
    </cfRule>
  </conditionalFormatting>
  <conditionalFormatting sqref="J452">
    <cfRule type="cellIs" dxfId="181" priority="9" operator="lessThan">
      <formula>0.3</formula>
    </cfRule>
    <cfRule type="cellIs" dxfId="180" priority="10" operator="greaterThan">
      <formula>0.3</formula>
    </cfRule>
  </conditionalFormatting>
  <conditionalFormatting sqref="J464">
    <cfRule type="cellIs" dxfId="179" priority="7" operator="lessThan">
      <formula>0.3</formula>
    </cfRule>
    <cfRule type="cellIs" dxfId="178" priority="8" operator="greaterThan">
      <formula>0.3</formula>
    </cfRule>
  </conditionalFormatting>
  <conditionalFormatting sqref="J475">
    <cfRule type="cellIs" dxfId="177" priority="5" operator="lessThan">
      <formula>0.3</formula>
    </cfRule>
    <cfRule type="cellIs" dxfId="176" priority="6" operator="greaterThan">
      <formula>0.3</formula>
    </cfRule>
  </conditionalFormatting>
  <conditionalFormatting sqref="J486">
    <cfRule type="cellIs" dxfId="175" priority="3" operator="lessThan">
      <formula>0.3</formula>
    </cfRule>
    <cfRule type="cellIs" dxfId="174" priority="4" operator="greaterThan">
      <formula>0.3</formula>
    </cfRule>
  </conditionalFormatting>
  <conditionalFormatting sqref="J498">
    <cfRule type="cellIs" dxfId="173" priority="1" operator="lessThan">
      <formula>0.3</formula>
    </cfRule>
    <cfRule type="cellIs" dxfId="172" priority="2" operator="greaterThan">
      <formula>0.3</formula>
    </cfRule>
  </conditionalFormatting>
  <pageMargins left="0.7" right="0.7" top="0.75" bottom="0.75" header="0.3" footer="0.3"/>
  <pageSetup orientation="portrait" horizontalDpi="360" verticalDpi="360" r:id="rId1"/>
  <drawing r:id="rId2"/>
  <tableParts count="40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57533-7E8D-4AF3-92DE-09D19636F442}">
  <dimension ref="A5:H283"/>
  <sheetViews>
    <sheetView showGridLines="0" workbookViewId="0">
      <selection activeCell="A60" sqref="A5:H283"/>
    </sheetView>
  </sheetViews>
  <sheetFormatPr baseColWidth="10" defaultRowHeight="13.8" x14ac:dyDescent="0.25"/>
  <cols>
    <col min="1" max="1" width="56.33203125" style="70" bestFit="1" customWidth="1"/>
    <col min="2" max="2" width="27.44140625" style="70" customWidth="1"/>
    <col min="3" max="3" width="13.88671875" style="115" customWidth="1"/>
    <col min="4" max="4" width="15.44140625" style="76" customWidth="1"/>
    <col min="5" max="5" width="18.5546875" style="76" customWidth="1"/>
    <col min="6" max="6" width="15.109375" style="76" customWidth="1"/>
    <col min="7" max="7" width="18.77734375" style="70" customWidth="1"/>
    <col min="8" max="8" width="11.6640625" style="190" customWidth="1"/>
    <col min="9" max="16384" width="11.5546875" style="70"/>
  </cols>
  <sheetData>
    <row r="5" spans="1:8" ht="27.6" x14ac:dyDescent="0.25">
      <c r="A5" s="191" t="s">
        <v>582</v>
      </c>
      <c r="B5" s="192" t="s">
        <v>783</v>
      </c>
      <c r="C5" s="193" t="s">
        <v>784</v>
      </c>
      <c r="D5" s="194" t="s">
        <v>785</v>
      </c>
      <c r="E5" s="194" t="s">
        <v>786</v>
      </c>
      <c r="F5" s="194" t="s">
        <v>787</v>
      </c>
      <c r="G5" s="194" t="s">
        <v>937</v>
      </c>
      <c r="H5" s="195" t="s">
        <v>938</v>
      </c>
    </row>
    <row r="6" spans="1:8" hidden="1" x14ac:dyDescent="0.25">
      <c r="A6" s="185" t="s">
        <v>66</v>
      </c>
      <c r="B6" s="186" t="s">
        <v>110</v>
      </c>
      <c r="C6" s="187">
        <v>18</v>
      </c>
      <c r="D6" s="71">
        <v>916667.40730000008</v>
      </c>
      <c r="E6" s="71">
        <v>73332.592699999994</v>
      </c>
      <c r="F6" s="71">
        <v>990000</v>
      </c>
      <c r="G6" s="188" t="e">
        <f>+Tabla77[[#This Row],[Suma de Neto]]/Tabla77[[#Totals],[Suma de Neto]]</f>
        <v>#REF!</v>
      </c>
      <c r="H6" s="189" t="e">
        <f>+Tabla77[[#This Row],[Suma de Uds.V]]/Tabla77[[#Totals],[Suma de Uds.V]]</f>
        <v>#REF!</v>
      </c>
    </row>
    <row r="7" spans="1:8" hidden="1" x14ac:dyDescent="0.25">
      <c r="A7" s="185" t="s">
        <v>65</v>
      </c>
      <c r="B7" s="186" t="s">
        <v>110</v>
      </c>
      <c r="C7" s="187">
        <v>6</v>
      </c>
      <c r="D7" s="71">
        <v>327778.88890000002</v>
      </c>
      <c r="E7" s="71">
        <v>26221.111100000002</v>
      </c>
      <c r="F7" s="71">
        <v>354000</v>
      </c>
      <c r="G7" s="188" t="e">
        <f>+Tabla77[[#This Row],[Suma de Neto]]/Tabla77[[#Totals],[Suma de Neto]]</f>
        <v>#REF!</v>
      </c>
      <c r="H7" s="189" t="e">
        <f>+Tabla77[[#This Row],[Suma de Uds.V]]/Tabla77[[#Totals],[Suma de Uds.V]]</f>
        <v>#REF!</v>
      </c>
    </row>
    <row r="8" spans="1:8" hidden="1" x14ac:dyDescent="0.25">
      <c r="A8" s="185" t="s">
        <v>220</v>
      </c>
      <c r="B8" s="186" t="s">
        <v>788</v>
      </c>
      <c r="C8" s="187">
        <v>51</v>
      </c>
      <c r="D8" s="71">
        <v>2077774.2587999997</v>
      </c>
      <c r="E8" s="71">
        <v>166225.74120000008</v>
      </c>
      <c r="F8" s="71">
        <v>2244000</v>
      </c>
      <c r="G8" s="188" t="e">
        <f>+Tabla77[[#This Row],[Suma de Neto]]/Tabla77[[#Totals],[Suma de Neto]]</f>
        <v>#REF!</v>
      </c>
      <c r="H8" s="189" t="e">
        <f>+Tabla77[[#This Row],[Suma de Uds.V]]/Tabla77[[#Totals],[Suma de Uds.V]]</f>
        <v>#REF!</v>
      </c>
    </row>
    <row r="9" spans="1:8" hidden="1" x14ac:dyDescent="0.25">
      <c r="A9" s="185" t="s">
        <v>150</v>
      </c>
      <c r="B9" s="186" t="s">
        <v>286</v>
      </c>
      <c r="C9" s="187">
        <v>313</v>
      </c>
      <c r="D9" s="71">
        <v>8561102.4410000164</v>
      </c>
      <c r="E9" s="71">
        <v>684897.55899999943</v>
      </c>
      <c r="F9" s="71">
        <v>9246000</v>
      </c>
      <c r="G9" s="188" t="e">
        <f>+Tabla77[[#This Row],[Suma de Neto]]/Tabla77[[#Totals],[Suma de Neto]]</f>
        <v>#REF!</v>
      </c>
      <c r="H9" s="189" t="e">
        <f>+Tabla77[[#This Row],[Suma de Uds.V]]/Tabla77[[#Totals],[Suma de Uds.V]]</f>
        <v>#REF!</v>
      </c>
    </row>
    <row r="10" spans="1:8" hidden="1" x14ac:dyDescent="0.25">
      <c r="A10" s="185" t="s">
        <v>789</v>
      </c>
      <c r="B10" s="186" t="s">
        <v>790</v>
      </c>
      <c r="C10" s="187">
        <v>30</v>
      </c>
      <c r="D10" s="71">
        <v>4583334.2227999996</v>
      </c>
      <c r="E10" s="71">
        <v>366665.77720000001</v>
      </c>
      <c r="F10" s="71">
        <v>4950000</v>
      </c>
      <c r="G10" s="188" t="e">
        <f>+Tabla77[[#This Row],[Suma de Neto]]/Tabla77[[#Totals],[Suma de Neto]]</f>
        <v>#REF!</v>
      </c>
      <c r="H10" s="189" t="e">
        <f>+Tabla77[[#This Row],[Suma de Uds.V]]/Tabla77[[#Totals],[Suma de Uds.V]]</f>
        <v>#REF!</v>
      </c>
    </row>
    <row r="11" spans="1:8" hidden="1" x14ac:dyDescent="0.25">
      <c r="A11" s="185" t="s">
        <v>256</v>
      </c>
      <c r="B11" s="186" t="s">
        <v>286</v>
      </c>
      <c r="C11" s="187">
        <v>759</v>
      </c>
      <c r="D11" s="71">
        <v>22265250.77190005</v>
      </c>
      <c r="E11" s="71">
        <v>1781249.2281000065</v>
      </c>
      <c r="F11" s="71">
        <v>24046500</v>
      </c>
      <c r="G11" s="188" t="e">
        <f>+Tabla77[[#This Row],[Suma de Neto]]/Tabla77[[#Totals],[Suma de Neto]]</f>
        <v>#REF!</v>
      </c>
      <c r="H11" s="189" t="e">
        <f>+Tabla77[[#This Row],[Suma de Uds.V]]/Tabla77[[#Totals],[Suma de Uds.V]]</f>
        <v>#REF!</v>
      </c>
    </row>
    <row r="12" spans="1:8" hidden="1" x14ac:dyDescent="0.25">
      <c r="A12" s="185" t="s">
        <v>710</v>
      </c>
      <c r="B12" s="186" t="s">
        <v>331</v>
      </c>
      <c r="C12" s="187">
        <v>50</v>
      </c>
      <c r="D12" s="71">
        <v>225490.73950000008</v>
      </c>
      <c r="E12" s="71">
        <v>18039.260499999993</v>
      </c>
      <c r="F12" s="71">
        <v>243530</v>
      </c>
      <c r="G12" s="188" t="e">
        <f>+Tabla77[[#This Row],[Suma de Neto]]/Tabla77[[#Totals],[Suma de Neto]]</f>
        <v>#REF!</v>
      </c>
      <c r="H12" s="189" t="e">
        <f>+Tabla77[[#This Row],[Suma de Uds.V]]/Tabla77[[#Totals],[Suma de Uds.V]]</f>
        <v>#REF!</v>
      </c>
    </row>
    <row r="13" spans="1:8" hidden="1" x14ac:dyDescent="0.25">
      <c r="A13" s="185" t="s">
        <v>791</v>
      </c>
      <c r="B13" s="186" t="s">
        <v>331</v>
      </c>
      <c r="C13" s="187">
        <v>21</v>
      </c>
      <c r="D13" s="71">
        <v>153330.48139999996</v>
      </c>
      <c r="E13" s="71">
        <v>12269.518599999999</v>
      </c>
      <c r="F13" s="71">
        <v>165600</v>
      </c>
      <c r="G13" s="188" t="e">
        <f>+Tabla77[[#This Row],[Suma de Neto]]/Tabla77[[#Totals],[Suma de Neto]]</f>
        <v>#REF!</v>
      </c>
      <c r="H13" s="189" t="e">
        <f>+Tabla77[[#This Row],[Suma de Uds.V]]/Tabla77[[#Totals],[Suma de Uds.V]]</f>
        <v>#REF!</v>
      </c>
    </row>
    <row r="14" spans="1:8" hidden="1" x14ac:dyDescent="0.25">
      <c r="A14" s="185" t="s">
        <v>792</v>
      </c>
      <c r="B14" s="186" t="s">
        <v>793</v>
      </c>
      <c r="C14" s="187">
        <v>287</v>
      </c>
      <c r="D14" s="71">
        <v>2125906.9245999954</v>
      </c>
      <c r="E14" s="71">
        <v>170093.07540000038</v>
      </c>
      <c r="F14" s="71">
        <v>2296000</v>
      </c>
      <c r="G14" s="188" t="e">
        <f>+Tabla77[[#This Row],[Suma de Neto]]/Tabla77[[#Totals],[Suma de Neto]]</f>
        <v>#REF!</v>
      </c>
      <c r="H14" s="189" t="e">
        <f>+Tabla77[[#This Row],[Suma de Uds.V]]/Tabla77[[#Totals],[Suma de Uds.V]]</f>
        <v>#REF!</v>
      </c>
    </row>
    <row r="15" spans="1:8" hidden="1" x14ac:dyDescent="0.25">
      <c r="A15" s="185" t="s">
        <v>794</v>
      </c>
      <c r="B15" s="186" t="s">
        <v>793</v>
      </c>
      <c r="C15" s="187">
        <v>109</v>
      </c>
      <c r="D15" s="71">
        <v>2311203.9995999984</v>
      </c>
      <c r="E15" s="71">
        <v>184896.00040000002</v>
      </c>
      <c r="F15" s="71">
        <v>2496100</v>
      </c>
      <c r="G15" s="188" t="e">
        <f>+Tabla77[[#This Row],[Suma de Neto]]/Tabla77[[#Totals],[Suma de Neto]]</f>
        <v>#REF!</v>
      </c>
      <c r="H15" s="189" t="e">
        <f>+Tabla77[[#This Row],[Suma de Uds.V]]/Tabla77[[#Totals],[Suma de Uds.V]]</f>
        <v>#REF!</v>
      </c>
    </row>
    <row r="16" spans="1:8" hidden="1" x14ac:dyDescent="0.25">
      <c r="A16" s="185" t="s">
        <v>795</v>
      </c>
      <c r="B16" s="186" t="s">
        <v>793</v>
      </c>
      <c r="C16" s="187">
        <v>93</v>
      </c>
      <c r="D16" s="71">
        <v>1971947.2218999979</v>
      </c>
      <c r="E16" s="71">
        <v>157752.77809999994</v>
      </c>
      <c r="F16" s="71">
        <v>2129700</v>
      </c>
      <c r="G16" s="188" t="e">
        <f>+Tabla77[[#This Row],[Suma de Neto]]/Tabla77[[#Totals],[Suma de Neto]]</f>
        <v>#REF!</v>
      </c>
      <c r="H16" s="189" t="e">
        <f>+Tabla77[[#This Row],[Suma de Uds.V]]/Tabla77[[#Totals],[Suma de Uds.V]]</f>
        <v>#REF!</v>
      </c>
    </row>
    <row r="17" spans="1:8" hidden="1" x14ac:dyDescent="0.25">
      <c r="A17" s="185" t="s">
        <v>796</v>
      </c>
      <c r="B17" s="186" t="s">
        <v>793</v>
      </c>
      <c r="C17" s="187">
        <v>942</v>
      </c>
      <c r="D17" s="71">
        <v>6977714.0323999627</v>
      </c>
      <c r="E17" s="71">
        <v>558285.9675999952</v>
      </c>
      <c r="F17" s="71">
        <v>7536000</v>
      </c>
      <c r="G17" s="188" t="e">
        <f>+Tabla77[[#This Row],[Suma de Neto]]/Tabla77[[#Totals],[Suma de Neto]]</f>
        <v>#REF!</v>
      </c>
      <c r="H17" s="189" t="e">
        <f>+Tabla77[[#This Row],[Suma de Uds.V]]/Tabla77[[#Totals],[Suma de Uds.V]]</f>
        <v>#REF!</v>
      </c>
    </row>
    <row r="18" spans="1:8" hidden="1" x14ac:dyDescent="0.25">
      <c r="A18" s="185" t="s">
        <v>797</v>
      </c>
      <c r="B18" s="186" t="s">
        <v>798</v>
      </c>
      <c r="C18" s="187">
        <v>83</v>
      </c>
      <c r="D18" s="71">
        <v>0</v>
      </c>
      <c r="E18" s="71">
        <v>0</v>
      </c>
      <c r="F18" s="71">
        <v>0</v>
      </c>
      <c r="G18" s="188" t="e">
        <f>+Tabla77[[#This Row],[Suma de Neto]]/Tabla77[[#Totals],[Suma de Neto]]</f>
        <v>#REF!</v>
      </c>
      <c r="H18" s="189" t="e">
        <f>+Tabla77[[#This Row],[Suma de Uds.V]]/Tabla77[[#Totals],[Suma de Uds.V]]</f>
        <v>#REF!</v>
      </c>
    </row>
    <row r="19" spans="1:8" hidden="1" x14ac:dyDescent="0.25">
      <c r="A19" s="185" t="s">
        <v>711</v>
      </c>
      <c r="B19" s="186" t="s">
        <v>331</v>
      </c>
      <c r="C19" s="187">
        <v>45</v>
      </c>
      <c r="D19" s="71">
        <v>85416.963599999988</v>
      </c>
      <c r="E19" s="71">
        <v>6833.0364000000027</v>
      </c>
      <c r="F19" s="71">
        <v>92250</v>
      </c>
      <c r="G19" s="188" t="e">
        <f>+Tabla77[[#This Row],[Suma de Neto]]/Tabla77[[#Totals],[Suma de Neto]]</f>
        <v>#REF!</v>
      </c>
      <c r="H19" s="189" t="e">
        <f>+Tabla77[[#This Row],[Suma de Uds.V]]/Tabla77[[#Totals],[Suma de Uds.V]]</f>
        <v>#REF!</v>
      </c>
    </row>
    <row r="20" spans="1:8" hidden="1" x14ac:dyDescent="0.25">
      <c r="A20" s="185" t="s">
        <v>136</v>
      </c>
      <c r="B20" s="186" t="s">
        <v>146</v>
      </c>
      <c r="C20" s="187">
        <v>68</v>
      </c>
      <c r="D20" s="71">
        <v>3078891.4455999979</v>
      </c>
      <c r="E20" s="71">
        <v>246308.55439999979</v>
      </c>
      <c r="F20" s="71">
        <v>3325200</v>
      </c>
      <c r="G20" s="188" t="e">
        <f>+Tabla77[[#This Row],[Suma de Neto]]/Tabla77[[#Totals],[Suma de Neto]]</f>
        <v>#REF!</v>
      </c>
      <c r="H20" s="189" t="e">
        <f>+Tabla77[[#This Row],[Suma de Uds.V]]/Tabla77[[#Totals],[Suma de Uds.V]]</f>
        <v>#REF!</v>
      </c>
    </row>
    <row r="21" spans="1:8" hidden="1" x14ac:dyDescent="0.25">
      <c r="A21" s="185" t="s">
        <v>799</v>
      </c>
      <c r="B21" s="186" t="s">
        <v>800</v>
      </c>
      <c r="C21" s="187">
        <v>153</v>
      </c>
      <c r="D21" s="71">
        <v>1416661.0010000009</v>
      </c>
      <c r="E21" s="71">
        <v>113338.99899999989</v>
      </c>
      <c r="F21" s="71">
        <v>1530000</v>
      </c>
      <c r="G21" s="188" t="e">
        <f>+Tabla77[[#This Row],[Suma de Neto]]/Tabla77[[#Totals],[Suma de Neto]]</f>
        <v>#REF!</v>
      </c>
      <c r="H21" s="189" t="e">
        <f>+Tabla77[[#This Row],[Suma de Uds.V]]/Tabla77[[#Totals],[Suma de Uds.V]]</f>
        <v>#REF!</v>
      </c>
    </row>
    <row r="22" spans="1:8" hidden="1" x14ac:dyDescent="0.25">
      <c r="A22" s="185" t="s">
        <v>801</v>
      </c>
      <c r="B22" s="186" t="s">
        <v>800</v>
      </c>
      <c r="C22" s="187">
        <v>94</v>
      </c>
      <c r="D22" s="71">
        <v>870365.55630000052</v>
      </c>
      <c r="E22" s="71">
        <v>69634.443700000003</v>
      </c>
      <c r="F22" s="71">
        <v>940000</v>
      </c>
      <c r="G22" s="188" t="e">
        <f>+Tabla77[[#This Row],[Suma de Neto]]/Tabla77[[#Totals],[Suma de Neto]]</f>
        <v>#REF!</v>
      </c>
      <c r="H22" s="189" t="e">
        <f>+Tabla77[[#This Row],[Suma de Uds.V]]/Tabla77[[#Totals],[Suma de Uds.V]]</f>
        <v>#REF!</v>
      </c>
    </row>
    <row r="23" spans="1:8" hidden="1" x14ac:dyDescent="0.25">
      <c r="A23" s="185" t="s">
        <v>802</v>
      </c>
      <c r="B23" s="186" t="s">
        <v>148</v>
      </c>
      <c r="C23" s="187">
        <v>103</v>
      </c>
      <c r="D23" s="71">
        <v>5626863.701999994</v>
      </c>
      <c r="E23" s="71">
        <v>450136.29800000053</v>
      </c>
      <c r="F23" s="71">
        <v>6077000</v>
      </c>
      <c r="G23" s="188" t="e">
        <f>+Tabla77[[#This Row],[Suma de Neto]]/Tabla77[[#Totals],[Suma de Neto]]</f>
        <v>#REF!</v>
      </c>
      <c r="H23" s="189" t="e">
        <f>+Tabla77[[#This Row],[Suma de Uds.V]]/Tabla77[[#Totals],[Suma de Uds.V]]</f>
        <v>#REF!</v>
      </c>
    </row>
    <row r="24" spans="1:8" hidden="1" x14ac:dyDescent="0.25">
      <c r="A24" s="185" t="s">
        <v>803</v>
      </c>
      <c r="B24" s="186" t="s">
        <v>804</v>
      </c>
      <c r="C24" s="187">
        <v>0</v>
      </c>
      <c r="D24" s="71">
        <v>0</v>
      </c>
      <c r="E24" s="71">
        <v>0</v>
      </c>
      <c r="F24" s="71">
        <v>0</v>
      </c>
      <c r="G24" s="188" t="e">
        <f>+Tabla77[[#This Row],[Suma de Neto]]/Tabla77[[#Totals],[Suma de Neto]]</f>
        <v>#REF!</v>
      </c>
      <c r="H24" s="189" t="e">
        <f>+Tabla77[[#This Row],[Suma de Uds.V]]/Tabla77[[#Totals],[Suma de Uds.V]]</f>
        <v>#REF!</v>
      </c>
    </row>
    <row r="25" spans="1:8" hidden="1" x14ac:dyDescent="0.25">
      <c r="A25" s="185" t="s">
        <v>805</v>
      </c>
      <c r="B25" s="186" t="s">
        <v>806</v>
      </c>
      <c r="C25" s="187">
        <v>448</v>
      </c>
      <c r="D25" s="71">
        <v>2276915.5941000022</v>
      </c>
      <c r="E25" s="71">
        <v>182134.40589999975</v>
      </c>
      <c r="F25" s="71">
        <v>2459050</v>
      </c>
      <c r="G25" s="188" t="e">
        <f>+Tabla77[[#This Row],[Suma de Neto]]/Tabla77[[#Totals],[Suma de Neto]]</f>
        <v>#REF!</v>
      </c>
      <c r="H25" s="189" t="e">
        <f>+Tabla77[[#This Row],[Suma de Uds.V]]/Tabla77[[#Totals],[Suma de Uds.V]]</f>
        <v>#REF!</v>
      </c>
    </row>
    <row r="26" spans="1:8" hidden="1" x14ac:dyDescent="0.25">
      <c r="A26" s="185" t="s">
        <v>171</v>
      </c>
      <c r="B26" s="186" t="s">
        <v>807</v>
      </c>
      <c r="C26" s="187">
        <v>94</v>
      </c>
      <c r="D26" s="71">
        <v>3220369.4826000016</v>
      </c>
      <c r="E26" s="71">
        <v>257630.5173999999</v>
      </c>
      <c r="F26" s="71">
        <v>3478000</v>
      </c>
      <c r="G26" s="188" t="e">
        <f>+Tabla77[[#This Row],[Suma de Neto]]/Tabla77[[#Totals],[Suma de Neto]]</f>
        <v>#REF!</v>
      </c>
      <c r="H26" s="189" t="e">
        <f>+Tabla77[[#This Row],[Suma de Uds.V]]/Tabla77[[#Totals],[Suma de Uds.V]]</f>
        <v>#REF!</v>
      </c>
    </row>
    <row r="27" spans="1:8" hidden="1" x14ac:dyDescent="0.25">
      <c r="A27" s="185" t="s">
        <v>808</v>
      </c>
      <c r="B27" s="186" t="s">
        <v>809</v>
      </c>
      <c r="C27" s="187">
        <v>126</v>
      </c>
      <c r="D27" s="71">
        <v>583337.88829999988</v>
      </c>
      <c r="E27" s="71">
        <v>46662.111700000001</v>
      </c>
      <c r="F27" s="71">
        <v>630000</v>
      </c>
      <c r="G27" s="188" t="e">
        <f>+Tabla77[[#This Row],[Suma de Neto]]/Tabla77[[#Totals],[Suma de Neto]]</f>
        <v>#REF!</v>
      </c>
      <c r="H27" s="189" t="e">
        <f>+Tabla77[[#This Row],[Suma de Uds.V]]/Tabla77[[#Totals],[Suma de Uds.V]]</f>
        <v>#REF!</v>
      </c>
    </row>
    <row r="28" spans="1:8" hidden="1" x14ac:dyDescent="0.25">
      <c r="A28" s="185" t="s">
        <v>342</v>
      </c>
      <c r="B28" s="186" t="s">
        <v>110</v>
      </c>
      <c r="C28" s="187">
        <v>194</v>
      </c>
      <c r="D28" s="71">
        <v>12035180.884900024</v>
      </c>
      <c r="E28" s="71">
        <v>962819.11509999912</v>
      </c>
      <c r="F28" s="71">
        <v>12998000</v>
      </c>
      <c r="G28" s="188" t="e">
        <f>+Tabla77[[#This Row],[Suma de Neto]]/Tabla77[[#Totals],[Suma de Neto]]</f>
        <v>#REF!</v>
      </c>
      <c r="H28" s="189" t="e">
        <f>+Tabla77[[#This Row],[Suma de Uds.V]]/Tabla77[[#Totals],[Suma de Uds.V]]</f>
        <v>#REF!</v>
      </c>
    </row>
    <row r="29" spans="1:8" hidden="1" x14ac:dyDescent="0.25">
      <c r="A29" s="185" t="s">
        <v>245</v>
      </c>
      <c r="B29" s="186" t="s">
        <v>331</v>
      </c>
      <c r="C29" s="187">
        <v>1320</v>
      </c>
      <c r="D29" s="71">
        <v>153331.48139999996</v>
      </c>
      <c r="E29" s="71">
        <v>12268.518599999999</v>
      </c>
      <c r="F29" s="71">
        <v>165600</v>
      </c>
      <c r="G29" s="188" t="e">
        <f>+Tabla77[[#This Row],[Suma de Neto]]/Tabla77[[#Totals],[Suma de Neto]]</f>
        <v>#REF!</v>
      </c>
      <c r="H29" s="189" t="e">
        <f>+Tabla77[[#This Row],[Suma de Uds.V]]/Tabla77[[#Totals],[Suma de Uds.V]]</f>
        <v>#REF!</v>
      </c>
    </row>
    <row r="30" spans="1:8" hidden="1" x14ac:dyDescent="0.25">
      <c r="A30" s="185" t="s">
        <v>67</v>
      </c>
      <c r="B30" s="186" t="s">
        <v>110</v>
      </c>
      <c r="C30" s="187">
        <v>12</v>
      </c>
      <c r="D30" s="71">
        <v>655556.40720000002</v>
      </c>
      <c r="E30" s="71">
        <v>52443.592799999999</v>
      </c>
      <c r="F30" s="71">
        <v>708000</v>
      </c>
      <c r="G30" s="188" t="e">
        <f>+Tabla77[[#This Row],[Suma de Neto]]/Tabla77[[#Totals],[Suma de Neto]]</f>
        <v>#REF!</v>
      </c>
      <c r="H30" s="189" t="e">
        <f>+Tabla77[[#This Row],[Suma de Uds.V]]/Tabla77[[#Totals],[Suma de Uds.V]]</f>
        <v>#REF!</v>
      </c>
    </row>
    <row r="31" spans="1:8" hidden="1" x14ac:dyDescent="0.25">
      <c r="A31" s="185" t="s">
        <v>63</v>
      </c>
      <c r="B31" s="186" t="s">
        <v>110</v>
      </c>
      <c r="C31" s="187">
        <v>279</v>
      </c>
      <c r="D31" s="71">
        <v>15474169.560899967</v>
      </c>
      <c r="E31" s="71">
        <v>1237930.4391000015</v>
      </c>
      <c r="F31" s="71">
        <v>16712100</v>
      </c>
      <c r="G31" s="188" t="e">
        <f>+Tabla77[[#This Row],[Suma de Neto]]/Tabla77[[#Totals],[Suma de Neto]]</f>
        <v>#REF!</v>
      </c>
      <c r="H31" s="189" t="e">
        <f>+Tabla77[[#This Row],[Suma de Uds.V]]/Tabla77[[#Totals],[Suma de Uds.V]]</f>
        <v>#REF!</v>
      </c>
    </row>
    <row r="32" spans="1:8" hidden="1" x14ac:dyDescent="0.25">
      <c r="A32" s="185" t="s">
        <v>810</v>
      </c>
      <c r="B32" s="186" t="s">
        <v>811</v>
      </c>
      <c r="C32" s="187">
        <v>58</v>
      </c>
      <c r="D32" s="71">
        <v>483333.33179999999</v>
      </c>
      <c r="E32" s="71">
        <v>38666.668200000036</v>
      </c>
      <c r="F32" s="71">
        <v>522000</v>
      </c>
      <c r="G32" s="188" t="e">
        <f>+Tabla77[[#This Row],[Suma de Neto]]/Tabla77[[#Totals],[Suma de Neto]]</f>
        <v>#REF!</v>
      </c>
      <c r="H32" s="189" t="e">
        <f>+Tabla77[[#This Row],[Suma de Uds.V]]/Tabla77[[#Totals],[Suma de Uds.V]]</f>
        <v>#REF!</v>
      </c>
    </row>
    <row r="33" spans="1:8" hidden="1" x14ac:dyDescent="0.25">
      <c r="A33" s="185" t="s">
        <v>64</v>
      </c>
      <c r="B33" s="186" t="s">
        <v>110</v>
      </c>
      <c r="C33" s="187">
        <v>318</v>
      </c>
      <c r="D33" s="71">
        <v>16930572.95580006</v>
      </c>
      <c r="E33" s="71">
        <v>1354427.044200002</v>
      </c>
      <c r="F33" s="71">
        <v>18285000</v>
      </c>
      <c r="G33" s="188" t="e">
        <f>+Tabla77[[#This Row],[Suma de Neto]]/Tabla77[[#Totals],[Suma de Neto]]</f>
        <v>#REF!</v>
      </c>
      <c r="H33" s="189" t="e">
        <f>+Tabla77[[#This Row],[Suma de Uds.V]]/Tabla77[[#Totals],[Suma de Uds.V]]</f>
        <v>#REF!</v>
      </c>
    </row>
    <row r="34" spans="1:8" hidden="1" x14ac:dyDescent="0.25">
      <c r="A34" s="185" t="s">
        <v>712</v>
      </c>
      <c r="B34" s="186" t="s">
        <v>331</v>
      </c>
      <c r="C34" s="187">
        <v>612</v>
      </c>
      <c r="D34" s="71">
        <v>37036.111100000002</v>
      </c>
      <c r="E34" s="71">
        <v>2963.8888999999999</v>
      </c>
      <c r="F34" s="71">
        <v>40000</v>
      </c>
      <c r="G34" s="188" t="e">
        <f>+Tabla77[[#This Row],[Suma de Neto]]/Tabla77[[#Totals],[Suma de Neto]]</f>
        <v>#REF!</v>
      </c>
      <c r="H34" s="189" t="e">
        <f>+Tabla77[[#This Row],[Suma de Uds.V]]/Tabla77[[#Totals],[Suma de Uds.V]]</f>
        <v>#REF!</v>
      </c>
    </row>
    <row r="35" spans="1:8" hidden="1" x14ac:dyDescent="0.25">
      <c r="A35" s="185" t="s">
        <v>207</v>
      </c>
      <c r="B35" s="186" t="s">
        <v>110</v>
      </c>
      <c r="C35" s="187">
        <v>74</v>
      </c>
      <c r="D35" s="71">
        <v>4019377.7021000003</v>
      </c>
      <c r="E35" s="71">
        <v>321552.29789999977</v>
      </c>
      <c r="F35" s="71">
        <v>4340930</v>
      </c>
      <c r="G35" s="188" t="e">
        <f>+Tabla77[[#This Row],[Suma de Neto]]/Tabla77[[#Totals],[Suma de Neto]]</f>
        <v>#REF!</v>
      </c>
      <c r="H35" s="189" t="e">
        <f>+Tabla77[[#This Row],[Suma de Uds.V]]/Tabla77[[#Totals],[Suma de Uds.V]]</f>
        <v>#REF!</v>
      </c>
    </row>
    <row r="36" spans="1:8" hidden="1" x14ac:dyDescent="0.25">
      <c r="A36" s="185" t="s">
        <v>253</v>
      </c>
      <c r="B36" s="186" t="s">
        <v>110</v>
      </c>
      <c r="C36" s="187">
        <v>367</v>
      </c>
      <c r="D36" s="71">
        <v>20338271.006099973</v>
      </c>
      <c r="E36" s="71">
        <v>1627058.993900002</v>
      </c>
      <c r="F36" s="71">
        <v>21965330</v>
      </c>
      <c r="G36" s="188" t="e">
        <f>+Tabla77[[#This Row],[Suma de Neto]]/Tabla77[[#Totals],[Suma de Neto]]</f>
        <v>#REF!</v>
      </c>
      <c r="H36" s="189" t="e">
        <f>+Tabla77[[#This Row],[Suma de Uds.V]]/Tabla77[[#Totals],[Suma de Uds.V]]</f>
        <v>#REF!</v>
      </c>
    </row>
    <row r="37" spans="1:8" hidden="1" x14ac:dyDescent="0.25">
      <c r="A37" s="185" t="s">
        <v>60</v>
      </c>
      <c r="B37" s="186" t="s">
        <v>110</v>
      </c>
      <c r="C37" s="187">
        <v>276</v>
      </c>
      <c r="D37" s="71">
        <v>17633338.668800063</v>
      </c>
      <c r="E37" s="71">
        <v>1410661.3312000048</v>
      </c>
      <c r="F37" s="71">
        <v>19044000</v>
      </c>
      <c r="G37" s="188" t="e">
        <f>+Tabla77[[#This Row],[Suma de Neto]]/Tabla77[[#Totals],[Suma de Neto]]</f>
        <v>#REF!</v>
      </c>
      <c r="H37" s="189" t="e">
        <f>+Tabla77[[#This Row],[Suma de Uds.V]]/Tabla77[[#Totals],[Suma de Uds.V]]</f>
        <v>#REF!</v>
      </c>
    </row>
    <row r="38" spans="1:8" hidden="1" x14ac:dyDescent="0.25">
      <c r="A38" s="185" t="s">
        <v>230</v>
      </c>
      <c r="B38" s="186" t="s">
        <v>126</v>
      </c>
      <c r="C38" s="187">
        <v>465</v>
      </c>
      <c r="D38" s="71">
        <v>25343352.473400034</v>
      </c>
      <c r="E38" s="71">
        <v>2027477.5265999965</v>
      </c>
      <c r="F38" s="71">
        <v>27370830</v>
      </c>
      <c r="G38" s="188" t="e">
        <f>+Tabla77[[#This Row],[Suma de Neto]]/Tabla77[[#Totals],[Suma de Neto]]</f>
        <v>#REF!</v>
      </c>
      <c r="H38" s="189" t="e">
        <f>+Tabla77[[#This Row],[Suma de Uds.V]]/Tabla77[[#Totals],[Suma de Uds.V]]</f>
        <v>#REF!</v>
      </c>
    </row>
    <row r="39" spans="1:8" hidden="1" x14ac:dyDescent="0.25">
      <c r="A39" s="185" t="s">
        <v>812</v>
      </c>
      <c r="B39" s="186" t="s">
        <v>812</v>
      </c>
      <c r="C39" s="187">
        <v>2</v>
      </c>
      <c r="D39" s="71">
        <v>324074.07409999997</v>
      </c>
      <c r="E39" s="71">
        <v>25925.925900000002</v>
      </c>
      <c r="F39" s="71">
        <v>350000</v>
      </c>
      <c r="G39" s="188" t="e">
        <f>+Tabla77[[#This Row],[Suma de Neto]]/Tabla77[[#Totals],[Suma de Neto]]</f>
        <v>#REF!</v>
      </c>
      <c r="H39" s="189" t="e">
        <f>+Tabla77[[#This Row],[Suma de Uds.V]]/Tabla77[[#Totals],[Suma de Uds.V]]</f>
        <v>#REF!</v>
      </c>
    </row>
    <row r="40" spans="1:8" hidden="1" x14ac:dyDescent="0.25">
      <c r="A40" s="185" t="s">
        <v>813</v>
      </c>
      <c r="B40" s="186" t="s">
        <v>287</v>
      </c>
      <c r="C40" s="187">
        <v>2</v>
      </c>
      <c r="D40" s="71">
        <v>268519.25930000003</v>
      </c>
      <c r="E40" s="71">
        <v>21480.740700000002</v>
      </c>
      <c r="F40" s="71">
        <v>290000</v>
      </c>
      <c r="G40" s="188" t="e">
        <f>+Tabla77[[#This Row],[Suma de Neto]]/Tabla77[[#Totals],[Suma de Neto]]</f>
        <v>#REF!</v>
      </c>
      <c r="H40" s="189" t="e">
        <f>+Tabla77[[#This Row],[Suma de Uds.V]]/Tabla77[[#Totals],[Suma de Uds.V]]</f>
        <v>#REF!</v>
      </c>
    </row>
    <row r="41" spans="1:8" hidden="1" x14ac:dyDescent="0.25">
      <c r="A41" s="185" t="s">
        <v>134</v>
      </c>
      <c r="B41" s="186" t="s">
        <v>138</v>
      </c>
      <c r="C41" s="187">
        <v>195</v>
      </c>
      <c r="D41" s="71">
        <v>4783099.5898999972</v>
      </c>
      <c r="E41" s="71">
        <v>382620.41010000085</v>
      </c>
      <c r="F41" s="71">
        <v>5165720</v>
      </c>
      <c r="G41" s="188" t="e">
        <f>+Tabla77[[#This Row],[Suma de Neto]]/Tabla77[[#Totals],[Suma de Neto]]</f>
        <v>#REF!</v>
      </c>
      <c r="H41" s="189" t="e">
        <f>+Tabla77[[#This Row],[Suma de Uds.V]]/Tabla77[[#Totals],[Suma de Uds.V]]</f>
        <v>#REF!</v>
      </c>
    </row>
    <row r="42" spans="1:8" hidden="1" x14ac:dyDescent="0.25">
      <c r="A42" s="185" t="s">
        <v>159</v>
      </c>
      <c r="B42" s="186" t="s">
        <v>331</v>
      </c>
      <c r="C42" s="187">
        <v>8</v>
      </c>
      <c r="D42" s="71">
        <v>68518.037199999992</v>
      </c>
      <c r="E42" s="71">
        <v>5481.9628000000002</v>
      </c>
      <c r="F42" s="71">
        <v>74000</v>
      </c>
      <c r="G42" s="188" t="e">
        <f>+Tabla77[[#This Row],[Suma de Neto]]/Tabla77[[#Totals],[Suma de Neto]]</f>
        <v>#REF!</v>
      </c>
      <c r="H42" s="189" t="e">
        <f>+Tabla77[[#This Row],[Suma de Uds.V]]/Tabla77[[#Totals],[Suma de Uds.V]]</f>
        <v>#REF!</v>
      </c>
    </row>
    <row r="43" spans="1:8" hidden="1" x14ac:dyDescent="0.25">
      <c r="A43" s="185" t="s">
        <v>713</v>
      </c>
      <c r="B43" s="186" t="s">
        <v>331</v>
      </c>
      <c r="C43" s="187">
        <v>3</v>
      </c>
      <c r="D43" s="71">
        <v>13889.2592</v>
      </c>
      <c r="E43" s="71">
        <v>1110.7408</v>
      </c>
      <c r="F43" s="71">
        <v>15000</v>
      </c>
      <c r="G43" s="188" t="e">
        <f>+Tabla77[[#This Row],[Suma de Neto]]/Tabla77[[#Totals],[Suma de Neto]]</f>
        <v>#REF!</v>
      </c>
      <c r="H43" s="189" t="e">
        <f>+Tabla77[[#This Row],[Suma de Uds.V]]/Tabla77[[#Totals],[Suma de Uds.V]]</f>
        <v>#REF!</v>
      </c>
    </row>
    <row r="44" spans="1:8" hidden="1" x14ac:dyDescent="0.25">
      <c r="A44" s="185" t="s">
        <v>815</v>
      </c>
      <c r="B44" s="186" t="s">
        <v>806</v>
      </c>
      <c r="C44" s="187">
        <v>68</v>
      </c>
      <c r="D44" s="71">
        <v>457599.6304999998</v>
      </c>
      <c r="E44" s="71">
        <v>36610.369500000008</v>
      </c>
      <c r="F44" s="71">
        <v>494210</v>
      </c>
      <c r="G44" s="188" t="e">
        <f>+Tabla77[[#This Row],[Suma de Neto]]/Tabla77[[#Totals],[Suma de Neto]]</f>
        <v>#REF!</v>
      </c>
      <c r="H44" s="189" t="e">
        <f>+Tabla77[[#This Row],[Suma de Uds.V]]/Tabla77[[#Totals],[Suma de Uds.V]]</f>
        <v>#REF!</v>
      </c>
    </row>
    <row r="45" spans="1:8" hidden="1" x14ac:dyDescent="0.25">
      <c r="A45" s="185" t="s">
        <v>586</v>
      </c>
      <c r="B45" s="186" t="s">
        <v>147</v>
      </c>
      <c r="C45" s="187">
        <v>100</v>
      </c>
      <c r="D45" s="71">
        <v>3509272.000400003</v>
      </c>
      <c r="E45" s="71">
        <v>280727.99960000004</v>
      </c>
      <c r="F45" s="71">
        <v>3790000</v>
      </c>
      <c r="G45" s="188" t="e">
        <f>+Tabla77[[#This Row],[Suma de Neto]]/Tabla77[[#Totals],[Suma de Neto]]</f>
        <v>#REF!</v>
      </c>
      <c r="H45" s="189" t="e">
        <f>+Tabla77[[#This Row],[Suma de Uds.V]]/Tabla77[[#Totals],[Suma de Uds.V]]</f>
        <v>#REF!</v>
      </c>
    </row>
    <row r="46" spans="1:8" hidden="1" x14ac:dyDescent="0.25">
      <c r="A46" s="185" t="s">
        <v>816</v>
      </c>
      <c r="B46" s="186" t="s">
        <v>147</v>
      </c>
      <c r="C46" s="187">
        <v>143</v>
      </c>
      <c r="D46" s="71">
        <v>0</v>
      </c>
      <c r="E46" s="71">
        <v>0</v>
      </c>
      <c r="F46" s="71">
        <v>0</v>
      </c>
      <c r="G46" s="188" t="e">
        <f>+Tabla77[[#This Row],[Suma de Neto]]/Tabla77[[#Totals],[Suma de Neto]]</f>
        <v>#REF!</v>
      </c>
      <c r="H46" s="189" t="e">
        <f>+Tabla77[[#This Row],[Suma de Uds.V]]/Tabla77[[#Totals],[Suma de Uds.V]]</f>
        <v>#REF!</v>
      </c>
    </row>
    <row r="47" spans="1:8" hidden="1" x14ac:dyDescent="0.25">
      <c r="A47" s="185" t="s">
        <v>130</v>
      </c>
      <c r="B47" s="186" t="s">
        <v>147</v>
      </c>
      <c r="C47" s="187">
        <v>59</v>
      </c>
      <c r="D47" s="71">
        <v>2507500</v>
      </c>
      <c r="E47" s="71">
        <v>200600</v>
      </c>
      <c r="F47" s="71">
        <v>2708100</v>
      </c>
      <c r="G47" s="188" t="e">
        <f>+Tabla77[[#This Row],[Suma de Neto]]/Tabla77[[#Totals],[Suma de Neto]]</f>
        <v>#REF!</v>
      </c>
      <c r="H47" s="189" t="e">
        <f>+Tabla77[[#This Row],[Suma de Uds.V]]/Tabla77[[#Totals],[Suma de Uds.V]]</f>
        <v>#REF!</v>
      </c>
    </row>
    <row r="48" spans="1:8" hidden="1" x14ac:dyDescent="0.25">
      <c r="A48" s="185" t="s">
        <v>587</v>
      </c>
      <c r="B48" s="186" t="s">
        <v>147</v>
      </c>
      <c r="C48" s="187">
        <v>107</v>
      </c>
      <c r="D48" s="71">
        <v>3467579.9253999959</v>
      </c>
      <c r="E48" s="71">
        <v>277420.07460000005</v>
      </c>
      <c r="F48" s="71">
        <v>3745000</v>
      </c>
      <c r="G48" s="188" t="e">
        <f>+Tabla77[[#This Row],[Suma de Neto]]/Tabla77[[#Totals],[Suma de Neto]]</f>
        <v>#REF!</v>
      </c>
      <c r="H48" s="189" t="e">
        <f>+Tabla77[[#This Row],[Suma de Uds.V]]/Tabla77[[#Totals],[Suma de Uds.V]]</f>
        <v>#REF!</v>
      </c>
    </row>
    <row r="49" spans="1:8" hidden="1" x14ac:dyDescent="0.25">
      <c r="A49" s="185" t="s">
        <v>817</v>
      </c>
      <c r="B49" s="186" t="s">
        <v>818</v>
      </c>
      <c r="C49" s="187">
        <v>9</v>
      </c>
      <c r="D49" s="71">
        <v>1158334.5185</v>
      </c>
      <c r="E49" s="71">
        <v>92665.481500000009</v>
      </c>
      <c r="F49" s="71">
        <v>1251000</v>
      </c>
      <c r="G49" s="188" t="e">
        <f>+Tabla77[[#This Row],[Suma de Neto]]/Tabla77[[#Totals],[Suma de Neto]]</f>
        <v>#REF!</v>
      </c>
      <c r="H49" s="189" t="e">
        <f>+Tabla77[[#This Row],[Suma de Uds.V]]/Tabla77[[#Totals],[Suma de Uds.V]]</f>
        <v>#REF!</v>
      </c>
    </row>
    <row r="50" spans="1:8" hidden="1" x14ac:dyDescent="0.25">
      <c r="A50" s="185" t="s">
        <v>714</v>
      </c>
      <c r="B50" s="186" t="s">
        <v>331</v>
      </c>
      <c r="C50" s="187">
        <v>2</v>
      </c>
      <c r="D50" s="71">
        <v>9074.0370000000003</v>
      </c>
      <c r="E50" s="71">
        <v>725.96299999999997</v>
      </c>
      <c r="F50" s="71">
        <v>9800</v>
      </c>
      <c r="G50" s="188" t="e">
        <f>+Tabla77[[#This Row],[Suma de Neto]]/Tabla77[[#Totals],[Suma de Neto]]</f>
        <v>#REF!</v>
      </c>
      <c r="H50" s="189" t="e">
        <f>+Tabla77[[#This Row],[Suma de Uds.V]]/Tabla77[[#Totals],[Suma de Uds.V]]</f>
        <v>#REF!</v>
      </c>
    </row>
    <row r="51" spans="1:8" hidden="1" x14ac:dyDescent="0.25">
      <c r="A51" s="185" t="s">
        <v>819</v>
      </c>
      <c r="B51" s="186" t="s">
        <v>800</v>
      </c>
      <c r="C51" s="187">
        <v>318</v>
      </c>
      <c r="D51" s="71">
        <v>4416679.5571999978</v>
      </c>
      <c r="E51" s="71">
        <v>353320.44279999984</v>
      </c>
      <c r="F51" s="71">
        <v>4770000</v>
      </c>
      <c r="G51" s="188" t="e">
        <f>+Tabla77[[#This Row],[Suma de Neto]]/Tabla77[[#Totals],[Suma de Neto]]</f>
        <v>#REF!</v>
      </c>
      <c r="H51" s="189" t="e">
        <f>+Tabla77[[#This Row],[Suma de Uds.V]]/Tabla77[[#Totals],[Suma de Uds.V]]</f>
        <v>#REF!</v>
      </c>
    </row>
    <row r="52" spans="1:8" hidden="1" x14ac:dyDescent="0.25">
      <c r="A52" s="185" t="s">
        <v>820</v>
      </c>
      <c r="B52" s="186" t="s">
        <v>821</v>
      </c>
      <c r="C52" s="187">
        <v>135</v>
      </c>
      <c r="D52" s="71">
        <v>0</v>
      </c>
      <c r="E52" s="71">
        <v>0</v>
      </c>
      <c r="F52" s="71">
        <v>0</v>
      </c>
      <c r="G52" s="188" t="e">
        <f>+Tabla77[[#This Row],[Suma de Neto]]/Tabla77[[#Totals],[Suma de Neto]]</f>
        <v>#REF!</v>
      </c>
      <c r="H52" s="189" t="e">
        <f>+Tabla77[[#This Row],[Suma de Uds.V]]/Tabla77[[#Totals],[Suma de Uds.V]]</f>
        <v>#REF!</v>
      </c>
    </row>
    <row r="53" spans="1:8" hidden="1" x14ac:dyDescent="0.25">
      <c r="A53" s="185" t="s">
        <v>247</v>
      </c>
      <c r="B53" s="186" t="s">
        <v>112</v>
      </c>
      <c r="C53" s="187">
        <v>8</v>
      </c>
      <c r="D53" s="71">
        <v>318519.07399999996</v>
      </c>
      <c r="E53" s="71">
        <v>25480.925999999999</v>
      </c>
      <c r="F53" s="71">
        <v>344000</v>
      </c>
      <c r="G53" s="188" t="e">
        <f>+Tabla77[[#This Row],[Suma de Neto]]/Tabla77[[#Totals],[Suma de Neto]]</f>
        <v>#REF!</v>
      </c>
      <c r="H53" s="189" t="e">
        <f>+Tabla77[[#This Row],[Suma de Uds.V]]/Tabla77[[#Totals],[Suma de Uds.V]]</f>
        <v>#REF!</v>
      </c>
    </row>
    <row r="54" spans="1:8" hidden="1" x14ac:dyDescent="0.25">
      <c r="A54" s="185" t="s">
        <v>144</v>
      </c>
      <c r="B54" s="186" t="s">
        <v>145</v>
      </c>
      <c r="C54" s="187">
        <v>297</v>
      </c>
      <c r="D54" s="71">
        <v>9863870.1910999771</v>
      </c>
      <c r="E54" s="71">
        <v>789129.8088999975</v>
      </c>
      <c r="F54" s="71">
        <v>10653000</v>
      </c>
      <c r="G54" s="188" t="e">
        <f>+Tabla77[[#This Row],[Suma de Neto]]/Tabla77[[#Totals],[Suma de Neto]]</f>
        <v>#REF!</v>
      </c>
      <c r="H54" s="189" t="e">
        <f>+Tabla77[[#This Row],[Suma de Uds.V]]/Tabla77[[#Totals],[Suma de Uds.V]]</f>
        <v>#REF!</v>
      </c>
    </row>
    <row r="55" spans="1:8" hidden="1" x14ac:dyDescent="0.25">
      <c r="A55" s="185"/>
      <c r="B55" s="186" t="s">
        <v>811</v>
      </c>
      <c r="C55" s="187">
        <v>297</v>
      </c>
      <c r="D55" s="71">
        <v>9863870.1910999771</v>
      </c>
      <c r="E55" s="71">
        <v>789129.8088999975</v>
      </c>
      <c r="F55" s="71">
        <v>10653000</v>
      </c>
      <c r="G55" s="188" t="e">
        <f>+Tabla77[[#This Row],[Suma de Neto]]/Tabla77[[#Totals],[Suma de Neto]]</f>
        <v>#REF!</v>
      </c>
      <c r="H55" s="189" t="e">
        <f>+Tabla77[[#This Row],[Suma de Uds.V]]/Tabla77[[#Totals],[Suma de Uds.V]]</f>
        <v>#REF!</v>
      </c>
    </row>
    <row r="56" spans="1:8" hidden="1" x14ac:dyDescent="0.25">
      <c r="A56" s="185" t="s">
        <v>140</v>
      </c>
      <c r="B56" s="186" t="s">
        <v>145</v>
      </c>
      <c r="C56" s="187">
        <v>229</v>
      </c>
      <c r="D56" s="71">
        <v>10580661.592000041</v>
      </c>
      <c r="E56" s="71">
        <v>846438.40800000308</v>
      </c>
      <c r="F56" s="71">
        <v>11427100</v>
      </c>
      <c r="G56" s="188" t="e">
        <f>+Tabla77[[#This Row],[Suma de Neto]]/Tabla77[[#Totals],[Suma de Neto]]</f>
        <v>#REF!</v>
      </c>
      <c r="H56" s="189" t="e">
        <f>+Tabla77[[#This Row],[Suma de Uds.V]]/Tabla77[[#Totals],[Suma de Uds.V]]</f>
        <v>#REF!</v>
      </c>
    </row>
    <row r="57" spans="1:8" hidden="1" x14ac:dyDescent="0.25">
      <c r="A57" s="185" t="s">
        <v>738</v>
      </c>
      <c r="B57" s="186" t="s">
        <v>822</v>
      </c>
      <c r="C57" s="187">
        <v>2</v>
      </c>
      <c r="D57" s="71">
        <v>114814.81479999999</v>
      </c>
      <c r="E57" s="71">
        <v>9185.1851999999999</v>
      </c>
      <c r="F57" s="71">
        <v>124000</v>
      </c>
      <c r="G57" s="188" t="e">
        <f>+Tabla77[[#This Row],[Suma de Neto]]/Tabla77[[#Totals],[Suma de Neto]]</f>
        <v>#REF!</v>
      </c>
      <c r="H57" s="189" t="e">
        <f>+Tabla77[[#This Row],[Suma de Uds.V]]/Tabla77[[#Totals],[Suma de Uds.V]]</f>
        <v>#REF!</v>
      </c>
    </row>
    <row r="58" spans="1:8" hidden="1" x14ac:dyDescent="0.25">
      <c r="A58" s="185" t="s">
        <v>739</v>
      </c>
      <c r="B58" s="186" t="s">
        <v>822</v>
      </c>
      <c r="C58" s="187">
        <v>2</v>
      </c>
      <c r="D58" s="71">
        <v>114814.81479999999</v>
      </c>
      <c r="E58" s="71">
        <v>9185.1851999999999</v>
      </c>
      <c r="F58" s="71">
        <v>124000</v>
      </c>
      <c r="G58" s="188" t="e">
        <f>+Tabla77[[#This Row],[Suma de Neto]]/Tabla77[[#Totals],[Suma de Neto]]</f>
        <v>#REF!</v>
      </c>
      <c r="H58" s="189" t="e">
        <f>+Tabla77[[#This Row],[Suma de Uds.V]]/Tabla77[[#Totals],[Suma de Uds.V]]</f>
        <v>#REF!</v>
      </c>
    </row>
    <row r="59" spans="1:8" hidden="1" x14ac:dyDescent="0.25">
      <c r="A59" s="185" t="s">
        <v>823</v>
      </c>
      <c r="B59" s="186" t="s">
        <v>811</v>
      </c>
      <c r="C59" s="187">
        <v>63</v>
      </c>
      <c r="D59" s="71">
        <v>525001.33179999993</v>
      </c>
      <c r="E59" s="71">
        <v>41998.668200000029</v>
      </c>
      <c r="F59" s="71">
        <v>567000</v>
      </c>
      <c r="G59" s="188" t="e">
        <f>+Tabla77[[#This Row],[Suma de Neto]]/Tabla77[[#Totals],[Suma de Neto]]</f>
        <v>#REF!</v>
      </c>
      <c r="H59" s="189" t="e">
        <f>+Tabla77[[#This Row],[Suma de Uds.V]]/Tabla77[[#Totals],[Suma de Uds.V]]</f>
        <v>#REF!</v>
      </c>
    </row>
    <row r="60" spans="1:8" x14ac:dyDescent="0.25">
      <c r="A60" s="185" t="s">
        <v>824</v>
      </c>
      <c r="B60" s="186" t="s">
        <v>110</v>
      </c>
      <c r="C60" s="187">
        <v>9</v>
      </c>
      <c r="D60" s="71">
        <v>458333.70360000001</v>
      </c>
      <c r="E60" s="71">
        <v>36666.296399999999</v>
      </c>
      <c r="F60" s="71">
        <v>495000</v>
      </c>
      <c r="G60" s="188" t="e">
        <f>+Tabla77[[#This Row],[Suma de Neto]]/Tabla77[[#Totals],[Suma de Neto]]</f>
        <v>#REF!</v>
      </c>
      <c r="H60" s="189" t="e">
        <f>+Tabla77[[#This Row],[Suma de Uds.V]]/Tabla77[[#Totals],[Suma de Uds.V]]</f>
        <v>#REF!</v>
      </c>
    </row>
    <row r="61" spans="1:8" hidden="1" x14ac:dyDescent="0.25">
      <c r="A61" s="185" t="s">
        <v>825</v>
      </c>
      <c r="B61" s="186" t="s">
        <v>110</v>
      </c>
      <c r="C61" s="187">
        <v>406</v>
      </c>
      <c r="D61" s="71">
        <v>22517968.636299975</v>
      </c>
      <c r="E61" s="71">
        <v>1801431.3637000027</v>
      </c>
      <c r="F61" s="71">
        <v>24319400</v>
      </c>
      <c r="G61" s="188" t="e">
        <f>+Tabla77[[#This Row],[Suma de Neto]]/Tabla77[[#Totals],[Suma de Neto]]</f>
        <v>#REF!</v>
      </c>
      <c r="H61" s="189" t="e">
        <f>+Tabla77[[#This Row],[Suma de Uds.V]]/Tabla77[[#Totals],[Suma de Uds.V]]</f>
        <v>#REF!</v>
      </c>
    </row>
    <row r="62" spans="1:8" hidden="1" x14ac:dyDescent="0.25">
      <c r="A62" s="185" t="s">
        <v>62</v>
      </c>
      <c r="B62" s="186" t="s">
        <v>110</v>
      </c>
      <c r="C62" s="187">
        <v>15</v>
      </c>
      <c r="D62" s="71">
        <v>554165.55519999994</v>
      </c>
      <c r="E62" s="71">
        <v>44334.444799999997</v>
      </c>
      <c r="F62" s="71">
        <v>598500</v>
      </c>
      <c r="G62" s="188" t="e">
        <f>+Tabla77[[#This Row],[Suma de Neto]]/Tabla77[[#Totals],[Suma de Neto]]</f>
        <v>#REF!</v>
      </c>
      <c r="H62" s="189" t="e">
        <f>+Tabla77[[#This Row],[Suma de Uds.V]]/Tabla77[[#Totals],[Suma de Uds.V]]</f>
        <v>#REF!</v>
      </c>
    </row>
    <row r="63" spans="1:8" hidden="1" x14ac:dyDescent="0.25">
      <c r="A63" s="185" t="s">
        <v>131</v>
      </c>
      <c r="B63" s="186" t="s">
        <v>145</v>
      </c>
      <c r="C63" s="187">
        <v>227</v>
      </c>
      <c r="D63" s="71">
        <v>15171322.959799979</v>
      </c>
      <c r="E63" s="71">
        <v>1213677.0401999981</v>
      </c>
      <c r="F63" s="71">
        <v>16385000</v>
      </c>
      <c r="G63" s="188" t="e">
        <f>+Tabla77[[#This Row],[Suma de Neto]]/Tabla77[[#Totals],[Suma de Neto]]</f>
        <v>#REF!</v>
      </c>
      <c r="H63" s="189" t="e">
        <f>+Tabla77[[#This Row],[Suma de Uds.V]]/Tabla77[[#Totals],[Suma de Uds.V]]</f>
        <v>#REF!</v>
      </c>
    </row>
    <row r="64" spans="1:8" hidden="1" x14ac:dyDescent="0.25">
      <c r="A64" s="185" t="s">
        <v>262</v>
      </c>
      <c r="B64" s="186" t="s">
        <v>826</v>
      </c>
      <c r="C64" s="187">
        <v>512</v>
      </c>
      <c r="D64" s="71">
        <v>9225863.7385999858</v>
      </c>
      <c r="E64" s="71">
        <v>738066.26139999751</v>
      </c>
      <c r="F64" s="71">
        <v>9963930</v>
      </c>
      <c r="G64" s="188" t="e">
        <f>+Tabla77[[#This Row],[Suma de Neto]]/Tabla77[[#Totals],[Suma de Neto]]</f>
        <v>#REF!</v>
      </c>
      <c r="H64" s="189" t="e">
        <f>+Tabla77[[#This Row],[Suma de Uds.V]]/Tabla77[[#Totals],[Suma de Uds.V]]</f>
        <v>#REF!</v>
      </c>
    </row>
    <row r="65" spans="1:8" hidden="1" x14ac:dyDescent="0.25">
      <c r="A65" s="185" t="s">
        <v>348</v>
      </c>
      <c r="B65" s="186" t="s">
        <v>286</v>
      </c>
      <c r="C65" s="187">
        <v>45</v>
      </c>
      <c r="D65" s="71">
        <v>1329998.8882999998</v>
      </c>
      <c r="E65" s="71">
        <v>106401.11170000002</v>
      </c>
      <c r="F65" s="71">
        <v>1436400</v>
      </c>
      <c r="G65" s="188" t="e">
        <f>+Tabla77[[#This Row],[Suma de Neto]]/Tabla77[[#Totals],[Suma de Neto]]</f>
        <v>#REF!</v>
      </c>
      <c r="H65" s="189" t="e">
        <f>+Tabla77[[#This Row],[Suma de Uds.V]]/Tabla77[[#Totals],[Suma de Uds.V]]</f>
        <v>#REF!</v>
      </c>
    </row>
    <row r="66" spans="1:8" hidden="1" x14ac:dyDescent="0.25">
      <c r="A66" s="185" t="s">
        <v>116</v>
      </c>
      <c r="B66" s="186" t="s">
        <v>112</v>
      </c>
      <c r="C66" s="187">
        <v>628</v>
      </c>
      <c r="D66" s="71">
        <v>23178853.651700214</v>
      </c>
      <c r="E66" s="71">
        <v>1854406.3483000146</v>
      </c>
      <c r="F66" s="71">
        <v>25033260</v>
      </c>
      <c r="G66" s="188" t="e">
        <f>+Tabla77[[#This Row],[Suma de Neto]]/Tabla77[[#Totals],[Suma de Neto]]</f>
        <v>#REF!</v>
      </c>
      <c r="H66" s="189" t="e">
        <f>+Tabla77[[#This Row],[Suma de Uds.V]]/Tabla77[[#Totals],[Suma de Uds.V]]</f>
        <v>#REF!</v>
      </c>
    </row>
    <row r="67" spans="1:8" hidden="1" x14ac:dyDescent="0.25">
      <c r="A67" s="185" t="s">
        <v>165</v>
      </c>
      <c r="B67" s="186" t="s">
        <v>286</v>
      </c>
      <c r="C67" s="187">
        <v>32</v>
      </c>
      <c r="D67" s="71">
        <v>1182219.3326999999</v>
      </c>
      <c r="E67" s="71">
        <v>94580.667300000045</v>
      </c>
      <c r="F67" s="71">
        <v>1276800</v>
      </c>
      <c r="G67" s="188" t="e">
        <f>+Tabla77[[#This Row],[Suma de Neto]]/Tabla77[[#Totals],[Suma de Neto]]</f>
        <v>#REF!</v>
      </c>
      <c r="H67" s="189" t="e">
        <f>+Tabla77[[#This Row],[Suma de Uds.V]]/Tabla77[[#Totals],[Suma de Uds.V]]</f>
        <v>#REF!</v>
      </c>
    </row>
    <row r="68" spans="1:8" hidden="1" x14ac:dyDescent="0.25">
      <c r="A68" s="185" t="s">
        <v>827</v>
      </c>
      <c r="B68" s="186" t="s">
        <v>828</v>
      </c>
      <c r="C68" s="187">
        <v>104</v>
      </c>
      <c r="D68" s="71">
        <v>53703.703800000003</v>
      </c>
      <c r="E68" s="71">
        <v>4296.2961999999998</v>
      </c>
      <c r="F68" s="71">
        <v>58000</v>
      </c>
      <c r="G68" s="188" t="e">
        <f>+Tabla77[[#This Row],[Suma de Neto]]/Tabla77[[#Totals],[Suma de Neto]]</f>
        <v>#REF!</v>
      </c>
      <c r="H68" s="189" t="e">
        <f>+Tabla77[[#This Row],[Suma de Uds.V]]/Tabla77[[#Totals],[Suma de Uds.V]]</f>
        <v>#REF!</v>
      </c>
    </row>
    <row r="69" spans="1:8" hidden="1" x14ac:dyDescent="0.25">
      <c r="A69" s="185" t="s">
        <v>829</v>
      </c>
      <c r="B69" s="186" t="s">
        <v>828</v>
      </c>
      <c r="C69" s="187">
        <v>140</v>
      </c>
      <c r="D69" s="71">
        <v>241666.66700000004</v>
      </c>
      <c r="E69" s="71">
        <v>19333.332999999999</v>
      </c>
      <c r="F69" s="71">
        <v>261000</v>
      </c>
      <c r="G69" s="188" t="e">
        <f>+Tabla77[[#This Row],[Suma de Neto]]/Tabla77[[#Totals],[Suma de Neto]]</f>
        <v>#REF!</v>
      </c>
      <c r="H69" s="189" t="e">
        <f>+Tabla77[[#This Row],[Suma de Uds.V]]/Tabla77[[#Totals],[Suma de Uds.V]]</f>
        <v>#REF!</v>
      </c>
    </row>
    <row r="70" spans="1:8" hidden="1" x14ac:dyDescent="0.25">
      <c r="A70" s="185" t="s">
        <v>537</v>
      </c>
      <c r="B70" s="186" t="s">
        <v>828</v>
      </c>
      <c r="C70" s="187">
        <v>2</v>
      </c>
      <c r="D70" s="71">
        <v>26851.851900000001</v>
      </c>
      <c r="E70" s="71">
        <v>2148.1480999999999</v>
      </c>
      <c r="F70" s="71">
        <v>29000</v>
      </c>
      <c r="G70" s="188" t="e">
        <f>+Tabla77[[#This Row],[Suma de Neto]]/Tabla77[[#Totals],[Suma de Neto]]</f>
        <v>#REF!</v>
      </c>
      <c r="H70" s="189" t="e">
        <f>+Tabla77[[#This Row],[Suma de Uds.V]]/Tabla77[[#Totals],[Suma de Uds.V]]</f>
        <v>#REF!</v>
      </c>
    </row>
    <row r="71" spans="1:8" hidden="1" x14ac:dyDescent="0.25">
      <c r="A71" s="185" t="s">
        <v>151</v>
      </c>
      <c r="B71" s="186" t="s">
        <v>286</v>
      </c>
      <c r="C71" s="187">
        <v>29</v>
      </c>
      <c r="D71" s="71">
        <v>1071383.9995000004</v>
      </c>
      <c r="E71" s="71">
        <v>85716.000500000024</v>
      </c>
      <c r="F71" s="71">
        <v>1157100</v>
      </c>
      <c r="G71" s="188" t="e">
        <f>+Tabla77[[#This Row],[Suma de Neto]]/Tabla77[[#Totals],[Suma de Neto]]</f>
        <v>#REF!</v>
      </c>
      <c r="H71" s="189" t="e">
        <f>+Tabla77[[#This Row],[Suma de Uds.V]]/Tabla77[[#Totals],[Suma de Uds.V]]</f>
        <v>#REF!</v>
      </c>
    </row>
    <row r="72" spans="1:8" hidden="1" x14ac:dyDescent="0.25">
      <c r="A72" s="185" t="s">
        <v>115</v>
      </c>
      <c r="B72" s="186" t="s">
        <v>112</v>
      </c>
      <c r="C72" s="187">
        <v>289</v>
      </c>
      <c r="D72" s="71">
        <v>6666645.9562999876</v>
      </c>
      <c r="E72" s="71">
        <v>533354.04370000085</v>
      </c>
      <c r="F72" s="71">
        <v>7200000</v>
      </c>
      <c r="G72" s="188" t="e">
        <f>+Tabla77[[#This Row],[Suma de Neto]]/Tabla77[[#Totals],[Suma de Neto]]</f>
        <v>#REF!</v>
      </c>
      <c r="H72" s="189" t="e">
        <f>+Tabla77[[#This Row],[Suma de Uds.V]]/Tabla77[[#Totals],[Suma de Uds.V]]</f>
        <v>#REF!</v>
      </c>
    </row>
    <row r="73" spans="1:8" hidden="1" x14ac:dyDescent="0.25">
      <c r="A73" s="185" t="s">
        <v>830</v>
      </c>
      <c r="B73" s="186" t="s">
        <v>798</v>
      </c>
      <c r="C73" s="187">
        <v>3</v>
      </c>
      <c r="D73" s="71">
        <v>38888.963000000003</v>
      </c>
      <c r="E73" s="71">
        <v>3111.0370000000003</v>
      </c>
      <c r="F73" s="71">
        <v>42000</v>
      </c>
      <c r="G73" s="188" t="e">
        <f>+Tabla77[[#This Row],[Suma de Neto]]/Tabla77[[#Totals],[Suma de Neto]]</f>
        <v>#REF!</v>
      </c>
      <c r="H73" s="189" t="e">
        <f>+Tabla77[[#This Row],[Suma de Uds.V]]/Tabla77[[#Totals],[Suma de Uds.V]]</f>
        <v>#REF!</v>
      </c>
    </row>
    <row r="74" spans="1:8" hidden="1" x14ac:dyDescent="0.25">
      <c r="A74" s="185" t="s">
        <v>831</v>
      </c>
      <c r="B74" s="186" t="s">
        <v>800</v>
      </c>
      <c r="C74" s="187">
        <v>409</v>
      </c>
      <c r="D74" s="71">
        <v>4544432.5532999979</v>
      </c>
      <c r="E74" s="71">
        <v>363567.44670000026</v>
      </c>
      <c r="F74" s="71">
        <v>4908000</v>
      </c>
      <c r="G74" s="188" t="e">
        <f>+Tabla77[[#This Row],[Suma de Neto]]/Tabla77[[#Totals],[Suma de Neto]]</f>
        <v>#REF!</v>
      </c>
      <c r="H74" s="189" t="e">
        <f>+Tabla77[[#This Row],[Suma de Uds.V]]/Tabla77[[#Totals],[Suma de Uds.V]]</f>
        <v>#REF!</v>
      </c>
    </row>
    <row r="75" spans="1:8" hidden="1" x14ac:dyDescent="0.25">
      <c r="A75" s="185" t="s">
        <v>260</v>
      </c>
      <c r="B75" s="186" t="s">
        <v>800</v>
      </c>
      <c r="C75" s="187">
        <v>55</v>
      </c>
      <c r="D75" s="71">
        <v>611110.55520000006</v>
      </c>
      <c r="E75" s="71">
        <v>48889.444800000012</v>
      </c>
      <c r="F75" s="71">
        <v>660000</v>
      </c>
      <c r="G75" s="188" t="e">
        <f>+Tabla77[[#This Row],[Suma de Neto]]/Tabla77[[#Totals],[Suma de Neto]]</f>
        <v>#REF!</v>
      </c>
      <c r="H75" s="189" t="e">
        <f>+Tabla77[[#This Row],[Suma de Uds.V]]/Tabla77[[#Totals],[Suma de Uds.V]]</f>
        <v>#REF!</v>
      </c>
    </row>
    <row r="76" spans="1:8" hidden="1" x14ac:dyDescent="0.25">
      <c r="A76" s="185" t="s">
        <v>832</v>
      </c>
      <c r="B76" s="186" t="s">
        <v>800</v>
      </c>
      <c r="C76" s="187">
        <v>55</v>
      </c>
      <c r="D76" s="71">
        <v>611109.66639999987</v>
      </c>
      <c r="E76" s="71">
        <v>48890.333600000005</v>
      </c>
      <c r="F76" s="71">
        <v>660000</v>
      </c>
      <c r="G76" s="188" t="e">
        <f>+Tabla77[[#This Row],[Suma de Neto]]/Tabla77[[#Totals],[Suma de Neto]]</f>
        <v>#REF!</v>
      </c>
      <c r="H76" s="189" t="e">
        <f>+Tabla77[[#This Row],[Suma de Uds.V]]/Tabla77[[#Totals],[Suma de Uds.V]]</f>
        <v>#REF!</v>
      </c>
    </row>
    <row r="77" spans="1:8" hidden="1" x14ac:dyDescent="0.25">
      <c r="A77" s="185" t="s">
        <v>833</v>
      </c>
      <c r="B77" s="186" t="s">
        <v>793</v>
      </c>
      <c r="C77" s="187">
        <v>308</v>
      </c>
      <c r="D77" s="71">
        <v>2468932.6622999976</v>
      </c>
      <c r="E77" s="71">
        <v>197507.33770000029</v>
      </c>
      <c r="F77" s="71">
        <v>2666440</v>
      </c>
      <c r="G77" s="188" t="e">
        <f>+Tabla77[[#This Row],[Suma de Neto]]/Tabla77[[#Totals],[Suma de Neto]]</f>
        <v>#REF!</v>
      </c>
      <c r="H77" s="189" t="e">
        <f>+Tabla77[[#This Row],[Suma de Uds.V]]/Tabla77[[#Totals],[Suma de Uds.V]]</f>
        <v>#REF!</v>
      </c>
    </row>
    <row r="78" spans="1:8" hidden="1" x14ac:dyDescent="0.25">
      <c r="A78" s="185" t="s">
        <v>834</v>
      </c>
      <c r="B78" s="186" t="s">
        <v>793</v>
      </c>
      <c r="C78" s="187">
        <v>339</v>
      </c>
      <c r="D78" s="71">
        <v>2793617.6988000008</v>
      </c>
      <c r="E78" s="71">
        <v>223482.30120000051</v>
      </c>
      <c r="F78" s="71">
        <v>3017100</v>
      </c>
      <c r="G78" s="188" t="e">
        <f>+Tabla77[[#This Row],[Suma de Neto]]/Tabla77[[#Totals],[Suma de Neto]]</f>
        <v>#REF!</v>
      </c>
      <c r="H78" s="189" t="e">
        <f>+Tabla77[[#This Row],[Suma de Uds.V]]/Tabla77[[#Totals],[Suma de Uds.V]]</f>
        <v>#REF!</v>
      </c>
    </row>
    <row r="79" spans="1:8" hidden="1" x14ac:dyDescent="0.25">
      <c r="A79" s="185" t="s">
        <v>218</v>
      </c>
      <c r="B79" s="186" t="s">
        <v>286</v>
      </c>
      <c r="C79" s="187">
        <v>37</v>
      </c>
      <c r="D79" s="71">
        <v>1034443.1106000002</v>
      </c>
      <c r="E79" s="71">
        <v>82756.8894</v>
      </c>
      <c r="F79" s="71">
        <v>1117200</v>
      </c>
      <c r="G79" s="188" t="e">
        <f>+Tabla77[[#This Row],[Suma de Neto]]/Tabla77[[#Totals],[Suma de Neto]]</f>
        <v>#REF!</v>
      </c>
      <c r="H79" s="189" t="e">
        <f>+Tabla77[[#This Row],[Suma de Uds.V]]/Tabla77[[#Totals],[Suma de Uds.V]]</f>
        <v>#REF!</v>
      </c>
    </row>
    <row r="80" spans="1:8" hidden="1" x14ac:dyDescent="0.25">
      <c r="A80" s="185" t="s">
        <v>704</v>
      </c>
      <c r="B80" s="186" t="s">
        <v>286</v>
      </c>
      <c r="C80" s="187">
        <v>88</v>
      </c>
      <c r="D80" s="71">
        <v>2586103.9988999986</v>
      </c>
      <c r="E80" s="71">
        <v>206896.00109999996</v>
      </c>
      <c r="F80" s="71">
        <v>2793000</v>
      </c>
      <c r="G80" s="188" t="e">
        <f>+Tabla77[[#This Row],[Suma de Neto]]/Tabla77[[#Totals],[Suma de Neto]]</f>
        <v>#REF!</v>
      </c>
      <c r="H80" s="189" t="e">
        <f>+Tabla77[[#This Row],[Suma de Uds.V]]/Tabla77[[#Totals],[Suma de Uds.V]]</f>
        <v>#REF!</v>
      </c>
    </row>
    <row r="81" spans="1:8" hidden="1" x14ac:dyDescent="0.25">
      <c r="A81" s="185" t="s">
        <v>835</v>
      </c>
      <c r="B81" s="186" t="s">
        <v>836</v>
      </c>
      <c r="C81" s="187">
        <v>142</v>
      </c>
      <c r="D81" s="71">
        <v>23535191.366699971</v>
      </c>
      <c r="E81" s="71">
        <v>1882808.6333000015</v>
      </c>
      <c r="F81" s="71">
        <v>25418000</v>
      </c>
      <c r="G81" s="188" t="e">
        <f>+Tabla77[[#This Row],[Suma de Neto]]/Tabla77[[#Totals],[Suma de Neto]]</f>
        <v>#REF!</v>
      </c>
      <c r="H81" s="189" t="e">
        <f>+Tabla77[[#This Row],[Suma de Uds.V]]/Tabla77[[#Totals],[Suma de Uds.V]]</f>
        <v>#REF!</v>
      </c>
    </row>
    <row r="82" spans="1:8" hidden="1" x14ac:dyDescent="0.25">
      <c r="A82" s="185" t="s">
        <v>837</v>
      </c>
      <c r="B82" s="186" t="s">
        <v>838</v>
      </c>
      <c r="C82" s="187">
        <v>69</v>
      </c>
      <c r="D82" s="71">
        <v>1788889.3701999984</v>
      </c>
      <c r="E82" s="71">
        <v>143110.6298</v>
      </c>
      <c r="F82" s="71">
        <v>1932000</v>
      </c>
      <c r="G82" s="188" t="e">
        <f>+Tabla77[[#This Row],[Suma de Neto]]/Tabla77[[#Totals],[Suma de Neto]]</f>
        <v>#REF!</v>
      </c>
      <c r="H82" s="189" t="e">
        <f>+Tabla77[[#This Row],[Suma de Uds.V]]/Tabla77[[#Totals],[Suma de Uds.V]]</f>
        <v>#REF!</v>
      </c>
    </row>
    <row r="83" spans="1:8" hidden="1" x14ac:dyDescent="0.25">
      <c r="A83" s="185" t="s">
        <v>839</v>
      </c>
      <c r="B83" s="186" t="s">
        <v>838</v>
      </c>
      <c r="C83" s="187">
        <v>6</v>
      </c>
      <c r="D83" s="71">
        <v>155554.9259</v>
      </c>
      <c r="E83" s="71">
        <v>12445.0741</v>
      </c>
      <c r="F83" s="71">
        <v>168000</v>
      </c>
      <c r="G83" s="188" t="e">
        <f>+Tabla77[[#This Row],[Suma de Neto]]/Tabla77[[#Totals],[Suma de Neto]]</f>
        <v>#REF!</v>
      </c>
      <c r="H83" s="189" t="e">
        <f>+Tabla77[[#This Row],[Suma de Uds.V]]/Tabla77[[#Totals],[Suma de Uds.V]]</f>
        <v>#REF!</v>
      </c>
    </row>
    <row r="84" spans="1:8" hidden="1" x14ac:dyDescent="0.25">
      <c r="A84" s="185" t="s">
        <v>782</v>
      </c>
      <c r="B84" s="186" t="s">
        <v>838</v>
      </c>
      <c r="C84" s="187">
        <v>123</v>
      </c>
      <c r="D84" s="71">
        <v>3188891.9631000026</v>
      </c>
      <c r="E84" s="71">
        <v>255108.03689999986</v>
      </c>
      <c r="F84" s="71">
        <v>3444000</v>
      </c>
      <c r="G84" s="188" t="e">
        <f>+Tabla77[[#This Row],[Suma de Neto]]/Tabla77[[#Totals],[Suma de Neto]]</f>
        <v>#REF!</v>
      </c>
      <c r="H84" s="189" t="e">
        <f>+Tabla77[[#This Row],[Suma de Uds.V]]/Tabla77[[#Totals],[Suma de Uds.V]]</f>
        <v>#REF!</v>
      </c>
    </row>
    <row r="85" spans="1:8" hidden="1" x14ac:dyDescent="0.25">
      <c r="A85" s="185" t="s">
        <v>840</v>
      </c>
      <c r="B85" s="186" t="s">
        <v>838</v>
      </c>
      <c r="C85" s="187">
        <v>93</v>
      </c>
      <c r="D85" s="71">
        <v>3013886.6291999989</v>
      </c>
      <c r="E85" s="71">
        <v>241113.37080000012</v>
      </c>
      <c r="F85" s="71">
        <v>3255000</v>
      </c>
      <c r="G85" s="188" t="e">
        <f>+Tabla77[[#This Row],[Suma de Neto]]/Tabla77[[#Totals],[Suma de Neto]]</f>
        <v>#REF!</v>
      </c>
      <c r="H85" s="189" t="e">
        <f>+Tabla77[[#This Row],[Suma de Uds.V]]/Tabla77[[#Totals],[Suma de Uds.V]]</f>
        <v>#REF!</v>
      </c>
    </row>
    <row r="86" spans="1:8" hidden="1" x14ac:dyDescent="0.25">
      <c r="A86" s="185" t="s">
        <v>841</v>
      </c>
      <c r="B86" s="186" t="s">
        <v>838</v>
      </c>
      <c r="C86" s="187">
        <v>11</v>
      </c>
      <c r="D86" s="71">
        <v>356481.03700000001</v>
      </c>
      <c r="E86" s="71">
        <v>28518.963</v>
      </c>
      <c r="F86" s="71">
        <v>385000</v>
      </c>
      <c r="G86" s="188" t="e">
        <f>+Tabla77[[#This Row],[Suma de Neto]]/Tabla77[[#Totals],[Suma de Neto]]</f>
        <v>#REF!</v>
      </c>
      <c r="H86" s="189" t="e">
        <f>+Tabla77[[#This Row],[Suma de Uds.V]]/Tabla77[[#Totals],[Suma de Uds.V]]</f>
        <v>#REF!</v>
      </c>
    </row>
    <row r="87" spans="1:8" hidden="1" x14ac:dyDescent="0.25">
      <c r="A87" s="185" t="s">
        <v>842</v>
      </c>
      <c r="B87" s="186" t="s">
        <v>838</v>
      </c>
      <c r="C87" s="187">
        <v>91</v>
      </c>
      <c r="D87" s="71">
        <v>2949074.9995999984</v>
      </c>
      <c r="E87" s="71">
        <v>235925.00040000011</v>
      </c>
      <c r="F87" s="71">
        <v>3185000</v>
      </c>
      <c r="G87" s="188" t="e">
        <f>+Tabla77[[#This Row],[Suma de Neto]]/Tabla77[[#Totals],[Suma de Neto]]</f>
        <v>#REF!</v>
      </c>
      <c r="H87" s="189" t="e">
        <f>+Tabla77[[#This Row],[Suma de Uds.V]]/Tabla77[[#Totals],[Suma de Uds.V]]</f>
        <v>#REF!</v>
      </c>
    </row>
    <row r="88" spans="1:8" hidden="1" x14ac:dyDescent="0.25">
      <c r="A88" s="185" t="s">
        <v>843</v>
      </c>
      <c r="B88" s="186" t="s">
        <v>212</v>
      </c>
      <c r="C88" s="187">
        <v>16</v>
      </c>
      <c r="D88" s="71">
        <v>548146.85219999985</v>
      </c>
      <c r="E88" s="71">
        <v>43853.147799999999</v>
      </c>
      <c r="F88" s="71">
        <v>592000</v>
      </c>
      <c r="G88" s="188" t="e">
        <f>+Tabla77[[#This Row],[Suma de Neto]]/Tabla77[[#Totals],[Suma de Neto]]</f>
        <v>#REF!</v>
      </c>
      <c r="H88" s="189" t="e">
        <f>+Tabla77[[#This Row],[Suma de Uds.V]]/Tabla77[[#Totals],[Suma de Uds.V]]</f>
        <v>#REF!</v>
      </c>
    </row>
    <row r="89" spans="1:8" hidden="1" x14ac:dyDescent="0.25">
      <c r="A89" s="185" t="s">
        <v>844</v>
      </c>
      <c r="B89" s="186" t="s">
        <v>212</v>
      </c>
      <c r="C89" s="187">
        <v>69</v>
      </c>
      <c r="D89" s="71">
        <v>2363883.5190000003</v>
      </c>
      <c r="E89" s="71">
        <v>189116.48099999991</v>
      </c>
      <c r="F89" s="71">
        <v>2553000</v>
      </c>
      <c r="G89" s="188" t="e">
        <f>+Tabla77[[#This Row],[Suma de Neto]]/Tabla77[[#Totals],[Suma de Neto]]</f>
        <v>#REF!</v>
      </c>
      <c r="H89" s="189" t="e">
        <f>+Tabla77[[#This Row],[Suma de Uds.V]]/Tabla77[[#Totals],[Suma de Uds.V]]</f>
        <v>#REF!</v>
      </c>
    </row>
    <row r="90" spans="1:8" hidden="1" x14ac:dyDescent="0.25">
      <c r="A90" s="185" t="s">
        <v>845</v>
      </c>
      <c r="B90" s="186" t="s">
        <v>212</v>
      </c>
      <c r="C90" s="187">
        <v>68</v>
      </c>
      <c r="D90" s="71">
        <v>2329628.9269000003</v>
      </c>
      <c r="E90" s="71">
        <v>186371.07309999989</v>
      </c>
      <c r="F90" s="71">
        <v>2516000</v>
      </c>
      <c r="G90" s="188" t="e">
        <f>+Tabla77[[#This Row],[Suma de Neto]]/Tabla77[[#Totals],[Suma de Neto]]</f>
        <v>#REF!</v>
      </c>
      <c r="H90" s="189" t="e">
        <f>+Tabla77[[#This Row],[Suma de Uds.V]]/Tabla77[[#Totals],[Suma de Uds.V]]</f>
        <v>#REF!</v>
      </c>
    </row>
    <row r="91" spans="1:8" hidden="1" x14ac:dyDescent="0.25">
      <c r="A91" s="185" t="s">
        <v>846</v>
      </c>
      <c r="B91" s="186" t="s">
        <v>800</v>
      </c>
      <c r="C91" s="187">
        <v>221</v>
      </c>
      <c r="D91" s="71">
        <v>3069455.1121000014</v>
      </c>
      <c r="E91" s="71">
        <v>245544.88790000015</v>
      </c>
      <c r="F91" s="71">
        <v>3315000</v>
      </c>
      <c r="G91" s="188" t="e">
        <f>+Tabla77[[#This Row],[Suma de Neto]]/Tabla77[[#Totals],[Suma de Neto]]</f>
        <v>#REF!</v>
      </c>
      <c r="H91" s="189" t="e">
        <f>+Tabla77[[#This Row],[Suma de Uds.V]]/Tabla77[[#Totals],[Suma de Uds.V]]</f>
        <v>#REF!</v>
      </c>
    </row>
    <row r="92" spans="1:8" hidden="1" x14ac:dyDescent="0.25">
      <c r="A92" s="185" t="s">
        <v>847</v>
      </c>
      <c r="B92" s="186" t="s">
        <v>848</v>
      </c>
      <c r="C92" s="187">
        <v>1211</v>
      </c>
      <c r="D92" s="71">
        <v>106.4823</v>
      </c>
      <c r="E92" s="71">
        <v>8.5177000000000032</v>
      </c>
      <c r="F92" s="71">
        <v>115</v>
      </c>
      <c r="G92" s="188" t="e">
        <f>+Tabla77[[#This Row],[Suma de Neto]]/Tabla77[[#Totals],[Suma de Neto]]</f>
        <v>#REF!</v>
      </c>
      <c r="H92" s="189" t="e">
        <f>+Tabla77[[#This Row],[Suma de Uds.V]]/Tabla77[[#Totals],[Suma de Uds.V]]</f>
        <v>#REF!</v>
      </c>
    </row>
    <row r="93" spans="1:8" hidden="1" x14ac:dyDescent="0.25">
      <c r="A93" s="185" t="s">
        <v>177</v>
      </c>
      <c r="B93" s="186" t="s">
        <v>788</v>
      </c>
      <c r="C93" s="187">
        <v>35</v>
      </c>
      <c r="D93" s="71">
        <v>1069450.4448999998</v>
      </c>
      <c r="E93" s="71">
        <v>85549.555099999969</v>
      </c>
      <c r="F93" s="71">
        <v>1155000</v>
      </c>
      <c r="G93" s="188" t="e">
        <f>+Tabla77[[#This Row],[Suma de Neto]]/Tabla77[[#Totals],[Suma de Neto]]</f>
        <v>#REF!</v>
      </c>
      <c r="H93" s="189" t="e">
        <f>+Tabla77[[#This Row],[Suma de Uds.V]]/Tabla77[[#Totals],[Suma de Uds.V]]</f>
        <v>#REF!</v>
      </c>
    </row>
    <row r="94" spans="1:8" hidden="1" x14ac:dyDescent="0.25">
      <c r="A94" s="185" t="s">
        <v>125</v>
      </c>
      <c r="B94" s="186" t="s">
        <v>148</v>
      </c>
      <c r="C94" s="187">
        <v>162</v>
      </c>
      <c r="D94" s="71">
        <v>8550013.6686000079</v>
      </c>
      <c r="E94" s="71">
        <v>683986.33139999909</v>
      </c>
      <c r="F94" s="71">
        <v>9234000</v>
      </c>
      <c r="G94" s="188" t="e">
        <f>+Tabla77[[#This Row],[Suma de Neto]]/Tabla77[[#Totals],[Suma de Neto]]</f>
        <v>#REF!</v>
      </c>
      <c r="H94" s="189" t="e">
        <f>+Tabla77[[#This Row],[Suma de Uds.V]]/Tabla77[[#Totals],[Suma de Uds.V]]</f>
        <v>#REF!</v>
      </c>
    </row>
    <row r="95" spans="1:8" hidden="1" x14ac:dyDescent="0.25">
      <c r="A95" s="185" t="s">
        <v>849</v>
      </c>
      <c r="B95" s="186" t="s">
        <v>800</v>
      </c>
      <c r="C95" s="187">
        <v>421</v>
      </c>
      <c r="D95" s="71">
        <v>5418398.2973000081</v>
      </c>
      <c r="E95" s="71">
        <v>433501.70269999909</v>
      </c>
      <c r="F95" s="71">
        <v>5851900</v>
      </c>
      <c r="G95" s="188" t="e">
        <f>+Tabla77[[#This Row],[Suma de Neto]]/Tabla77[[#Totals],[Suma de Neto]]</f>
        <v>#REF!</v>
      </c>
      <c r="H95" s="189" t="e">
        <f>+Tabla77[[#This Row],[Suma de Uds.V]]/Tabla77[[#Totals],[Suma de Uds.V]]</f>
        <v>#REF!</v>
      </c>
    </row>
    <row r="96" spans="1:8" hidden="1" x14ac:dyDescent="0.25">
      <c r="A96" s="185" t="s">
        <v>705</v>
      </c>
      <c r="B96" s="186" t="s">
        <v>788</v>
      </c>
      <c r="C96" s="187">
        <v>5</v>
      </c>
      <c r="D96" s="71">
        <v>184722.22200000001</v>
      </c>
      <c r="E96" s="71">
        <v>14777.778000000002</v>
      </c>
      <c r="F96" s="71">
        <v>199500</v>
      </c>
      <c r="G96" s="188" t="e">
        <f>+Tabla77[[#This Row],[Suma de Neto]]/Tabla77[[#Totals],[Suma de Neto]]</f>
        <v>#REF!</v>
      </c>
      <c r="H96" s="189" t="e">
        <f>+Tabla77[[#This Row],[Suma de Uds.V]]/Tabla77[[#Totals],[Suma de Uds.V]]</f>
        <v>#REF!</v>
      </c>
    </row>
    <row r="97" spans="1:8" hidden="1" x14ac:dyDescent="0.25">
      <c r="A97" s="185" t="s">
        <v>598</v>
      </c>
      <c r="B97" s="186" t="s">
        <v>821</v>
      </c>
      <c r="C97" s="187">
        <v>16</v>
      </c>
      <c r="D97" s="71">
        <v>133331.66649999999</v>
      </c>
      <c r="E97" s="71">
        <v>10668.333499999999</v>
      </c>
      <c r="F97" s="71">
        <v>144000</v>
      </c>
      <c r="G97" s="188" t="e">
        <f>+Tabla77[[#This Row],[Suma de Neto]]/Tabla77[[#Totals],[Suma de Neto]]</f>
        <v>#REF!</v>
      </c>
      <c r="H97" s="189" t="e">
        <f>+Tabla77[[#This Row],[Suma de Uds.V]]/Tabla77[[#Totals],[Suma de Uds.V]]</f>
        <v>#REF!</v>
      </c>
    </row>
    <row r="98" spans="1:8" hidden="1" x14ac:dyDescent="0.25">
      <c r="A98" s="185" t="s">
        <v>851</v>
      </c>
      <c r="B98" s="186" t="s">
        <v>798</v>
      </c>
      <c r="C98" s="187">
        <v>53</v>
      </c>
      <c r="D98" s="71">
        <v>25926</v>
      </c>
      <c r="E98" s="71">
        <v>2074</v>
      </c>
      <c r="F98" s="71">
        <v>28000</v>
      </c>
      <c r="G98" s="188" t="e">
        <f>+Tabla77[[#This Row],[Suma de Neto]]/Tabla77[[#Totals],[Suma de Neto]]</f>
        <v>#REF!</v>
      </c>
      <c r="H98" s="189" t="e">
        <f>+Tabla77[[#This Row],[Suma de Uds.V]]/Tabla77[[#Totals],[Suma de Uds.V]]</f>
        <v>#REF!</v>
      </c>
    </row>
    <row r="99" spans="1:8" hidden="1" x14ac:dyDescent="0.25">
      <c r="A99" s="185" t="s">
        <v>119</v>
      </c>
      <c r="B99" s="186" t="s">
        <v>112</v>
      </c>
      <c r="C99" s="187">
        <v>253</v>
      </c>
      <c r="D99" s="71">
        <v>6996030.2987000197</v>
      </c>
      <c r="E99" s="71">
        <v>559699.70129999949</v>
      </c>
      <c r="F99" s="71">
        <v>7555730</v>
      </c>
      <c r="G99" s="188" t="e">
        <f>+Tabla77[[#This Row],[Suma de Neto]]/Tabla77[[#Totals],[Suma de Neto]]</f>
        <v>#REF!</v>
      </c>
      <c r="H99" s="189" t="e">
        <f>+Tabla77[[#This Row],[Suma de Uds.V]]/Tabla77[[#Totals],[Suma de Uds.V]]</f>
        <v>#REF!</v>
      </c>
    </row>
    <row r="100" spans="1:8" hidden="1" x14ac:dyDescent="0.25">
      <c r="A100" s="185" t="s">
        <v>715</v>
      </c>
      <c r="B100" s="186" t="s">
        <v>331</v>
      </c>
      <c r="C100" s="187">
        <v>29</v>
      </c>
      <c r="D100" s="71">
        <v>127827.25919999997</v>
      </c>
      <c r="E100" s="71">
        <v>10222.7408</v>
      </c>
      <c r="F100" s="71">
        <v>138050</v>
      </c>
      <c r="G100" s="188" t="e">
        <f>+Tabla77[[#This Row],[Suma de Neto]]/Tabla77[[#Totals],[Suma de Neto]]</f>
        <v>#REF!</v>
      </c>
      <c r="H100" s="189" t="e">
        <f>+Tabla77[[#This Row],[Suma de Uds.V]]/Tabla77[[#Totals],[Suma de Uds.V]]</f>
        <v>#REF!</v>
      </c>
    </row>
    <row r="101" spans="1:8" hidden="1" x14ac:dyDescent="0.25">
      <c r="A101" s="185" t="s">
        <v>740</v>
      </c>
      <c r="B101" s="186" t="s">
        <v>822</v>
      </c>
      <c r="C101" s="187">
        <v>1</v>
      </c>
      <c r="D101" s="71">
        <v>166666.6667</v>
      </c>
      <c r="E101" s="71">
        <v>13333.3333</v>
      </c>
      <c r="F101" s="71">
        <v>180000</v>
      </c>
      <c r="G101" s="188" t="e">
        <f>+Tabla77[[#This Row],[Suma de Neto]]/Tabla77[[#Totals],[Suma de Neto]]</f>
        <v>#REF!</v>
      </c>
      <c r="H101" s="189" t="e">
        <f>+Tabla77[[#This Row],[Suma de Uds.V]]/Tabla77[[#Totals],[Suma de Uds.V]]</f>
        <v>#REF!</v>
      </c>
    </row>
    <row r="102" spans="1:8" hidden="1" x14ac:dyDescent="0.25">
      <c r="A102" s="185" t="s">
        <v>852</v>
      </c>
      <c r="B102" s="186" t="s">
        <v>806</v>
      </c>
      <c r="C102" s="187">
        <v>99</v>
      </c>
      <c r="D102" s="71">
        <v>504170.29679999955</v>
      </c>
      <c r="E102" s="71">
        <v>40329.703199999967</v>
      </c>
      <c r="F102" s="71">
        <v>544500</v>
      </c>
      <c r="G102" s="188" t="e">
        <f>+Tabla77[[#This Row],[Suma de Neto]]/Tabla77[[#Totals],[Suma de Neto]]</f>
        <v>#REF!</v>
      </c>
      <c r="H102" s="189" t="e">
        <f>+Tabla77[[#This Row],[Suma de Uds.V]]/Tabla77[[#Totals],[Suma de Uds.V]]</f>
        <v>#REF!</v>
      </c>
    </row>
    <row r="103" spans="1:8" hidden="1" x14ac:dyDescent="0.25">
      <c r="A103" s="185" t="s">
        <v>132</v>
      </c>
      <c r="B103" s="186" t="s">
        <v>853</v>
      </c>
      <c r="C103" s="187">
        <v>7</v>
      </c>
      <c r="D103" s="71">
        <v>381759.03700000001</v>
      </c>
      <c r="E103" s="71">
        <v>30540.963</v>
      </c>
      <c r="F103" s="71">
        <v>412300</v>
      </c>
      <c r="G103" s="188" t="e">
        <f>+Tabla77[[#This Row],[Suma de Neto]]/Tabla77[[#Totals],[Suma de Neto]]</f>
        <v>#REF!</v>
      </c>
      <c r="H103" s="189" t="e">
        <f>+Tabla77[[#This Row],[Suma de Uds.V]]/Tabla77[[#Totals],[Suma de Uds.V]]</f>
        <v>#REF!</v>
      </c>
    </row>
    <row r="104" spans="1:8" hidden="1" x14ac:dyDescent="0.25">
      <c r="A104" s="185" t="s">
        <v>133</v>
      </c>
      <c r="B104" s="186" t="s">
        <v>853</v>
      </c>
      <c r="C104" s="187">
        <v>213</v>
      </c>
      <c r="D104" s="71">
        <v>11600023.366400013</v>
      </c>
      <c r="E104" s="71">
        <v>928006.63359999936</v>
      </c>
      <c r="F104" s="71">
        <v>12528030</v>
      </c>
      <c r="G104" s="188" t="e">
        <f>+Tabla77[[#This Row],[Suma de Neto]]/Tabla77[[#Totals],[Suma de Neto]]</f>
        <v>#REF!</v>
      </c>
      <c r="H104" s="189" t="e">
        <f>+Tabla77[[#This Row],[Suma de Uds.V]]/Tabla77[[#Totals],[Suma de Uds.V]]</f>
        <v>#REF!</v>
      </c>
    </row>
    <row r="105" spans="1:8" hidden="1" x14ac:dyDescent="0.25">
      <c r="A105" s="185" t="s">
        <v>854</v>
      </c>
      <c r="B105" s="186" t="s">
        <v>331</v>
      </c>
      <c r="C105" s="187">
        <v>42</v>
      </c>
      <c r="D105" s="71">
        <v>0</v>
      </c>
      <c r="E105" s="71">
        <v>0</v>
      </c>
      <c r="F105" s="71">
        <v>0</v>
      </c>
      <c r="G105" s="188" t="e">
        <f>+Tabla77[[#This Row],[Suma de Neto]]/Tabla77[[#Totals],[Suma de Neto]]</f>
        <v>#REF!</v>
      </c>
      <c r="H105" s="189" t="e">
        <f>+Tabla77[[#This Row],[Suma de Uds.V]]/Tabla77[[#Totals],[Suma de Uds.V]]</f>
        <v>#REF!</v>
      </c>
    </row>
    <row r="106" spans="1:8" hidden="1" x14ac:dyDescent="0.25">
      <c r="A106" s="185" t="s">
        <v>161</v>
      </c>
      <c r="B106" s="186" t="s">
        <v>331</v>
      </c>
      <c r="C106" s="187">
        <v>5</v>
      </c>
      <c r="D106" s="71">
        <v>41666.333200000001</v>
      </c>
      <c r="E106" s="71">
        <v>3333.6668</v>
      </c>
      <c r="F106" s="71">
        <v>45000</v>
      </c>
      <c r="G106" s="188" t="e">
        <f>+Tabla77[[#This Row],[Suma de Neto]]/Tabla77[[#Totals],[Suma de Neto]]</f>
        <v>#REF!</v>
      </c>
      <c r="H106" s="189" t="e">
        <f>+Tabla77[[#This Row],[Suma de Uds.V]]/Tabla77[[#Totals],[Suma de Uds.V]]</f>
        <v>#REF!</v>
      </c>
    </row>
    <row r="107" spans="1:8" hidden="1" x14ac:dyDescent="0.25">
      <c r="A107" s="185" t="s">
        <v>716</v>
      </c>
      <c r="B107" s="186" t="s">
        <v>331</v>
      </c>
      <c r="C107" s="187">
        <v>2</v>
      </c>
      <c r="D107" s="71">
        <v>62963</v>
      </c>
      <c r="E107" s="71">
        <v>5037</v>
      </c>
      <c r="F107" s="71">
        <v>68000</v>
      </c>
      <c r="G107" s="188" t="e">
        <f>+Tabla77[[#This Row],[Suma de Neto]]/Tabla77[[#Totals],[Suma de Neto]]</f>
        <v>#REF!</v>
      </c>
      <c r="H107" s="189" t="e">
        <f>+Tabla77[[#This Row],[Suma de Uds.V]]/Tabla77[[#Totals],[Suma de Uds.V]]</f>
        <v>#REF!</v>
      </c>
    </row>
    <row r="108" spans="1:8" hidden="1" x14ac:dyDescent="0.25">
      <c r="A108" s="185" t="s">
        <v>717</v>
      </c>
      <c r="B108" s="186" t="s">
        <v>331</v>
      </c>
      <c r="C108" s="187">
        <v>2</v>
      </c>
      <c r="D108" s="71">
        <v>46296.148099999999</v>
      </c>
      <c r="E108" s="71">
        <v>3703.8518999999997</v>
      </c>
      <c r="F108" s="71">
        <v>50000</v>
      </c>
      <c r="G108" s="188" t="e">
        <f>+Tabla77[[#This Row],[Suma de Neto]]/Tabla77[[#Totals],[Suma de Neto]]</f>
        <v>#REF!</v>
      </c>
      <c r="H108" s="189" t="e">
        <f>+Tabla77[[#This Row],[Suma de Uds.V]]/Tabla77[[#Totals],[Suma de Uds.V]]</f>
        <v>#REF!</v>
      </c>
    </row>
    <row r="109" spans="1:8" hidden="1" x14ac:dyDescent="0.25">
      <c r="A109" s="185" t="s">
        <v>759</v>
      </c>
      <c r="B109" s="186" t="s">
        <v>790</v>
      </c>
      <c r="C109" s="187">
        <v>4</v>
      </c>
      <c r="D109" s="71">
        <v>500000</v>
      </c>
      <c r="E109" s="71">
        <v>40000</v>
      </c>
      <c r="F109" s="71">
        <v>540000</v>
      </c>
      <c r="G109" s="188" t="e">
        <f>+Tabla77[[#This Row],[Suma de Neto]]/Tabla77[[#Totals],[Suma de Neto]]</f>
        <v>#REF!</v>
      </c>
      <c r="H109" s="189" t="e">
        <f>+Tabla77[[#This Row],[Suma de Uds.V]]/Tabla77[[#Totals],[Suma de Uds.V]]</f>
        <v>#REF!</v>
      </c>
    </row>
    <row r="110" spans="1:8" hidden="1" x14ac:dyDescent="0.25">
      <c r="A110" s="185" t="s">
        <v>743</v>
      </c>
      <c r="B110" s="186" t="s">
        <v>822</v>
      </c>
      <c r="C110" s="187">
        <v>1</v>
      </c>
      <c r="D110" s="71">
        <v>64814.8148</v>
      </c>
      <c r="E110" s="71">
        <v>5185.1851999999999</v>
      </c>
      <c r="F110" s="71">
        <v>70000</v>
      </c>
      <c r="G110" s="188" t="e">
        <f>+Tabla77[[#This Row],[Suma de Neto]]/Tabla77[[#Totals],[Suma de Neto]]</f>
        <v>#REF!</v>
      </c>
      <c r="H110" s="189" t="e">
        <f>+Tabla77[[#This Row],[Suma de Uds.V]]/Tabla77[[#Totals],[Suma de Uds.V]]</f>
        <v>#REF!</v>
      </c>
    </row>
    <row r="111" spans="1:8" hidden="1" x14ac:dyDescent="0.25">
      <c r="A111" s="185" t="s">
        <v>718</v>
      </c>
      <c r="B111" s="186" t="s">
        <v>331</v>
      </c>
      <c r="C111" s="187">
        <v>1</v>
      </c>
      <c r="D111" s="71">
        <v>4537.0370000000003</v>
      </c>
      <c r="E111" s="71">
        <v>362.96300000000002</v>
      </c>
      <c r="F111" s="71">
        <v>4900</v>
      </c>
      <c r="G111" s="188" t="e">
        <f>+Tabla77[[#This Row],[Suma de Neto]]/Tabla77[[#Totals],[Suma de Neto]]</f>
        <v>#REF!</v>
      </c>
      <c r="H111" s="189" t="e">
        <f>+Tabla77[[#This Row],[Suma de Uds.V]]/Tabla77[[#Totals],[Suma de Uds.V]]</f>
        <v>#REF!</v>
      </c>
    </row>
    <row r="112" spans="1:8" hidden="1" x14ac:dyDescent="0.25">
      <c r="A112" s="185" t="s">
        <v>222</v>
      </c>
      <c r="B112" s="186" t="s">
        <v>826</v>
      </c>
      <c r="C112" s="187">
        <v>344</v>
      </c>
      <c r="D112" s="71">
        <v>5378244.1427999921</v>
      </c>
      <c r="E112" s="71">
        <v>430285.85720000067</v>
      </c>
      <c r="F112" s="71">
        <v>5808530</v>
      </c>
      <c r="G112" s="188" t="e">
        <f>+Tabla77[[#This Row],[Suma de Neto]]/Tabla77[[#Totals],[Suma de Neto]]</f>
        <v>#REF!</v>
      </c>
      <c r="H112" s="189" t="e">
        <f>+Tabla77[[#This Row],[Suma de Uds.V]]/Tabla77[[#Totals],[Suma de Uds.V]]</f>
        <v>#REF!</v>
      </c>
    </row>
    <row r="113" spans="1:8" hidden="1" x14ac:dyDescent="0.25">
      <c r="A113" s="185" t="s">
        <v>264</v>
      </c>
      <c r="B113" s="186" t="s">
        <v>826</v>
      </c>
      <c r="C113" s="187">
        <v>174</v>
      </c>
      <c r="D113" s="71">
        <v>2722767.366399996</v>
      </c>
      <c r="E113" s="71">
        <v>217832.63360000041</v>
      </c>
      <c r="F113" s="71">
        <v>2940600</v>
      </c>
      <c r="G113" s="188" t="e">
        <f>+Tabla77[[#This Row],[Suma de Neto]]/Tabla77[[#Totals],[Suma de Neto]]</f>
        <v>#REF!</v>
      </c>
      <c r="H113" s="189" t="e">
        <f>+Tabla77[[#This Row],[Suma de Uds.V]]/Tabla77[[#Totals],[Suma de Uds.V]]</f>
        <v>#REF!</v>
      </c>
    </row>
    <row r="114" spans="1:8" hidden="1" x14ac:dyDescent="0.25">
      <c r="A114" s="185" t="s">
        <v>187</v>
      </c>
      <c r="B114" s="186" t="s">
        <v>856</v>
      </c>
      <c r="C114" s="187">
        <v>15</v>
      </c>
      <c r="D114" s="71">
        <v>666663.55530000001</v>
      </c>
      <c r="E114" s="71">
        <v>53336.4447</v>
      </c>
      <c r="F114" s="71">
        <v>720000</v>
      </c>
      <c r="G114" s="188" t="e">
        <f>+Tabla77[[#This Row],[Suma de Neto]]/Tabla77[[#Totals],[Suma de Neto]]</f>
        <v>#REF!</v>
      </c>
      <c r="H114" s="189" t="e">
        <f>+Tabla77[[#This Row],[Suma de Uds.V]]/Tabla77[[#Totals],[Suma de Uds.V]]</f>
        <v>#REF!</v>
      </c>
    </row>
    <row r="115" spans="1:8" hidden="1" x14ac:dyDescent="0.25">
      <c r="A115" s="185" t="s">
        <v>223</v>
      </c>
      <c r="B115" s="186" t="s">
        <v>856</v>
      </c>
      <c r="C115" s="187">
        <v>19</v>
      </c>
      <c r="D115" s="71">
        <v>844444.11100000003</v>
      </c>
      <c r="E115" s="71">
        <v>67555.888999999996</v>
      </c>
      <c r="F115" s="71">
        <v>912000</v>
      </c>
      <c r="G115" s="188" t="e">
        <f>+Tabla77[[#This Row],[Suma de Neto]]/Tabla77[[#Totals],[Suma de Neto]]</f>
        <v>#REF!</v>
      </c>
      <c r="H115" s="189" t="e">
        <f>+Tabla77[[#This Row],[Suma de Uds.V]]/Tabla77[[#Totals],[Suma de Uds.V]]</f>
        <v>#REF!</v>
      </c>
    </row>
    <row r="116" spans="1:8" hidden="1" x14ac:dyDescent="0.25">
      <c r="A116" s="185" t="s">
        <v>708</v>
      </c>
      <c r="B116" s="186" t="s">
        <v>856</v>
      </c>
      <c r="C116" s="187">
        <v>10</v>
      </c>
      <c r="D116" s="71">
        <v>384258.70360000012</v>
      </c>
      <c r="E116" s="71">
        <v>30741.296399999992</v>
      </c>
      <c r="F116" s="71">
        <v>415000</v>
      </c>
      <c r="G116" s="188" t="e">
        <f>+Tabla77[[#This Row],[Suma de Neto]]/Tabla77[[#Totals],[Suma de Neto]]</f>
        <v>#REF!</v>
      </c>
      <c r="H116" s="189" t="e">
        <f>+Tabla77[[#This Row],[Suma de Uds.V]]/Tabla77[[#Totals],[Suma de Uds.V]]</f>
        <v>#REF!</v>
      </c>
    </row>
    <row r="117" spans="1:8" hidden="1" x14ac:dyDescent="0.25">
      <c r="A117" s="185" t="s">
        <v>857</v>
      </c>
      <c r="B117" s="186" t="s">
        <v>856</v>
      </c>
      <c r="C117" s="187">
        <v>29</v>
      </c>
      <c r="D117" s="71">
        <v>1194909.0739999998</v>
      </c>
      <c r="E117" s="71">
        <v>95590.926000000021</v>
      </c>
      <c r="F117" s="71">
        <v>1290500</v>
      </c>
      <c r="G117" s="188" t="e">
        <f>+Tabla77[[#This Row],[Suma de Neto]]/Tabla77[[#Totals],[Suma de Neto]]</f>
        <v>#REF!</v>
      </c>
      <c r="H117" s="189" t="e">
        <f>+Tabla77[[#This Row],[Suma de Uds.V]]/Tabla77[[#Totals],[Suma de Uds.V]]</f>
        <v>#REF!</v>
      </c>
    </row>
    <row r="118" spans="1:8" hidden="1" x14ac:dyDescent="0.25">
      <c r="A118" s="185" t="s">
        <v>269</v>
      </c>
      <c r="B118" s="186" t="s">
        <v>793</v>
      </c>
      <c r="C118" s="187">
        <v>59</v>
      </c>
      <c r="D118" s="71">
        <v>476317.70300000033</v>
      </c>
      <c r="E118" s="71">
        <v>38102.297000000013</v>
      </c>
      <c r="F118" s="71">
        <v>514420</v>
      </c>
      <c r="G118" s="188" t="e">
        <f>+Tabla77[[#This Row],[Suma de Neto]]/Tabla77[[#Totals],[Suma de Neto]]</f>
        <v>#REF!</v>
      </c>
      <c r="H118" s="189" t="e">
        <f>+Tabla77[[#This Row],[Suma de Uds.V]]/Tabla77[[#Totals],[Suma de Uds.V]]</f>
        <v>#REF!</v>
      </c>
    </row>
    <row r="119" spans="1:8" hidden="1" x14ac:dyDescent="0.25">
      <c r="A119" s="185" t="s">
        <v>858</v>
      </c>
      <c r="B119" s="186" t="s">
        <v>798</v>
      </c>
      <c r="C119" s="187">
        <v>5</v>
      </c>
      <c r="D119" s="71">
        <v>38888.925999999999</v>
      </c>
      <c r="E119" s="71">
        <v>3111.0740000000005</v>
      </c>
      <c r="F119" s="71">
        <v>42000</v>
      </c>
      <c r="G119" s="188" t="e">
        <f>+Tabla77[[#This Row],[Suma de Neto]]/Tabla77[[#Totals],[Suma de Neto]]</f>
        <v>#REF!</v>
      </c>
      <c r="H119" s="189" t="e">
        <f>+Tabla77[[#This Row],[Suma de Uds.V]]/Tabla77[[#Totals],[Suma de Uds.V]]</f>
        <v>#REF!</v>
      </c>
    </row>
    <row r="120" spans="1:8" hidden="1" x14ac:dyDescent="0.25">
      <c r="A120" s="185" t="s">
        <v>248</v>
      </c>
      <c r="B120" s="186" t="s">
        <v>331</v>
      </c>
      <c r="C120" s="187">
        <v>7</v>
      </c>
      <c r="D120" s="71">
        <v>18795.5556</v>
      </c>
      <c r="E120" s="71">
        <v>1504.4444000000003</v>
      </c>
      <c r="F120" s="71">
        <v>20300</v>
      </c>
      <c r="G120" s="188" t="e">
        <f>+Tabla77[[#This Row],[Suma de Neto]]/Tabla77[[#Totals],[Suma de Neto]]</f>
        <v>#REF!</v>
      </c>
      <c r="H120" s="189" t="e">
        <f>+Tabla77[[#This Row],[Suma de Uds.V]]/Tabla77[[#Totals],[Suma de Uds.V]]</f>
        <v>#REF!</v>
      </c>
    </row>
    <row r="121" spans="1:8" hidden="1" x14ac:dyDescent="0.25">
      <c r="A121" s="185" t="s">
        <v>719</v>
      </c>
      <c r="B121" s="186" t="s">
        <v>331</v>
      </c>
      <c r="C121" s="187">
        <v>8</v>
      </c>
      <c r="D121" s="71">
        <v>85555.222199999989</v>
      </c>
      <c r="E121" s="71">
        <v>6844.7777999999998</v>
      </c>
      <c r="F121" s="71">
        <v>92400</v>
      </c>
      <c r="G121" s="188" t="e">
        <f>+Tabla77[[#This Row],[Suma de Neto]]/Tabla77[[#Totals],[Suma de Neto]]</f>
        <v>#REF!</v>
      </c>
      <c r="H121" s="189" t="e">
        <f>+Tabla77[[#This Row],[Suma de Uds.V]]/Tabla77[[#Totals],[Suma de Uds.V]]</f>
        <v>#REF!</v>
      </c>
    </row>
    <row r="122" spans="1:8" hidden="1" x14ac:dyDescent="0.25">
      <c r="A122" s="185" t="s">
        <v>318</v>
      </c>
      <c r="B122" s="186" t="s">
        <v>856</v>
      </c>
      <c r="C122" s="187">
        <v>50</v>
      </c>
      <c r="D122" s="71">
        <v>2546299.3701000004</v>
      </c>
      <c r="E122" s="71">
        <v>203700.62989999997</v>
      </c>
      <c r="F122" s="71">
        <v>2750000</v>
      </c>
      <c r="G122" s="188" t="e">
        <f>+Tabla77[[#This Row],[Suma de Neto]]/Tabla77[[#Totals],[Suma de Neto]]</f>
        <v>#REF!</v>
      </c>
      <c r="H122" s="189" t="e">
        <f>+Tabla77[[#This Row],[Suma de Uds.V]]/Tabla77[[#Totals],[Suma de Uds.V]]</f>
        <v>#REF!</v>
      </c>
    </row>
    <row r="123" spans="1:8" hidden="1" x14ac:dyDescent="0.25">
      <c r="A123" s="185" t="s">
        <v>720</v>
      </c>
      <c r="B123" s="186" t="s">
        <v>331</v>
      </c>
      <c r="C123" s="187">
        <v>229</v>
      </c>
      <c r="D123" s="71">
        <v>272921.44319999951</v>
      </c>
      <c r="E123" s="71">
        <v>21828.556799999951</v>
      </c>
      <c r="F123" s="71">
        <v>294750</v>
      </c>
      <c r="G123" s="188" t="e">
        <f>+Tabla77[[#This Row],[Suma de Neto]]/Tabla77[[#Totals],[Suma de Neto]]</f>
        <v>#REF!</v>
      </c>
      <c r="H123" s="189" t="e">
        <f>+Tabla77[[#This Row],[Suma de Uds.V]]/Tabla77[[#Totals],[Suma de Uds.V]]</f>
        <v>#REF!</v>
      </c>
    </row>
    <row r="124" spans="1:8" hidden="1" x14ac:dyDescent="0.25">
      <c r="A124" s="185" t="s">
        <v>859</v>
      </c>
      <c r="B124" s="186" t="s">
        <v>826</v>
      </c>
      <c r="C124" s="187">
        <v>222</v>
      </c>
      <c r="D124" s="71">
        <v>4090562.0347000072</v>
      </c>
      <c r="E124" s="71">
        <v>327237.96530000103</v>
      </c>
      <c r="F124" s="71">
        <v>4417800</v>
      </c>
      <c r="G124" s="188" t="e">
        <f>+Tabla77[[#This Row],[Suma de Neto]]/Tabla77[[#Totals],[Suma de Neto]]</f>
        <v>#REF!</v>
      </c>
      <c r="H124" s="189" t="e">
        <f>+Tabla77[[#This Row],[Suma de Uds.V]]/Tabla77[[#Totals],[Suma de Uds.V]]</f>
        <v>#REF!</v>
      </c>
    </row>
    <row r="125" spans="1:8" hidden="1" x14ac:dyDescent="0.25">
      <c r="A125" s="185" t="s">
        <v>197</v>
      </c>
      <c r="B125" s="186" t="s">
        <v>860</v>
      </c>
      <c r="C125" s="187">
        <v>230</v>
      </c>
      <c r="D125" s="71">
        <v>2312242.2972000036</v>
      </c>
      <c r="E125" s="71">
        <v>184947.70279999977</v>
      </c>
      <c r="F125" s="71">
        <v>2497190</v>
      </c>
      <c r="G125" s="188" t="e">
        <f>+Tabla77[[#This Row],[Suma de Neto]]/Tabla77[[#Totals],[Suma de Neto]]</f>
        <v>#REF!</v>
      </c>
      <c r="H125" s="189" t="e">
        <f>+Tabla77[[#This Row],[Suma de Uds.V]]/Tabla77[[#Totals],[Suma de Uds.V]]</f>
        <v>#REF!</v>
      </c>
    </row>
    <row r="126" spans="1:8" hidden="1" x14ac:dyDescent="0.25">
      <c r="A126" s="185" t="s">
        <v>861</v>
      </c>
      <c r="B126" s="186" t="s">
        <v>798</v>
      </c>
      <c r="C126" s="187">
        <v>1</v>
      </c>
      <c r="D126" s="71">
        <v>12963</v>
      </c>
      <c r="E126" s="71">
        <v>1037</v>
      </c>
      <c r="F126" s="71">
        <v>14000</v>
      </c>
      <c r="G126" s="188" t="e">
        <f>+Tabla77[[#This Row],[Suma de Neto]]/Tabla77[[#Totals],[Suma de Neto]]</f>
        <v>#REF!</v>
      </c>
      <c r="H126" s="189" t="e">
        <f>+Tabla77[[#This Row],[Suma de Uds.V]]/Tabla77[[#Totals],[Suma de Uds.V]]</f>
        <v>#REF!</v>
      </c>
    </row>
    <row r="127" spans="1:8" hidden="1" x14ac:dyDescent="0.25">
      <c r="A127" s="185" t="s">
        <v>760</v>
      </c>
      <c r="B127" s="186" t="s">
        <v>790</v>
      </c>
      <c r="C127" s="187">
        <v>11</v>
      </c>
      <c r="D127" s="71">
        <v>1619444.3331999998</v>
      </c>
      <c r="E127" s="71">
        <v>129555.66679999998</v>
      </c>
      <c r="F127" s="71">
        <v>1749000</v>
      </c>
      <c r="G127" s="188" t="e">
        <f>+Tabla77[[#This Row],[Suma de Neto]]/Tabla77[[#Totals],[Suma de Neto]]</f>
        <v>#REF!</v>
      </c>
      <c r="H127" s="189" t="e">
        <f>+Tabla77[[#This Row],[Suma de Uds.V]]/Tabla77[[#Totals],[Suma de Uds.V]]</f>
        <v>#REF!</v>
      </c>
    </row>
    <row r="128" spans="1:8" hidden="1" x14ac:dyDescent="0.25">
      <c r="A128" s="185" t="s">
        <v>862</v>
      </c>
      <c r="B128" s="186" t="s">
        <v>818</v>
      </c>
      <c r="C128" s="187">
        <v>12</v>
      </c>
      <c r="D128" s="71">
        <v>1776666.6672</v>
      </c>
      <c r="E128" s="71">
        <v>142133.33280000003</v>
      </c>
      <c r="F128" s="71">
        <v>1918800</v>
      </c>
      <c r="G128" s="188" t="e">
        <f>+Tabla77[[#This Row],[Suma de Neto]]/Tabla77[[#Totals],[Suma de Neto]]</f>
        <v>#REF!</v>
      </c>
      <c r="H128" s="189" t="e">
        <f>+Tabla77[[#This Row],[Suma de Uds.V]]/Tabla77[[#Totals],[Suma de Uds.V]]</f>
        <v>#REF!</v>
      </c>
    </row>
    <row r="129" spans="1:8" hidden="1" x14ac:dyDescent="0.25">
      <c r="A129" s="185" t="s">
        <v>238</v>
      </c>
      <c r="B129" s="186" t="s">
        <v>331</v>
      </c>
      <c r="C129" s="187">
        <v>1</v>
      </c>
      <c r="D129" s="71">
        <v>23148.148099999999</v>
      </c>
      <c r="E129" s="71">
        <v>1851.8518999999999</v>
      </c>
      <c r="F129" s="71">
        <v>25000</v>
      </c>
      <c r="G129" s="188" t="e">
        <f>+Tabla77[[#This Row],[Suma de Neto]]/Tabla77[[#Totals],[Suma de Neto]]</f>
        <v>#REF!</v>
      </c>
      <c r="H129" s="189" t="e">
        <f>+Tabla77[[#This Row],[Suma de Uds.V]]/Tabla77[[#Totals],[Suma de Uds.V]]</f>
        <v>#REF!</v>
      </c>
    </row>
    <row r="130" spans="1:8" hidden="1" x14ac:dyDescent="0.25">
      <c r="A130" s="185" t="s">
        <v>120</v>
      </c>
      <c r="B130" s="186" t="s">
        <v>112</v>
      </c>
      <c r="C130" s="187">
        <v>229</v>
      </c>
      <c r="D130" s="71">
        <v>9732499</v>
      </c>
      <c r="E130" s="71">
        <v>778601</v>
      </c>
      <c r="F130" s="71">
        <v>10511100</v>
      </c>
      <c r="G130" s="188" t="e">
        <f>+Tabla77[[#This Row],[Suma de Neto]]/Tabla77[[#Totals],[Suma de Neto]]</f>
        <v>#REF!</v>
      </c>
      <c r="H130" s="189" t="e">
        <f>+Tabla77[[#This Row],[Suma de Uds.V]]/Tabla77[[#Totals],[Suma de Uds.V]]</f>
        <v>#REF!</v>
      </c>
    </row>
    <row r="131" spans="1:8" hidden="1" x14ac:dyDescent="0.25">
      <c r="A131" s="185" t="s">
        <v>388</v>
      </c>
      <c r="B131" s="186" t="s">
        <v>126</v>
      </c>
      <c r="C131" s="187">
        <v>23</v>
      </c>
      <c r="D131" s="71">
        <v>32200</v>
      </c>
      <c r="E131" s="71">
        <v>0</v>
      </c>
      <c r="F131" s="71">
        <v>32200</v>
      </c>
      <c r="G131" s="188" t="e">
        <f>+Tabla77[[#This Row],[Suma de Neto]]/Tabla77[[#Totals],[Suma de Neto]]</f>
        <v>#REF!</v>
      </c>
      <c r="H131" s="189" t="e">
        <f>+Tabla77[[#This Row],[Suma de Uds.V]]/Tabla77[[#Totals],[Suma de Uds.V]]</f>
        <v>#REF!</v>
      </c>
    </row>
    <row r="132" spans="1:8" hidden="1" x14ac:dyDescent="0.25">
      <c r="A132" s="185" t="s">
        <v>721</v>
      </c>
      <c r="B132" s="186" t="s">
        <v>331</v>
      </c>
      <c r="C132" s="187">
        <v>11</v>
      </c>
      <c r="D132" s="71">
        <v>18704.888899999998</v>
      </c>
      <c r="E132" s="71">
        <v>1495.1111000000001</v>
      </c>
      <c r="F132" s="71">
        <v>20200</v>
      </c>
      <c r="G132" s="188" t="e">
        <f>+Tabla77[[#This Row],[Suma de Neto]]/Tabla77[[#Totals],[Suma de Neto]]</f>
        <v>#REF!</v>
      </c>
      <c r="H132" s="189" t="e">
        <f>+Tabla77[[#This Row],[Suma de Uds.V]]/Tabla77[[#Totals],[Suma de Uds.V]]</f>
        <v>#REF!</v>
      </c>
    </row>
    <row r="133" spans="1:8" hidden="1" x14ac:dyDescent="0.25">
      <c r="A133" s="185" t="s">
        <v>333</v>
      </c>
      <c r="B133" s="186" t="s">
        <v>145</v>
      </c>
      <c r="C133" s="187">
        <v>120</v>
      </c>
      <c r="D133" s="71">
        <v>4433333.7754999967</v>
      </c>
      <c r="E133" s="71">
        <v>354666.2244999996</v>
      </c>
      <c r="F133" s="71">
        <v>4788000</v>
      </c>
      <c r="G133" s="188" t="e">
        <f>+Tabla77[[#This Row],[Suma de Neto]]/Tabla77[[#Totals],[Suma de Neto]]</f>
        <v>#REF!</v>
      </c>
      <c r="H133" s="189" t="e">
        <f>+Tabla77[[#This Row],[Suma de Uds.V]]/Tabla77[[#Totals],[Suma de Uds.V]]</f>
        <v>#REF!</v>
      </c>
    </row>
    <row r="134" spans="1:8" hidden="1" x14ac:dyDescent="0.25">
      <c r="A134" s="185" t="s">
        <v>863</v>
      </c>
      <c r="B134" s="186" t="s">
        <v>793</v>
      </c>
      <c r="C134" s="187">
        <v>693</v>
      </c>
      <c r="D134" s="71">
        <v>1859187.8574999953</v>
      </c>
      <c r="E134" s="71">
        <v>148772.14249999946</v>
      </c>
      <c r="F134" s="71">
        <v>2007960</v>
      </c>
      <c r="G134" s="188" t="e">
        <f>+Tabla77[[#This Row],[Suma de Neto]]/Tabla77[[#Totals],[Suma de Neto]]</f>
        <v>#REF!</v>
      </c>
      <c r="H134" s="189" t="e">
        <f>+Tabla77[[#This Row],[Suma de Uds.V]]/Tabla77[[#Totals],[Suma de Uds.V]]</f>
        <v>#REF!</v>
      </c>
    </row>
    <row r="135" spans="1:8" hidden="1" x14ac:dyDescent="0.25">
      <c r="A135" s="185" t="s">
        <v>196</v>
      </c>
      <c r="B135" s="186" t="s">
        <v>860</v>
      </c>
      <c r="C135" s="187">
        <v>423</v>
      </c>
      <c r="D135" s="71">
        <v>5675143.5168000143</v>
      </c>
      <c r="E135" s="71">
        <v>454006.48320000176</v>
      </c>
      <c r="F135" s="71">
        <v>6129150</v>
      </c>
      <c r="G135" s="188" t="e">
        <f>+Tabla77[[#This Row],[Suma de Neto]]/Tabla77[[#Totals],[Suma de Neto]]</f>
        <v>#REF!</v>
      </c>
      <c r="H135" s="189" t="e">
        <f>+Tabla77[[#This Row],[Suma de Uds.V]]/Tabla77[[#Totals],[Suma de Uds.V]]</f>
        <v>#REF!</v>
      </c>
    </row>
    <row r="136" spans="1:8" hidden="1" x14ac:dyDescent="0.25">
      <c r="A136" s="185" t="s">
        <v>195</v>
      </c>
      <c r="B136" s="186" t="s">
        <v>860</v>
      </c>
      <c r="C136" s="187">
        <v>273</v>
      </c>
      <c r="D136" s="71">
        <v>2749247.1122000059</v>
      </c>
      <c r="E136" s="71">
        <v>219912.88779999968</v>
      </c>
      <c r="F136" s="71">
        <v>2969160</v>
      </c>
      <c r="G136" s="188" t="e">
        <f>+Tabla77[[#This Row],[Suma de Neto]]/Tabla77[[#Totals],[Suma de Neto]]</f>
        <v>#REF!</v>
      </c>
      <c r="H136" s="189" t="e">
        <f>+Tabla77[[#This Row],[Suma de Uds.V]]/Tabla77[[#Totals],[Suma de Uds.V]]</f>
        <v>#REF!</v>
      </c>
    </row>
    <row r="137" spans="1:8" hidden="1" x14ac:dyDescent="0.25">
      <c r="A137" s="185" t="s">
        <v>194</v>
      </c>
      <c r="B137" s="186" t="s">
        <v>860</v>
      </c>
      <c r="C137" s="187">
        <v>380</v>
      </c>
      <c r="D137" s="71">
        <v>3829166.5202000081</v>
      </c>
      <c r="E137" s="71">
        <v>306293.47980000055</v>
      </c>
      <c r="F137" s="71">
        <v>4135460</v>
      </c>
      <c r="G137" s="188" t="e">
        <f>+Tabla77[[#This Row],[Suma de Neto]]/Tabla77[[#Totals],[Suma de Neto]]</f>
        <v>#REF!</v>
      </c>
      <c r="H137" s="189" t="e">
        <f>+Tabla77[[#This Row],[Suma de Uds.V]]/Tabla77[[#Totals],[Suma de Uds.V]]</f>
        <v>#REF!</v>
      </c>
    </row>
    <row r="138" spans="1:8" hidden="1" x14ac:dyDescent="0.25">
      <c r="A138" s="185" t="s">
        <v>128</v>
      </c>
      <c r="B138" s="186" t="s">
        <v>148</v>
      </c>
      <c r="C138" s="187">
        <v>381</v>
      </c>
      <c r="D138" s="71">
        <v>21131386.858599957</v>
      </c>
      <c r="E138" s="71">
        <v>1690513.1414000017</v>
      </c>
      <c r="F138" s="71">
        <v>22821900</v>
      </c>
      <c r="G138" s="188" t="e">
        <f>+Tabla77[[#This Row],[Suma de Neto]]/Tabla77[[#Totals],[Suma de Neto]]</f>
        <v>#REF!</v>
      </c>
      <c r="H138" s="189" t="e">
        <f>+Tabla77[[#This Row],[Suma de Uds.V]]/Tabla77[[#Totals],[Suma de Uds.V]]</f>
        <v>#REF!</v>
      </c>
    </row>
    <row r="139" spans="1:8" hidden="1" x14ac:dyDescent="0.25">
      <c r="A139" s="185" t="s">
        <v>129</v>
      </c>
      <c r="B139" s="186" t="s">
        <v>148</v>
      </c>
      <c r="C139" s="187">
        <v>283</v>
      </c>
      <c r="D139" s="71">
        <v>16738273.338099992</v>
      </c>
      <c r="E139" s="71">
        <v>1339036.6619000048</v>
      </c>
      <c r="F139" s="71">
        <v>18077310</v>
      </c>
      <c r="G139" s="188" t="e">
        <f>+Tabla77[[#This Row],[Suma de Neto]]/Tabla77[[#Totals],[Suma de Neto]]</f>
        <v>#REF!</v>
      </c>
      <c r="H139" s="189" t="e">
        <f>+Tabla77[[#This Row],[Suma de Uds.V]]/Tabla77[[#Totals],[Suma de Uds.V]]</f>
        <v>#REF!</v>
      </c>
    </row>
    <row r="140" spans="1:8" hidden="1" x14ac:dyDescent="0.25">
      <c r="A140" s="185" t="s">
        <v>127</v>
      </c>
      <c r="B140" s="186" t="s">
        <v>148</v>
      </c>
      <c r="C140" s="187">
        <v>1190</v>
      </c>
      <c r="D140" s="71">
        <v>64425918.353699595</v>
      </c>
      <c r="E140" s="71">
        <v>5153981.6463000271</v>
      </c>
      <c r="F140" s="71">
        <v>69579900</v>
      </c>
      <c r="G140" s="188" t="e">
        <f>+Tabla77[[#This Row],[Suma de Neto]]/Tabla77[[#Totals],[Suma de Neto]]</f>
        <v>#REF!</v>
      </c>
      <c r="H140" s="189" t="e">
        <f>+Tabla77[[#This Row],[Suma de Uds.V]]/Tabla77[[#Totals],[Suma de Uds.V]]</f>
        <v>#REF!</v>
      </c>
    </row>
    <row r="141" spans="1:8" hidden="1" x14ac:dyDescent="0.25">
      <c r="A141" s="185" t="s">
        <v>722</v>
      </c>
      <c r="B141" s="186" t="s">
        <v>331</v>
      </c>
      <c r="C141" s="187">
        <v>9</v>
      </c>
      <c r="D141" s="71">
        <v>40833.296100000007</v>
      </c>
      <c r="E141" s="71">
        <v>3266.7039</v>
      </c>
      <c r="F141" s="71">
        <v>44100</v>
      </c>
      <c r="G141" s="188" t="e">
        <f>+Tabla77[[#This Row],[Suma de Neto]]/Tabla77[[#Totals],[Suma de Neto]]</f>
        <v>#REF!</v>
      </c>
      <c r="H141" s="189" t="e">
        <f>+Tabla77[[#This Row],[Suma de Uds.V]]/Tabla77[[#Totals],[Suma de Uds.V]]</f>
        <v>#REF!</v>
      </c>
    </row>
    <row r="142" spans="1:8" hidden="1" x14ac:dyDescent="0.25">
      <c r="A142" s="185" t="s">
        <v>176</v>
      </c>
      <c r="B142" s="186" t="s">
        <v>788</v>
      </c>
      <c r="C142" s="187">
        <v>109</v>
      </c>
      <c r="D142" s="71">
        <v>3431478.1859000036</v>
      </c>
      <c r="E142" s="71">
        <v>274521.81410000019</v>
      </c>
      <c r="F142" s="71">
        <v>3706000</v>
      </c>
      <c r="G142" s="188" t="e">
        <f>+Tabla77[[#This Row],[Suma de Neto]]/Tabla77[[#Totals],[Suma de Neto]]</f>
        <v>#REF!</v>
      </c>
      <c r="H142" s="189" t="e">
        <f>+Tabla77[[#This Row],[Suma de Uds.V]]/Tabla77[[#Totals],[Suma de Uds.V]]</f>
        <v>#REF!</v>
      </c>
    </row>
    <row r="143" spans="1:8" hidden="1" x14ac:dyDescent="0.25">
      <c r="A143" s="185" t="s">
        <v>864</v>
      </c>
      <c r="B143" s="186" t="s">
        <v>818</v>
      </c>
      <c r="C143" s="187">
        <v>1</v>
      </c>
      <c r="D143" s="71">
        <v>252777</v>
      </c>
      <c r="E143" s="71">
        <v>20223</v>
      </c>
      <c r="F143" s="71">
        <v>273000</v>
      </c>
      <c r="G143" s="188" t="e">
        <f>+Tabla77[[#This Row],[Suma de Neto]]/Tabla77[[#Totals],[Suma de Neto]]</f>
        <v>#REF!</v>
      </c>
      <c r="H143" s="189" t="e">
        <f>+Tabla77[[#This Row],[Suma de Uds.V]]/Tabla77[[#Totals],[Suma de Uds.V]]</f>
        <v>#REF!</v>
      </c>
    </row>
    <row r="144" spans="1:8" hidden="1" x14ac:dyDescent="0.25">
      <c r="A144" s="185" t="s">
        <v>180</v>
      </c>
      <c r="B144" s="186" t="s">
        <v>788</v>
      </c>
      <c r="C144" s="187">
        <v>166</v>
      </c>
      <c r="D144" s="71">
        <v>5072242.0014999984</v>
      </c>
      <c r="E144" s="71">
        <v>405757.99849999958</v>
      </c>
      <c r="F144" s="71">
        <v>5478000</v>
      </c>
      <c r="G144" s="188" t="e">
        <f>+Tabla77[[#This Row],[Suma de Neto]]/Tabla77[[#Totals],[Suma de Neto]]</f>
        <v>#REF!</v>
      </c>
      <c r="H144" s="189" t="e">
        <f>+Tabla77[[#This Row],[Suma de Uds.V]]/Tabla77[[#Totals],[Suma de Uds.V]]</f>
        <v>#REF!</v>
      </c>
    </row>
    <row r="145" spans="1:8" hidden="1" x14ac:dyDescent="0.25">
      <c r="A145" s="185" t="s">
        <v>865</v>
      </c>
      <c r="B145" s="186" t="s">
        <v>788</v>
      </c>
      <c r="C145" s="187">
        <v>25</v>
      </c>
      <c r="D145" s="71">
        <v>1641203.3702000005</v>
      </c>
      <c r="E145" s="71">
        <v>131296.62979999997</v>
      </c>
      <c r="F145" s="71">
        <v>1772500</v>
      </c>
      <c r="G145" s="188" t="e">
        <f>+Tabla77[[#This Row],[Suma de Neto]]/Tabla77[[#Totals],[Suma de Neto]]</f>
        <v>#REF!</v>
      </c>
      <c r="H145" s="189" t="e">
        <f>+Tabla77[[#This Row],[Suma de Uds.V]]/Tabla77[[#Totals],[Suma de Uds.V]]</f>
        <v>#REF!</v>
      </c>
    </row>
    <row r="146" spans="1:8" hidden="1" x14ac:dyDescent="0.25">
      <c r="A146" s="185" t="s">
        <v>219</v>
      </c>
      <c r="B146" s="186" t="s">
        <v>788</v>
      </c>
      <c r="C146" s="187">
        <v>155</v>
      </c>
      <c r="D146" s="71">
        <v>5310184.7419000007</v>
      </c>
      <c r="E146" s="71">
        <v>424815.25810000033</v>
      </c>
      <c r="F146" s="71">
        <v>5735000</v>
      </c>
      <c r="G146" s="188" t="e">
        <f>+Tabla77[[#This Row],[Suma de Neto]]/Tabla77[[#Totals],[Suma de Neto]]</f>
        <v>#REF!</v>
      </c>
      <c r="H146" s="189" t="e">
        <f>+Tabla77[[#This Row],[Suma de Uds.V]]/Tabla77[[#Totals],[Suma de Uds.V]]</f>
        <v>#REF!</v>
      </c>
    </row>
    <row r="147" spans="1:8" hidden="1" x14ac:dyDescent="0.25">
      <c r="A147" s="185" t="s">
        <v>723</v>
      </c>
      <c r="B147" s="186" t="s">
        <v>331</v>
      </c>
      <c r="C147" s="187">
        <v>15</v>
      </c>
      <c r="D147" s="71">
        <v>40277.222300000001</v>
      </c>
      <c r="E147" s="71">
        <v>3222.7777000000006</v>
      </c>
      <c r="F147" s="71">
        <v>43500</v>
      </c>
      <c r="G147" s="188" t="e">
        <f>+Tabla77[[#This Row],[Suma de Neto]]/Tabla77[[#Totals],[Suma de Neto]]</f>
        <v>#REF!</v>
      </c>
      <c r="H147" s="189" t="e">
        <f>+Tabla77[[#This Row],[Suma de Uds.V]]/Tabla77[[#Totals],[Suma de Uds.V]]</f>
        <v>#REF!</v>
      </c>
    </row>
    <row r="148" spans="1:8" hidden="1" x14ac:dyDescent="0.25">
      <c r="A148" s="185" t="s">
        <v>866</v>
      </c>
      <c r="B148" s="186" t="s">
        <v>287</v>
      </c>
      <c r="C148" s="187">
        <v>6</v>
      </c>
      <c r="D148" s="71">
        <v>444444.22229999996</v>
      </c>
      <c r="E148" s="71">
        <v>35555.777700000006</v>
      </c>
      <c r="F148" s="71">
        <v>480000</v>
      </c>
      <c r="G148" s="188" t="e">
        <f>+Tabla77[[#This Row],[Suma de Neto]]/Tabla77[[#Totals],[Suma de Neto]]</f>
        <v>#REF!</v>
      </c>
      <c r="H148" s="189" t="e">
        <f>+Tabla77[[#This Row],[Suma de Uds.V]]/Tabla77[[#Totals],[Suma de Uds.V]]</f>
        <v>#REF!</v>
      </c>
    </row>
    <row r="149" spans="1:8" hidden="1" x14ac:dyDescent="0.25">
      <c r="A149" s="185" t="s">
        <v>867</v>
      </c>
      <c r="B149" s="186" t="s">
        <v>287</v>
      </c>
      <c r="C149" s="187">
        <v>2</v>
      </c>
      <c r="D149" s="71">
        <v>148148.0741</v>
      </c>
      <c r="E149" s="71">
        <v>11851.9259</v>
      </c>
      <c r="F149" s="71">
        <v>160000</v>
      </c>
      <c r="G149" s="188" t="e">
        <f>+Tabla77[[#This Row],[Suma de Neto]]/Tabla77[[#Totals],[Suma de Neto]]</f>
        <v>#REF!</v>
      </c>
      <c r="H149" s="189" t="e">
        <f>+Tabla77[[#This Row],[Suma de Uds.V]]/Tabla77[[#Totals],[Suma de Uds.V]]</f>
        <v>#REF!</v>
      </c>
    </row>
    <row r="150" spans="1:8" hidden="1" x14ac:dyDescent="0.25">
      <c r="A150" s="185" t="s">
        <v>868</v>
      </c>
      <c r="B150" s="186" t="s">
        <v>288</v>
      </c>
      <c r="C150" s="187">
        <v>2</v>
      </c>
      <c r="D150" s="71">
        <v>250000</v>
      </c>
      <c r="E150" s="71">
        <v>20000</v>
      </c>
      <c r="F150" s="71">
        <v>270000</v>
      </c>
      <c r="G150" s="188" t="e">
        <f>+Tabla77[[#This Row],[Suma de Neto]]/Tabla77[[#Totals],[Suma de Neto]]</f>
        <v>#REF!</v>
      </c>
      <c r="H150" s="189" t="e">
        <f>+Tabla77[[#This Row],[Suma de Uds.V]]/Tabla77[[#Totals],[Suma de Uds.V]]</f>
        <v>#REF!</v>
      </c>
    </row>
    <row r="151" spans="1:8" hidden="1" x14ac:dyDescent="0.25">
      <c r="A151" s="185" t="s">
        <v>869</v>
      </c>
      <c r="B151" s="186" t="s">
        <v>814</v>
      </c>
      <c r="C151" s="187">
        <v>1</v>
      </c>
      <c r="D151" s="71">
        <v>268519</v>
      </c>
      <c r="E151" s="71">
        <v>21481</v>
      </c>
      <c r="F151" s="71">
        <v>290000</v>
      </c>
      <c r="G151" s="188" t="e">
        <f>+Tabla77[[#This Row],[Suma de Neto]]/Tabla77[[#Totals],[Suma de Neto]]</f>
        <v>#REF!</v>
      </c>
      <c r="H151" s="189" t="e">
        <f>+Tabla77[[#This Row],[Suma de Uds.V]]/Tabla77[[#Totals],[Suma de Uds.V]]</f>
        <v>#REF!</v>
      </c>
    </row>
    <row r="152" spans="1:8" hidden="1" x14ac:dyDescent="0.25">
      <c r="A152" s="185" t="s">
        <v>278</v>
      </c>
      <c r="B152" s="186" t="s">
        <v>818</v>
      </c>
      <c r="C152" s="187">
        <v>4</v>
      </c>
      <c r="D152" s="71">
        <v>700000</v>
      </c>
      <c r="E152" s="71">
        <v>56000</v>
      </c>
      <c r="F152" s="71">
        <v>756000</v>
      </c>
      <c r="G152" s="188" t="e">
        <f>+Tabla77[[#This Row],[Suma de Neto]]/Tabla77[[#Totals],[Suma de Neto]]</f>
        <v>#REF!</v>
      </c>
      <c r="H152" s="189" t="e">
        <f>+Tabla77[[#This Row],[Suma de Uds.V]]/Tabla77[[#Totals],[Suma de Uds.V]]</f>
        <v>#REF!</v>
      </c>
    </row>
    <row r="153" spans="1:8" hidden="1" x14ac:dyDescent="0.25">
      <c r="A153" s="185" t="s">
        <v>870</v>
      </c>
      <c r="B153" s="186" t="s">
        <v>211</v>
      </c>
      <c r="C153" s="187">
        <v>26</v>
      </c>
      <c r="D153" s="71">
        <v>499719.11060000001</v>
      </c>
      <c r="E153" s="71">
        <v>39980.8894</v>
      </c>
      <c r="F153" s="71">
        <v>539700</v>
      </c>
      <c r="G153" s="188" t="e">
        <f>+Tabla77[[#This Row],[Suma de Neto]]/Tabla77[[#Totals],[Suma de Neto]]</f>
        <v>#REF!</v>
      </c>
      <c r="H153" s="189" t="e">
        <f>+Tabla77[[#This Row],[Suma de Uds.V]]/Tabla77[[#Totals],[Suma de Uds.V]]</f>
        <v>#REF!</v>
      </c>
    </row>
    <row r="154" spans="1:8" hidden="1" x14ac:dyDescent="0.25">
      <c r="A154" s="185" t="s">
        <v>871</v>
      </c>
      <c r="B154" s="186" t="s">
        <v>211</v>
      </c>
      <c r="C154" s="187">
        <v>21</v>
      </c>
      <c r="D154" s="71">
        <v>408329.7773999999</v>
      </c>
      <c r="E154" s="71">
        <v>32670.222600000001</v>
      </c>
      <c r="F154" s="71">
        <v>441000</v>
      </c>
      <c r="G154" s="188" t="e">
        <f>+Tabla77[[#This Row],[Suma de Neto]]/Tabla77[[#Totals],[Suma de Neto]]</f>
        <v>#REF!</v>
      </c>
      <c r="H154" s="189" t="e">
        <f>+Tabla77[[#This Row],[Suma de Uds.V]]/Tabla77[[#Totals],[Suma de Uds.V]]</f>
        <v>#REF!</v>
      </c>
    </row>
    <row r="155" spans="1:8" hidden="1" x14ac:dyDescent="0.25">
      <c r="A155" s="185" t="s">
        <v>872</v>
      </c>
      <c r="B155" s="186" t="s">
        <v>211</v>
      </c>
      <c r="C155" s="187">
        <v>7</v>
      </c>
      <c r="D155" s="71">
        <v>136108.7776</v>
      </c>
      <c r="E155" s="71">
        <v>10891.222399999999</v>
      </c>
      <c r="F155" s="71">
        <v>147000</v>
      </c>
      <c r="G155" s="188" t="e">
        <f>+Tabla77[[#This Row],[Suma de Neto]]/Tabla77[[#Totals],[Suma de Neto]]</f>
        <v>#REF!</v>
      </c>
      <c r="H155" s="189" t="e">
        <f>+Tabla77[[#This Row],[Suma de Uds.V]]/Tabla77[[#Totals],[Suma de Uds.V]]</f>
        <v>#REF!</v>
      </c>
    </row>
    <row r="156" spans="1:8" hidden="1" x14ac:dyDescent="0.25">
      <c r="A156" s="185" t="s">
        <v>873</v>
      </c>
      <c r="B156" s="186" t="s">
        <v>211</v>
      </c>
      <c r="C156" s="187">
        <v>42</v>
      </c>
      <c r="D156" s="71">
        <v>758330.55489999999</v>
      </c>
      <c r="E156" s="71">
        <v>60669.445099999983</v>
      </c>
      <c r="F156" s="71">
        <v>819000</v>
      </c>
      <c r="G156" s="188" t="e">
        <f>+Tabla77[[#This Row],[Suma de Neto]]/Tabla77[[#Totals],[Suma de Neto]]</f>
        <v>#REF!</v>
      </c>
      <c r="H156" s="189" t="e">
        <f>+Tabla77[[#This Row],[Suma de Uds.V]]/Tabla77[[#Totals],[Suma de Uds.V]]</f>
        <v>#REF!</v>
      </c>
    </row>
    <row r="157" spans="1:8" hidden="1" x14ac:dyDescent="0.25">
      <c r="A157" s="185" t="s">
        <v>706</v>
      </c>
      <c r="B157" s="186" t="s">
        <v>788</v>
      </c>
      <c r="C157" s="187">
        <v>58</v>
      </c>
      <c r="D157" s="71">
        <v>2577775.3323999993</v>
      </c>
      <c r="E157" s="71">
        <v>206224.66759999996</v>
      </c>
      <c r="F157" s="71">
        <v>2784000</v>
      </c>
      <c r="G157" s="188" t="e">
        <f>+Tabla77[[#This Row],[Suma de Neto]]/Tabla77[[#Totals],[Suma de Neto]]</f>
        <v>#REF!</v>
      </c>
      <c r="H157" s="189" t="e">
        <f>+Tabla77[[#This Row],[Suma de Uds.V]]/Tabla77[[#Totals],[Suma de Uds.V]]</f>
        <v>#REF!</v>
      </c>
    </row>
    <row r="158" spans="1:8" hidden="1" x14ac:dyDescent="0.25">
      <c r="A158" s="185" t="s">
        <v>747</v>
      </c>
      <c r="B158" s="186" t="s">
        <v>822</v>
      </c>
      <c r="C158" s="187">
        <v>1</v>
      </c>
      <c r="D158" s="71">
        <v>166667</v>
      </c>
      <c r="E158" s="71">
        <v>13333</v>
      </c>
      <c r="F158" s="71">
        <v>180000</v>
      </c>
      <c r="G158" s="188" t="e">
        <f>+Tabla77[[#This Row],[Suma de Neto]]/Tabla77[[#Totals],[Suma de Neto]]</f>
        <v>#REF!</v>
      </c>
      <c r="H158" s="189" t="e">
        <f>+Tabla77[[#This Row],[Suma de Uds.V]]/Tabla77[[#Totals],[Suma de Uds.V]]</f>
        <v>#REF!</v>
      </c>
    </row>
    <row r="159" spans="1:8" hidden="1" x14ac:dyDescent="0.25">
      <c r="A159" s="185" t="s">
        <v>749</v>
      </c>
      <c r="B159" s="186" t="s">
        <v>822</v>
      </c>
      <c r="C159" s="187">
        <v>5</v>
      </c>
      <c r="D159" s="71">
        <v>300925.74080000003</v>
      </c>
      <c r="E159" s="71">
        <v>24074.2592</v>
      </c>
      <c r="F159" s="71">
        <v>325000</v>
      </c>
      <c r="G159" s="188" t="e">
        <f>+Tabla77[[#This Row],[Suma de Neto]]/Tabla77[[#Totals],[Suma de Neto]]</f>
        <v>#REF!</v>
      </c>
      <c r="H159" s="189" t="e">
        <f>+Tabla77[[#This Row],[Suma de Uds.V]]/Tabla77[[#Totals],[Suma de Uds.V]]</f>
        <v>#REF!</v>
      </c>
    </row>
    <row r="160" spans="1:8" hidden="1" x14ac:dyDescent="0.25">
      <c r="A160" s="185" t="s">
        <v>143</v>
      </c>
      <c r="B160" s="186" t="s">
        <v>145</v>
      </c>
      <c r="C160" s="187">
        <v>360</v>
      </c>
      <c r="D160" s="71">
        <v>15633338.4768999</v>
      </c>
      <c r="E160" s="71">
        <v>1250661.523100002</v>
      </c>
      <c r="F160" s="71">
        <v>16884000</v>
      </c>
      <c r="G160" s="188" t="e">
        <f>+Tabla77[[#This Row],[Suma de Neto]]/Tabla77[[#Totals],[Suma de Neto]]</f>
        <v>#REF!</v>
      </c>
      <c r="H160" s="189" t="e">
        <f>+Tabla77[[#This Row],[Suma de Uds.V]]/Tabla77[[#Totals],[Suma de Uds.V]]</f>
        <v>#REF!</v>
      </c>
    </row>
    <row r="161" spans="1:8" hidden="1" x14ac:dyDescent="0.25">
      <c r="A161" s="185" t="s">
        <v>186</v>
      </c>
      <c r="B161" s="186" t="s">
        <v>788</v>
      </c>
      <c r="C161" s="187">
        <v>97</v>
      </c>
      <c r="D161" s="71">
        <v>3134544.1845999984</v>
      </c>
      <c r="E161" s="71">
        <v>250755.8154000002</v>
      </c>
      <c r="F161" s="71">
        <v>3385300</v>
      </c>
      <c r="G161" s="188" t="e">
        <f>+Tabla77[[#This Row],[Suma de Neto]]/Tabla77[[#Totals],[Suma de Neto]]</f>
        <v>#REF!</v>
      </c>
      <c r="H161" s="189" t="e">
        <f>+Tabla77[[#This Row],[Suma de Uds.V]]/Tabla77[[#Totals],[Suma de Uds.V]]</f>
        <v>#REF!</v>
      </c>
    </row>
    <row r="162" spans="1:8" hidden="1" x14ac:dyDescent="0.25">
      <c r="A162" s="185" t="s">
        <v>874</v>
      </c>
      <c r="B162" s="186" t="s">
        <v>788</v>
      </c>
      <c r="C162" s="187">
        <v>21</v>
      </c>
      <c r="D162" s="71">
        <v>865278.07399999991</v>
      </c>
      <c r="E162" s="71">
        <v>69221.926000000007</v>
      </c>
      <c r="F162" s="71">
        <v>934500</v>
      </c>
      <c r="G162" s="188" t="e">
        <f>+Tabla77[[#This Row],[Suma de Neto]]/Tabla77[[#Totals],[Suma de Neto]]</f>
        <v>#REF!</v>
      </c>
      <c r="H162" s="189" t="e">
        <f>+Tabla77[[#This Row],[Suma de Uds.V]]/Tabla77[[#Totals],[Suma de Uds.V]]</f>
        <v>#REF!</v>
      </c>
    </row>
    <row r="163" spans="1:8" hidden="1" x14ac:dyDescent="0.25">
      <c r="A163" s="185" t="s">
        <v>257</v>
      </c>
      <c r="B163" s="186" t="s">
        <v>788</v>
      </c>
      <c r="C163" s="187">
        <v>66</v>
      </c>
      <c r="D163" s="71">
        <v>2230553.2964000008</v>
      </c>
      <c r="E163" s="71">
        <v>178446.70360000018</v>
      </c>
      <c r="F163" s="71">
        <v>2409000</v>
      </c>
      <c r="G163" s="188" t="e">
        <f>+Tabla77[[#This Row],[Suma de Neto]]/Tabla77[[#Totals],[Suma de Neto]]</f>
        <v>#REF!</v>
      </c>
      <c r="H163" s="189" t="e">
        <f>+Tabla77[[#This Row],[Suma de Uds.V]]/Tabla77[[#Totals],[Suma de Uds.V]]</f>
        <v>#REF!</v>
      </c>
    </row>
    <row r="164" spans="1:8" hidden="1" x14ac:dyDescent="0.25">
      <c r="A164" s="185" t="s">
        <v>875</v>
      </c>
      <c r="B164" s="186" t="s">
        <v>788</v>
      </c>
      <c r="C164" s="187">
        <v>102</v>
      </c>
      <c r="D164" s="71">
        <v>3447214.6669000019</v>
      </c>
      <c r="E164" s="71">
        <v>275785.33310000028</v>
      </c>
      <c r="F164" s="71">
        <v>3723000</v>
      </c>
      <c r="G164" s="188" t="e">
        <f>+Tabla77[[#This Row],[Suma de Neto]]/Tabla77[[#Totals],[Suma de Neto]]</f>
        <v>#REF!</v>
      </c>
      <c r="H164" s="189" t="e">
        <f>+Tabla77[[#This Row],[Suma de Uds.V]]/Tabla77[[#Totals],[Suma de Uds.V]]</f>
        <v>#REF!</v>
      </c>
    </row>
    <row r="165" spans="1:8" hidden="1" x14ac:dyDescent="0.25">
      <c r="A165" s="185" t="s">
        <v>876</v>
      </c>
      <c r="B165" s="186" t="s">
        <v>822</v>
      </c>
      <c r="C165" s="187">
        <v>1</v>
      </c>
      <c r="D165" s="71">
        <v>166667</v>
      </c>
      <c r="E165" s="71">
        <v>13333</v>
      </c>
      <c r="F165" s="71">
        <v>180000</v>
      </c>
      <c r="G165" s="188" t="e">
        <f>+Tabla77[[#This Row],[Suma de Neto]]/Tabla77[[#Totals],[Suma de Neto]]</f>
        <v>#REF!</v>
      </c>
      <c r="H165" s="189" t="e">
        <f>+Tabla77[[#This Row],[Suma de Uds.V]]/Tabla77[[#Totals],[Suma de Uds.V]]</f>
        <v>#REF!</v>
      </c>
    </row>
    <row r="166" spans="1:8" hidden="1" x14ac:dyDescent="0.25">
      <c r="A166" s="185" t="s">
        <v>172</v>
      </c>
      <c r="B166" s="186" t="s">
        <v>788</v>
      </c>
      <c r="C166" s="187">
        <v>48</v>
      </c>
      <c r="D166" s="71">
        <v>1773333.4438999994</v>
      </c>
      <c r="E166" s="71">
        <v>141866.55610000002</v>
      </c>
      <c r="F166" s="71">
        <v>1915200</v>
      </c>
      <c r="G166" s="188" t="e">
        <f>+Tabla77[[#This Row],[Suma de Neto]]/Tabla77[[#Totals],[Suma de Neto]]</f>
        <v>#REF!</v>
      </c>
      <c r="H166" s="189" t="e">
        <f>+Tabla77[[#This Row],[Suma de Uds.V]]/Tabla77[[#Totals],[Suma de Uds.V]]</f>
        <v>#REF!</v>
      </c>
    </row>
    <row r="167" spans="1:8" hidden="1" x14ac:dyDescent="0.25">
      <c r="A167" s="185" t="s">
        <v>175</v>
      </c>
      <c r="B167" s="186" t="s">
        <v>788</v>
      </c>
      <c r="C167" s="187">
        <v>74</v>
      </c>
      <c r="D167" s="71">
        <v>2637962.2955999998</v>
      </c>
      <c r="E167" s="71">
        <v>211037.70440000016</v>
      </c>
      <c r="F167" s="71">
        <v>2849000</v>
      </c>
      <c r="G167" s="188" t="e">
        <f>+Tabla77[[#This Row],[Suma de Neto]]/Tabla77[[#Totals],[Suma de Neto]]</f>
        <v>#REF!</v>
      </c>
      <c r="H167" s="189" t="e">
        <f>+Tabla77[[#This Row],[Suma de Uds.V]]/Tabla77[[#Totals],[Suma de Uds.V]]</f>
        <v>#REF!</v>
      </c>
    </row>
    <row r="168" spans="1:8" hidden="1" x14ac:dyDescent="0.25">
      <c r="A168" s="185" t="s">
        <v>761</v>
      </c>
      <c r="B168" s="186" t="s">
        <v>790</v>
      </c>
      <c r="C168" s="187">
        <v>5</v>
      </c>
      <c r="D168" s="71">
        <v>1041666.6666000001</v>
      </c>
      <c r="E168" s="71">
        <v>83333.333400000003</v>
      </c>
      <c r="F168" s="71">
        <v>1125000</v>
      </c>
      <c r="G168" s="188" t="e">
        <f>+Tabla77[[#This Row],[Suma de Neto]]/Tabla77[[#Totals],[Suma de Neto]]</f>
        <v>#REF!</v>
      </c>
      <c r="H168" s="189" t="e">
        <f>+Tabla77[[#This Row],[Suma de Uds.V]]/Tabla77[[#Totals],[Suma de Uds.V]]</f>
        <v>#REF!</v>
      </c>
    </row>
    <row r="169" spans="1:8" hidden="1" x14ac:dyDescent="0.25">
      <c r="A169" s="185" t="s">
        <v>877</v>
      </c>
      <c r="B169" s="186" t="s">
        <v>836</v>
      </c>
      <c r="C169" s="187">
        <v>1</v>
      </c>
      <c r="D169" s="71">
        <v>925925.92590000003</v>
      </c>
      <c r="E169" s="71">
        <v>74074.074099999998</v>
      </c>
      <c r="F169" s="71">
        <v>1000000</v>
      </c>
      <c r="G169" s="188" t="e">
        <f>+Tabla77[[#This Row],[Suma de Neto]]/Tabla77[[#Totals],[Suma de Neto]]</f>
        <v>#REF!</v>
      </c>
      <c r="H169" s="189" t="e">
        <f>+Tabla77[[#This Row],[Suma de Uds.V]]/Tabla77[[#Totals],[Suma de Uds.V]]</f>
        <v>#REF!</v>
      </c>
    </row>
    <row r="170" spans="1:8" hidden="1" x14ac:dyDescent="0.25">
      <c r="A170" s="185" t="s">
        <v>878</v>
      </c>
      <c r="B170" s="186" t="s">
        <v>836</v>
      </c>
      <c r="C170" s="187">
        <v>50</v>
      </c>
      <c r="D170" s="71">
        <v>3703701.5934999972</v>
      </c>
      <c r="E170" s="71">
        <v>296298.40649999992</v>
      </c>
      <c r="F170" s="71">
        <v>4000000</v>
      </c>
      <c r="G170" s="188" t="e">
        <f>+Tabla77[[#This Row],[Suma de Neto]]/Tabla77[[#Totals],[Suma de Neto]]</f>
        <v>#REF!</v>
      </c>
      <c r="H170" s="189" t="e">
        <f>+Tabla77[[#This Row],[Suma de Uds.V]]/Tabla77[[#Totals],[Suma de Uds.V]]</f>
        <v>#REF!</v>
      </c>
    </row>
    <row r="171" spans="1:8" hidden="1" x14ac:dyDescent="0.25">
      <c r="A171" s="185" t="s">
        <v>879</v>
      </c>
      <c r="B171" s="186" t="s">
        <v>286</v>
      </c>
      <c r="C171" s="187">
        <v>28</v>
      </c>
      <c r="D171" s="71">
        <v>1008524.2591</v>
      </c>
      <c r="E171" s="71">
        <v>80675.74089999999</v>
      </c>
      <c r="F171" s="71">
        <v>1089200</v>
      </c>
      <c r="G171" s="188" t="e">
        <f>+Tabla77[[#This Row],[Suma de Neto]]/Tabla77[[#Totals],[Suma de Neto]]</f>
        <v>#REF!</v>
      </c>
      <c r="H171" s="189" t="e">
        <f>+Tabla77[[#This Row],[Suma de Uds.V]]/Tabla77[[#Totals],[Suma de Uds.V]]</f>
        <v>#REF!</v>
      </c>
    </row>
    <row r="172" spans="1:8" hidden="1" x14ac:dyDescent="0.25">
      <c r="A172" s="185" t="s">
        <v>725</v>
      </c>
      <c r="B172" s="186" t="s">
        <v>331</v>
      </c>
      <c r="C172" s="187">
        <v>1164</v>
      </c>
      <c r="D172" s="71">
        <v>325179.88900000014</v>
      </c>
      <c r="E172" s="71">
        <v>26020.111000000001</v>
      </c>
      <c r="F172" s="71">
        <v>351200</v>
      </c>
      <c r="G172" s="188" t="e">
        <f>+Tabla77[[#This Row],[Suma de Neto]]/Tabla77[[#Totals],[Suma de Neto]]</f>
        <v>#REF!</v>
      </c>
      <c r="H172" s="189" t="e">
        <f>+Tabla77[[#This Row],[Suma de Uds.V]]/Tabla77[[#Totals],[Suma de Uds.V]]</f>
        <v>#REF!</v>
      </c>
    </row>
    <row r="173" spans="1:8" hidden="1" x14ac:dyDescent="0.25">
      <c r="A173" s="185" t="s">
        <v>880</v>
      </c>
      <c r="B173" s="186" t="s">
        <v>112</v>
      </c>
      <c r="C173" s="187">
        <v>7</v>
      </c>
      <c r="D173" s="71">
        <v>123148.14820000001</v>
      </c>
      <c r="E173" s="71">
        <v>9851.8518000000004</v>
      </c>
      <c r="F173" s="71">
        <v>133000</v>
      </c>
      <c r="G173" s="188" t="e">
        <f>+Tabla77[[#This Row],[Suma de Neto]]/Tabla77[[#Totals],[Suma de Neto]]</f>
        <v>#REF!</v>
      </c>
      <c r="H173" s="189" t="e">
        <f>+Tabla77[[#This Row],[Suma de Uds.V]]/Tabla77[[#Totals],[Suma de Uds.V]]</f>
        <v>#REF!</v>
      </c>
    </row>
    <row r="174" spans="1:8" hidden="1" x14ac:dyDescent="0.25">
      <c r="A174" s="185" t="s">
        <v>32</v>
      </c>
      <c r="B174" s="186" t="s">
        <v>331</v>
      </c>
      <c r="C174" s="187">
        <v>112</v>
      </c>
      <c r="D174" s="71">
        <v>125694.37030000001</v>
      </c>
      <c r="E174" s="71">
        <v>10055.629700000001</v>
      </c>
      <c r="F174" s="71">
        <v>135750</v>
      </c>
      <c r="G174" s="188" t="e">
        <f>+Tabla77[[#This Row],[Suma de Neto]]/Tabla77[[#Totals],[Suma de Neto]]</f>
        <v>#REF!</v>
      </c>
      <c r="H174" s="189" t="e">
        <f>+Tabla77[[#This Row],[Suma de Uds.V]]/Tabla77[[#Totals],[Suma de Uds.V]]</f>
        <v>#REF!</v>
      </c>
    </row>
    <row r="175" spans="1:8" hidden="1" x14ac:dyDescent="0.25">
      <c r="A175" s="185" t="s">
        <v>881</v>
      </c>
      <c r="B175" s="186" t="s">
        <v>331</v>
      </c>
      <c r="C175" s="187">
        <v>377</v>
      </c>
      <c r="D175" s="71">
        <v>0</v>
      </c>
      <c r="E175" s="71">
        <v>0</v>
      </c>
      <c r="F175" s="71">
        <v>0</v>
      </c>
      <c r="G175" s="188" t="e">
        <f>+Tabla77[[#This Row],[Suma de Neto]]/Tabla77[[#Totals],[Suma de Neto]]</f>
        <v>#REF!</v>
      </c>
      <c r="H175" s="189" t="e">
        <f>+Tabla77[[#This Row],[Suma de Uds.V]]/Tabla77[[#Totals],[Suma de Uds.V]]</f>
        <v>#REF!</v>
      </c>
    </row>
    <row r="176" spans="1:8" hidden="1" x14ac:dyDescent="0.25">
      <c r="A176" s="185" t="s">
        <v>882</v>
      </c>
      <c r="B176" s="186" t="s">
        <v>331</v>
      </c>
      <c r="C176" s="187">
        <v>2</v>
      </c>
      <c r="D176" s="71">
        <v>0</v>
      </c>
      <c r="E176" s="71">
        <v>0</v>
      </c>
      <c r="F176" s="71">
        <v>0</v>
      </c>
      <c r="G176" s="188" t="e">
        <f>+Tabla77[[#This Row],[Suma de Neto]]/Tabla77[[#Totals],[Suma de Neto]]</f>
        <v>#REF!</v>
      </c>
      <c r="H176" s="189" t="e">
        <f>+Tabla77[[#This Row],[Suma de Uds.V]]/Tabla77[[#Totals],[Suma de Uds.V]]</f>
        <v>#REF!</v>
      </c>
    </row>
    <row r="177" spans="1:8" hidden="1" x14ac:dyDescent="0.25">
      <c r="A177" s="185" t="s">
        <v>135</v>
      </c>
      <c r="B177" s="186" t="s">
        <v>146</v>
      </c>
      <c r="C177" s="187">
        <v>55</v>
      </c>
      <c r="D177" s="71">
        <v>3203243.887399999</v>
      </c>
      <c r="E177" s="71">
        <v>256256.11260000011</v>
      </c>
      <c r="F177" s="71">
        <v>3459500</v>
      </c>
      <c r="G177" s="188" t="e">
        <f>+Tabla77[[#This Row],[Suma de Neto]]/Tabla77[[#Totals],[Suma de Neto]]</f>
        <v>#REF!</v>
      </c>
      <c r="H177" s="189" t="e">
        <f>+Tabla77[[#This Row],[Suma de Uds.V]]/Tabla77[[#Totals],[Suma de Uds.V]]</f>
        <v>#REF!</v>
      </c>
    </row>
    <row r="178" spans="1:8" hidden="1" x14ac:dyDescent="0.25">
      <c r="A178" s="185" t="s">
        <v>779</v>
      </c>
      <c r="B178" s="186" t="s">
        <v>139</v>
      </c>
      <c r="C178" s="187">
        <v>16</v>
      </c>
      <c r="D178" s="71">
        <v>4429630.9633000009</v>
      </c>
      <c r="E178" s="71">
        <v>354369.03669999994</v>
      </c>
      <c r="F178" s="71">
        <v>4784000</v>
      </c>
      <c r="G178" s="188" t="e">
        <f>+Tabla77[[#This Row],[Suma de Neto]]/Tabla77[[#Totals],[Suma de Neto]]</f>
        <v>#REF!</v>
      </c>
      <c r="H178" s="189" t="e">
        <f>+Tabla77[[#This Row],[Suma de Uds.V]]/Tabla77[[#Totals],[Suma de Uds.V]]</f>
        <v>#REF!</v>
      </c>
    </row>
    <row r="179" spans="1:8" hidden="1" x14ac:dyDescent="0.25">
      <c r="A179" s="185" t="s">
        <v>883</v>
      </c>
      <c r="B179" s="186" t="s">
        <v>211</v>
      </c>
      <c r="C179" s="187">
        <v>1</v>
      </c>
      <c r="D179" s="71">
        <v>18519</v>
      </c>
      <c r="E179" s="71">
        <v>1481</v>
      </c>
      <c r="F179" s="71">
        <v>20000</v>
      </c>
      <c r="G179" s="188" t="e">
        <f>+Tabla77[[#This Row],[Suma de Neto]]/Tabla77[[#Totals],[Suma de Neto]]</f>
        <v>#REF!</v>
      </c>
      <c r="H179" s="189" t="e">
        <f>+Tabla77[[#This Row],[Suma de Uds.V]]/Tabla77[[#Totals],[Suma de Uds.V]]</f>
        <v>#REF!</v>
      </c>
    </row>
    <row r="180" spans="1:8" hidden="1" x14ac:dyDescent="0.25">
      <c r="A180" s="185" t="s">
        <v>884</v>
      </c>
      <c r="B180" s="186" t="s">
        <v>788</v>
      </c>
      <c r="C180" s="187">
        <v>42</v>
      </c>
      <c r="D180" s="71">
        <v>1551662.8883</v>
      </c>
      <c r="E180" s="71">
        <v>124137.11170000005</v>
      </c>
      <c r="F180" s="71">
        <v>1675800</v>
      </c>
      <c r="G180" s="188" t="e">
        <f>+Tabla77[[#This Row],[Suma de Neto]]/Tabla77[[#Totals],[Suma de Neto]]</f>
        <v>#REF!</v>
      </c>
      <c r="H180" s="189" t="e">
        <f>+Tabla77[[#This Row],[Suma de Uds.V]]/Tabla77[[#Totals],[Suma de Uds.V]]</f>
        <v>#REF!</v>
      </c>
    </row>
    <row r="181" spans="1:8" hidden="1" x14ac:dyDescent="0.25">
      <c r="A181" s="185" t="s">
        <v>885</v>
      </c>
      <c r="B181" s="186" t="s">
        <v>821</v>
      </c>
      <c r="C181" s="187">
        <v>152</v>
      </c>
      <c r="D181" s="71">
        <v>0</v>
      </c>
      <c r="E181" s="71">
        <v>0</v>
      </c>
      <c r="F181" s="71">
        <v>0</v>
      </c>
      <c r="G181" s="188" t="e">
        <f>+Tabla77[[#This Row],[Suma de Neto]]/Tabla77[[#Totals],[Suma de Neto]]</f>
        <v>#REF!</v>
      </c>
      <c r="H181" s="189" t="e">
        <f>+Tabla77[[#This Row],[Suma de Uds.V]]/Tabla77[[#Totals],[Suma de Uds.V]]</f>
        <v>#REF!</v>
      </c>
    </row>
    <row r="182" spans="1:8" hidden="1" x14ac:dyDescent="0.25">
      <c r="A182" s="185" t="s">
        <v>231</v>
      </c>
      <c r="B182" s="186" t="s">
        <v>811</v>
      </c>
      <c r="C182" s="187">
        <v>92</v>
      </c>
      <c r="D182" s="71">
        <v>3926387.2603000002</v>
      </c>
      <c r="E182" s="71">
        <v>314112.73970000027</v>
      </c>
      <c r="F182" s="71">
        <v>4240500</v>
      </c>
      <c r="G182" s="188" t="e">
        <f>+Tabla77[[#This Row],[Suma de Neto]]/Tabla77[[#Totals],[Suma de Neto]]</f>
        <v>#REF!</v>
      </c>
      <c r="H182" s="189" t="e">
        <f>+Tabla77[[#This Row],[Suma de Uds.V]]/Tabla77[[#Totals],[Suma de Uds.V]]</f>
        <v>#REF!</v>
      </c>
    </row>
    <row r="183" spans="1:8" hidden="1" x14ac:dyDescent="0.25">
      <c r="A183" s="185"/>
      <c r="B183" s="186" t="s">
        <v>126</v>
      </c>
      <c r="C183" s="187">
        <v>92</v>
      </c>
      <c r="D183" s="71">
        <v>3926387.2603000002</v>
      </c>
      <c r="E183" s="71">
        <v>314112.73970000027</v>
      </c>
      <c r="F183" s="71">
        <v>4240500</v>
      </c>
      <c r="G183" s="188" t="e">
        <f>+Tabla77[[#This Row],[Suma de Neto]]/Tabla77[[#Totals],[Suma de Neto]]</f>
        <v>#REF!</v>
      </c>
      <c r="H183" s="189" t="e">
        <f>+Tabla77[[#This Row],[Suma de Uds.V]]/Tabla77[[#Totals],[Suma de Uds.V]]</f>
        <v>#REF!</v>
      </c>
    </row>
    <row r="184" spans="1:8" hidden="1" x14ac:dyDescent="0.25">
      <c r="A184" s="185" t="s">
        <v>122</v>
      </c>
      <c r="B184" s="186" t="s">
        <v>126</v>
      </c>
      <c r="C184" s="187">
        <v>242</v>
      </c>
      <c r="D184" s="71">
        <v>15623928.107800053</v>
      </c>
      <c r="E184" s="71">
        <v>1249931.8922000029</v>
      </c>
      <c r="F184" s="71">
        <v>16873860</v>
      </c>
      <c r="G184" s="188" t="e">
        <f>+Tabla77[[#This Row],[Suma de Neto]]/Tabla77[[#Totals],[Suma de Neto]]</f>
        <v>#REF!</v>
      </c>
      <c r="H184" s="189" t="e">
        <f>+Tabla77[[#This Row],[Suma de Uds.V]]/Tabla77[[#Totals],[Suma de Uds.V]]</f>
        <v>#REF!</v>
      </c>
    </row>
    <row r="185" spans="1:8" hidden="1" x14ac:dyDescent="0.25">
      <c r="A185" s="185" t="s">
        <v>886</v>
      </c>
      <c r="B185" s="186" t="s">
        <v>828</v>
      </c>
      <c r="C185" s="187">
        <v>2</v>
      </c>
      <c r="D185" s="71">
        <v>101851.8518</v>
      </c>
      <c r="E185" s="71">
        <v>8148.1481999999996</v>
      </c>
      <c r="F185" s="71">
        <v>110000</v>
      </c>
      <c r="G185" s="188" t="e">
        <f>+Tabla77[[#This Row],[Suma de Neto]]/Tabla77[[#Totals],[Suma de Neto]]</f>
        <v>#REF!</v>
      </c>
      <c r="H185" s="189" t="e">
        <f>+Tabla77[[#This Row],[Suma de Uds.V]]/Tabla77[[#Totals],[Suma de Uds.V]]</f>
        <v>#REF!</v>
      </c>
    </row>
    <row r="186" spans="1:8" hidden="1" x14ac:dyDescent="0.25">
      <c r="A186" s="185" t="s">
        <v>887</v>
      </c>
      <c r="B186" s="186" t="s">
        <v>139</v>
      </c>
      <c r="C186" s="187">
        <v>256</v>
      </c>
      <c r="D186" s="71">
        <v>17517037.995999966</v>
      </c>
      <c r="E186" s="71">
        <v>1401362.0040000058</v>
      </c>
      <c r="F186" s="71">
        <v>18918400</v>
      </c>
      <c r="G186" s="188" t="e">
        <f>+Tabla77[[#This Row],[Suma de Neto]]/Tabla77[[#Totals],[Suma de Neto]]</f>
        <v>#REF!</v>
      </c>
      <c r="H186" s="189" t="e">
        <f>+Tabla77[[#This Row],[Suma de Uds.V]]/Tabla77[[#Totals],[Suma de Uds.V]]</f>
        <v>#REF!</v>
      </c>
    </row>
    <row r="187" spans="1:8" hidden="1" x14ac:dyDescent="0.25">
      <c r="A187" s="185" t="s">
        <v>199</v>
      </c>
      <c r="B187" s="186" t="s">
        <v>139</v>
      </c>
      <c r="C187" s="187">
        <v>169</v>
      </c>
      <c r="D187" s="71">
        <v>11344927.700999985</v>
      </c>
      <c r="E187" s="71">
        <v>907572.29900000093</v>
      </c>
      <c r="F187" s="71">
        <v>12252500</v>
      </c>
      <c r="G187" s="188" t="e">
        <f>+Tabla77[[#This Row],[Suma de Neto]]/Tabla77[[#Totals],[Suma de Neto]]</f>
        <v>#REF!</v>
      </c>
      <c r="H187" s="189" t="e">
        <f>+Tabla77[[#This Row],[Suma de Uds.V]]/Tabla77[[#Totals],[Suma de Uds.V]]</f>
        <v>#REF!</v>
      </c>
    </row>
    <row r="188" spans="1:8" hidden="1" x14ac:dyDescent="0.25">
      <c r="A188" s="185" t="s">
        <v>255</v>
      </c>
      <c r="B188" s="186" t="s">
        <v>286</v>
      </c>
      <c r="C188" s="187">
        <v>20</v>
      </c>
      <c r="D188" s="71">
        <v>738885.11080000014</v>
      </c>
      <c r="E188" s="71">
        <v>59114.889199999998</v>
      </c>
      <c r="F188" s="71">
        <v>798000</v>
      </c>
      <c r="G188" s="188" t="e">
        <f>+Tabla77[[#This Row],[Suma de Neto]]/Tabla77[[#Totals],[Suma de Neto]]</f>
        <v>#REF!</v>
      </c>
      <c r="H188" s="189" t="e">
        <f>+Tabla77[[#This Row],[Suma de Uds.V]]/Tabla77[[#Totals],[Suma de Uds.V]]</f>
        <v>#REF!</v>
      </c>
    </row>
    <row r="189" spans="1:8" hidden="1" x14ac:dyDescent="0.25">
      <c r="A189" s="185" t="s">
        <v>163</v>
      </c>
      <c r="B189" s="186" t="s">
        <v>286</v>
      </c>
      <c r="C189" s="187">
        <v>8</v>
      </c>
      <c r="D189" s="71">
        <v>337038.14799999993</v>
      </c>
      <c r="E189" s="71">
        <v>26961.851999999999</v>
      </c>
      <c r="F189" s="71">
        <v>364000</v>
      </c>
      <c r="G189" s="188" t="e">
        <f>+Tabla77[[#This Row],[Suma de Neto]]/Tabla77[[#Totals],[Suma de Neto]]</f>
        <v>#REF!</v>
      </c>
      <c r="H189" s="189" t="e">
        <f>+Tabla77[[#This Row],[Suma de Uds.V]]/Tabla77[[#Totals],[Suma de Uds.V]]</f>
        <v>#REF!</v>
      </c>
    </row>
    <row r="190" spans="1:8" hidden="1" x14ac:dyDescent="0.25">
      <c r="A190" s="185" t="s">
        <v>170</v>
      </c>
      <c r="B190" s="186" t="s">
        <v>788</v>
      </c>
      <c r="C190" s="187">
        <v>22</v>
      </c>
      <c r="D190" s="71">
        <v>794445.2220999999</v>
      </c>
      <c r="E190" s="71">
        <v>63554.777899999986</v>
      </c>
      <c r="F190" s="71">
        <v>858000</v>
      </c>
      <c r="G190" s="188" t="e">
        <f>+Tabla77[[#This Row],[Suma de Neto]]/Tabla77[[#Totals],[Suma de Neto]]</f>
        <v>#REF!</v>
      </c>
      <c r="H190" s="189" t="e">
        <f>+Tabla77[[#This Row],[Suma de Uds.V]]/Tabla77[[#Totals],[Suma de Uds.V]]</f>
        <v>#REF!</v>
      </c>
    </row>
    <row r="191" spans="1:8" hidden="1" x14ac:dyDescent="0.25">
      <c r="A191" s="185" t="s">
        <v>888</v>
      </c>
      <c r="B191" s="186" t="s">
        <v>811</v>
      </c>
      <c r="C191" s="187">
        <v>168</v>
      </c>
      <c r="D191" s="71">
        <v>1391655.9962000044</v>
      </c>
      <c r="E191" s="71">
        <v>111344.00380000014</v>
      </c>
      <c r="F191" s="71">
        <v>1503000</v>
      </c>
      <c r="G191" s="188" t="e">
        <f>+Tabla77[[#This Row],[Suma de Neto]]/Tabla77[[#Totals],[Suma de Neto]]</f>
        <v>#REF!</v>
      </c>
      <c r="H191" s="189" t="e">
        <f>+Tabla77[[#This Row],[Suma de Uds.V]]/Tabla77[[#Totals],[Suma de Uds.V]]</f>
        <v>#REF!</v>
      </c>
    </row>
    <row r="192" spans="1:8" hidden="1" x14ac:dyDescent="0.25">
      <c r="A192" s="185" t="s">
        <v>726</v>
      </c>
      <c r="B192" s="186" t="s">
        <v>331</v>
      </c>
      <c r="C192" s="187">
        <v>1</v>
      </c>
      <c r="D192" s="71">
        <v>15740.7407</v>
      </c>
      <c r="E192" s="71">
        <v>1259.2592999999999</v>
      </c>
      <c r="F192" s="71">
        <v>17000</v>
      </c>
      <c r="G192" s="188" t="e">
        <f>+Tabla77[[#This Row],[Suma de Neto]]/Tabla77[[#Totals],[Suma de Neto]]</f>
        <v>#REF!</v>
      </c>
      <c r="H192" s="189" t="e">
        <f>+Tabla77[[#This Row],[Suma de Uds.V]]/Tabla77[[#Totals],[Suma de Uds.V]]</f>
        <v>#REF!</v>
      </c>
    </row>
    <row r="193" spans="1:8" hidden="1" x14ac:dyDescent="0.25">
      <c r="A193" s="185" t="s">
        <v>117</v>
      </c>
      <c r="B193" s="186" t="s">
        <v>112</v>
      </c>
      <c r="C193" s="187">
        <v>238</v>
      </c>
      <c r="D193" s="71">
        <v>17613482.928999968</v>
      </c>
      <c r="E193" s="71">
        <v>1402717.0710000007</v>
      </c>
      <c r="F193" s="71">
        <v>19016200</v>
      </c>
      <c r="G193" s="188" t="e">
        <f>+Tabla77[[#This Row],[Suma de Neto]]/Tabla77[[#Totals],[Suma de Neto]]</f>
        <v>#REF!</v>
      </c>
      <c r="H193" s="189" t="e">
        <f>+Tabla77[[#This Row],[Suma de Uds.V]]/Tabla77[[#Totals],[Suma de Uds.V]]</f>
        <v>#REF!</v>
      </c>
    </row>
    <row r="194" spans="1:8" hidden="1" x14ac:dyDescent="0.25">
      <c r="A194" s="185" t="s">
        <v>727</v>
      </c>
      <c r="B194" s="186" t="s">
        <v>331</v>
      </c>
      <c r="C194" s="187">
        <v>10</v>
      </c>
      <c r="D194" s="71">
        <v>74074.259199999986</v>
      </c>
      <c r="E194" s="71">
        <v>5925.7407999999996</v>
      </c>
      <c r="F194" s="71">
        <v>80000</v>
      </c>
      <c r="G194" s="188" t="e">
        <f>+Tabla77[[#This Row],[Suma de Neto]]/Tabla77[[#Totals],[Suma de Neto]]</f>
        <v>#REF!</v>
      </c>
      <c r="H194" s="189" t="e">
        <f>+Tabla77[[#This Row],[Suma de Uds.V]]/Tabla77[[#Totals],[Suma de Uds.V]]</f>
        <v>#REF!</v>
      </c>
    </row>
    <row r="195" spans="1:8" hidden="1" x14ac:dyDescent="0.25">
      <c r="A195" s="185" t="s">
        <v>736</v>
      </c>
      <c r="B195" s="186" t="s">
        <v>889</v>
      </c>
      <c r="C195" s="187">
        <v>1</v>
      </c>
      <c r="D195" s="71">
        <v>153611.11110000001</v>
      </c>
      <c r="E195" s="71">
        <v>12288.8889</v>
      </c>
      <c r="F195" s="71">
        <v>165900</v>
      </c>
      <c r="G195" s="188" t="e">
        <f>+Tabla77[[#This Row],[Suma de Neto]]/Tabla77[[#Totals],[Suma de Neto]]</f>
        <v>#REF!</v>
      </c>
      <c r="H195" s="189" t="e">
        <f>+Tabla77[[#This Row],[Suma de Uds.V]]/Tabla77[[#Totals],[Suma de Uds.V]]</f>
        <v>#REF!</v>
      </c>
    </row>
    <row r="196" spans="1:8" hidden="1" x14ac:dyDescent="0.25">
      <c r="A196" s="185" t="s">
        <v>274</v>
      </c>
      <c r="B196" s="186" t="s">
        <v>818</v>
      </c>
      <c r="C196" s="187">
        <v>15</v>
      </c>
      <c r="D196" s="71">
        <v>2304166.4443000001</v>
      </c>
      <c r="E196" s="71">
        <v>184333.5557</v>
      </c>
      <c r="F196" s="71">
        <v>2488500</v>
      </c>
      <c r="G196" s="188" t="e">
        <f>+Tabla77[[#This Row],[Suma de Neto]]/Tabla77[[#Totals],[Suma de Neto]]</f>
        <v>#REF!</v>
      </c>
      <c r="H196" s="189" t="e">
        <f>+Tabla77[[#This Row],[Suma de Uds.V]]/Tabla77[[#Totals],[Suma de Uds.V]]</f>
        <v>#REF!</v>
      </c>
    </row>
    <row r="197" spans="1:8" hidden="1" x14ac:dyDescent="0.25">
      <c r="A197" s="185" t="s">
        <v>890</v>
      </c>
      <c r="B197" s="186" t="s">
        <v>793</v>
      </c>
      <c r="C197" s="187">
        <v>8</v>
      </c>
      <c r="D197" s="71">
        <v>117638.66679999998</v>
      </c>
      <c r="E197" s="71">
        <v>9411.3332000000009</v>
      </c>
      <c r="F197" s="71">
        <v>127050</v>
      </c>
      <c r="G197" s="188" t="e">
        <f>+Tabla77[[#This Row],[Suma de Neto]]/Tabla77[[#Totals],[Suma de Neto]]</f>
        <v>#REF!</v>
      </c>
      <c r="H197" s="189" t="e">
        <f>+Tabla77[[#This Row],[Suma de Uds.V]]/Tabla77[[#Totals],[Suma de Uds.V]]</f>
        <v>#REF!</v>
      </c>
    </row>
    <row r="198" spans="1:8" hidden="1" x14ac:dyDescent="0.25">
      <c r="A198" s="185" t="s">
        <v>891</v>
      </c>
      <c r="B198" s="186" t="s">
        <v>288</v>
      </c>
      <c r="C198" s="187">
        <v>1</v>
      </c>
      <c r="D198" s="71">
        <v>203703.70370000001</v>
      </c>
      <c r="E198" s="71">
        <v>16296.2963</v>
      </c>
      <c r="F198" s="71">
        <v>220000</v>
      </c>
      <c r="G198" s="188" t="e">
        <f>+Tabla77[[#This Row],[Suma de Neto]]/Tabla77[[#Totals],[Suma de Neto]]</f>
        <v>#REF!</v>
      </c>
      <c r="H198" s="189" t="e">
        <f>+Tabla77[[#This Row],[Suma de Uds.V]]/Tabla77[[#Totals],[Suma de Uds.V]]</f>
        <v>#REF!</v>
      </c>
    </row>
    <row r="199" spans="1:8" hidden="1" x14ac:dyDescent="0.25">
      <c r="A199" s="185" t="s">
        <v>892</v>
      </c>
      <c r="B199" s="186" t="s">
        <v>288</v>
      </c>
      <c r="C199" s="187">
        <v>1</v>
      </c>
      <c r="D199" s="71">
        <v>300926</v>
      </c>
      <c r="E199" s="71">
        <v>24074</v>
      </c>
      <c r="F199" s="71">
        <v>325000</v>
      </c>
      <c r="G199" s="188" t="e">
        <f>+Tabla77[[#This Row],[Suma de Neto]]/Tabla77[[#Totals],[Suma de Neto]]</f>
        <v>#REF!</v>
      </c>
      <c r="H199" s="189" t="e">
        <f>+Tabla77[[#This Row],[Suma de Uds.V]]/Tabla77[[#Totals],[Suma de Uds.V]]</f>
        <v>#REF!</v>
      </c>
    </row>
    <row r="200" spans="1:8" hidden="1" x14ac:dyDescent="0.25">
      <c r="A200" s="185" t="s">
        <v>893</v>
      </c>
      <c r="B200" s="186" t="s">
        <v>826</v>
      </c>
      <c r="C200" s="187">
        <v>467</v>
      </c>
      <c r="D200" s="71">
        <v>8593867.2561000083</v>
      </c>
      <c r="E200" s="71">
        <v>687492.74389999779</v>
      </c>
      <c r="F200" s="71">
        <v>9281360</v>
      </c>
      <c r="G200" s="188" t="e">
        <f>+Tabla77[[#This Row],[Suma de Neto]]/Tabla77[[#Totals],[Suma de Neto]]</f>
        <v>#REF!</v>
      </c>
      <c r="H200" s="189" t="e">
        <f>+Tabla77[[#This Row],[Suma de Uds.V]]/Tabla77[[#Totals],[Suma de Uds.V]]</f>
        <v>#REF!</v>
      </c>
    </row>
    <row r="201" spans="1:8" hidden="1" x14ac:dyDescent="0.25">
      <c r="A201" s="185" t="s">
        <v>229</v>
      </c>
      <c r="B201" s="186" t="s">
        <v>126</v>
      </c>
      <c r="C201" s="187">
        <v>505</v>
      </c>
      <c r="D201" s="71">
        <v>32665254.88279983</v>
      </c>
      <c r="E201" s="71">
        <v>2613275.1171999867</v>
      </c>
      <c r="F201" s="71">
        <v>35278530</v>
      </c>
      <c r="G201" s="188" t="e">
        <f>+Tabla77[[#This Row],[Suma de Neto]]/Tabla77[[#Totals],[Suma de Neto]]</f>
        <v>#REF!</v>
      </c>
      <c r="H201" s="189" t="e">
        <f>+Tabla77[[#This Row],[Suma de Uds.V]]/Tabla77[[#Totals],[Suma de Uds.V]]</f>
        <v>#REF!</v>
      </c>
    </row>
    <row r="202" spans="1:8" hidden="1" x14ac:dyDescent="0.25">
      <c r="A202" s="185" t="s">
        <v>246</v>
      </c>
      <c r="B202" s="186" t="s">
        <v>331</v>
      </c>
      <c r="C202" s="187">
        <v>25</v>
      </c>
      <c r="D202" s="71">
        <v>66323.333599999998</v>
      </c>
      <c r="E202" s="71">
        <v>5306.666400000001</v>
      </c>
      <c r="F202" s="71">
        <v>71630</v>
      </c>
      <c r="G202" s="188" t="e">
        <f>+Tabla77[[#This Row],[Suma de Neto]]/Tabla77[[#Totals],[Suma de Neto]]</f>
        <v>#REF!</v>
      </c>
      <c r="H202" s="189" t="e">
        <f>+Tabla77[[#This Row],[Suma de Uds.V]]/Tabla77[[#Totals],[Suma de Uds.V]]</f>
        <v>#REF!</v>
      </c>
    </row>
    <row r="203" spans="1:8" hidden="1" x14ac:dyDescent="0.25">
      <c r="A203" s="185" t="s">
        <v>728</v>
      </c>
      <c r="B203" s="186" t="s">
        <v>331</v>
      </c>
      <c r="C203" s="187">
        <v>13</v>
      </c>
      <c r="D203" s="71">
        <v>33296.111199999999</v>
      </c>
      <c r="E203" s="71">
        <v>2663.8888000000002</v>
      </c>
      <c r="F203" s="71">
        <v>35960</v>
      </c>
      <c r="G203" s="188" t="e">
        <f>+Tabla77[[#This Row],[Suma de Neto]]/Tabla77[[#Totals],[Suma de Neto]]</f>
        <v>#REF!</v>
      </c>
      <c r="H203" s="189" t="e">
        <f>+Tabla77[[#This Row],[Suma de Uds.V]]/Tabla77[[#Totals],[Suma de Uds.V]]</f>
        <v>#REF!</v>
      </c>
    </row>
    <row r="204" spans="1:8" hidden="1" x14ac:dyDescent="0.25">
      <c r="A204" s="185" t="s">
        <v>730</v>
      </c>
      <c r="B204" s="186" t="s">
        <v>331</v>
      </c>
      <c r="C204" s="187">
        <v>1</v>
      </c>
      <c r="D204" s="71">
        <v>8240.7407000000003</v>
      </c>
      <c r="E204" s="71">
        <v>659.25930000000005</v>
      </c>
      <c r="F204" s="71">
        <v>8900</v>
      </c>
      <c r="G204" s="188" t="e">
        <f>+Tabla77[[#This Row],[Suma de Neto]]/Tabla77[[#Totals],[Suma de Neto]]</f>
        <v>#REF!</v>
      </c>
      <c r="H204" s="189" t="e">
        <f>+Tabla77[[#This Row],[Suma de Uds.V]]/Tabla77[[#Totals],[Suma de Uds.V]]</f>
        <v>#REF!</v>
      </c>
    </row>
    <row r="205" spans="1:8" hidden="1" x14ac:dyDescent="0.25">
      <c r="A205" s="185" t="s">
        <v>731</v>
      </c>
      <c r="B205" s="186" t="s">
        <v>331</v>
      </c>
      <c r="C205" s="187">
        <v>7</v>
      </c>
      <c r="D205" s="71">
        <v>19721.925999999999</v>
      </c>
      <c r="E205" s="71">
        <v>1578.0740000000001</v>
      </c>
      <c r="F205" s="71">
        <v>21300</v>
      </c>
      <c r="G205" s="188" t="e">
        <f>+Tabla77[[#This Row],[Suma de Neto]]/Tabla77[[#Totals],[Suma de Neto]]</f>
        <v>#REF!</v>
      </c>
      <c r="H205" s="189" t="e">
        <f>+Tabla77[[#This Row],[Suma de Uds.V]]/Tabla77[[#Totals],[Suma de Uds.V]]</f>
        <v>#REF!</v>
      </c>
    </row>
    <row r="206" spans="1:8" hidden="1" x14ac:dyDescent="0.25">
      <c r="A206" s="185" t="s">
        <v>732</v>
      </c>
      <c r="B206" s="186" t="s">
        <v>331</v>
      </c>
      <c r="C206" s="187">
        <v>3</v>
      </c>
      <c r="D206" s="71">
        <v>8981.4814999999999</v>
      </c>
      <c r="E206" s="71">
        <v>718.5184999999999</v>
      </c>
      <c r="F206" s="71">
        <v>9700</v>
      </c>
      <c r="G206" s="188" t="e">
        <f>+Tabla77[[#This Row],[Suma de Neto]]/Tabla77[[#Totals],[Suma de Neto]]</f>
        <v>#REF!</v>
      </c>
      <c r="H206" s="189" t="e">
        <f>+Tabla77[[#This Row],[Suma de Uds.V]]/Tabla77[[#Totals],[Suma de Uds.V]]</f>
        <v>#REF!</v>
      </c>
    </row>
    <row r="207" spans="1:8" hidden="1" x14ac:dyDescent="0.25">
      <c r="A207" s="185" t="s">
        <v>249</v>
      </c>
      <c r="B207" s="186" t="s">
        <v>331</v>
      </c>
      <c r="C207" s="187">
        <v>4</v>
      </c>
      <c r="D207" s="71">
        <v>18148.111000000001</v>
      </c>
      <c r="E207" s="71">
        <v>1451.8890000000001</v>
      </c>
      <c r="F207" s="71">
        <v>19600</v>
      </c>
      <c r="G207" s="188" t="e">
        <f>+Tabla77[[#This Row],[Suma de Neto]]/Tabla77[[#Totals],[Suma de Neto]]</f>
        <v>#REF!</v>
      </c>
      <c r="H207" s="189" t="e">
        <f>+Tabla77[[#This Row],[Suma de Uds.V]]/Tabla77[[#Totals],[Suma de Uds.V]]</f>
        <v>#REF!</v>
      </c>
    </row>
    <row r="208" spans="1:8" hidden="1" x14ac:dyDescent="0.25">
      <c r="A208" s="185" t="s">
        <v>213</v>
      </c>
      <c r="B208" s="186" t="s">
        <v>212</v>
      </c>
      <c r="C208" s="187">
        <v>18</v>
      </c>
      <c r="D208" s="71">
        <v>2277779</v>
      </c>
      <c r="E208" s="71">
        <v>182221</v>
      </c>
      <c r="F208" s="71">
        <v>2460000</v>
      </c>
      <c r="G208" s="188" t="e">
        <f>+Tabla77[[#This Row],[Suma de Neto]]/Tabla77[[#Totals],[Suma de Neto]]</f>
        <v>#REF!</v>
      </c>
      <c r="H208" s="189" t="e">
        <f>+Tabla77[[#This Row],[Suma de Uds.V]]/Tabla77[[#Totals],[Suma de Uds.V]]</f>
        <v>#REF!</v>
      </c>
    </row>
    <row r="209" spans="1:8" hidden="1" x14ac:dyDescent="0.25">
      <c r="A209" s="185" t="s">
        <v>216</v>
      </c>
      <c r="B209" s="186" t="s">
        <v>212</v>
      </c>
      <c r="C209" s="187">
        <v>93</v>
      </c>
      <c r="D209" s="71">
        <v>11041662.333099995</v>
      </c>
      <c r="E209" s="71">
        <v>883337.66690000019</v>
      </c>
      <c r="F209" s="71">
        <v>11925000</v>
      </c>
      <c r="G209" s="188" t="e">
        <f>+Tabla77[[#This Row],[Suma de Neto]]/Tabla77[[#Totals],[Suma de Neto]]</f>
        <v>#REF!</v>
      </c>
      <c r="H209" s="189" t="e">
        <f>+Tabla77[[#This Row],[Suma de Uds.V]]/Tabla77[[#Totals],[Suma de Uds.V]]</f>
        <v>#REF!</v>
      </c>
    </row>
    <row r="210" spans="1:8" hidden="1" x14ac:dyDescent="0.25">
      <c r="A210" s="185" t="s">
        <v>215</v>
      </c>
      <c r="B210" s="186" t="s">
        <v>212</v>
      </c>
      <c r="C210" s="187">
        <v>61</v>
      </c>
      <c r="D210" s="71">
        <v>7472221</v>
      </c>
      <c r="E210" s="71">
        <v>597779.00000000012</v>
      </c>
      <c r="F210" s="71">
        <v>8070000</v>
      </c>
      <c r="G210" s="188" t="e">
        <f>+Tabla77[[#This Row],[Suma de Neto]]/Tabla77[[#Totals],[Suma de Neto]]</f>
        <v>#REF!</v>
      </c>
      <c r="H210" s="189" t="e">
        <f>+Tabla77[[#This Row],[Suma de Uds.V]]/Tabla77[[#Totals],[Suma de Uds.V]]</f>
        <v>#REF!</v>
      </c>
    </row>
    <row r="211" spans="1:8" hidden="1" x14ac:dyDescent="0.25">
      <c r="A211" s="185" t="s">
        <v>251</v>
      </c>
      <c r="B211" s="186" t="s">
        <v>331</v>
      </c>
      <c r="C211" s="187">
        <v>7</v>
      </c>
      <c r="D211" s="71">
        <v>32407.407399999996</v>
      </c>
      <c r="E211" s="71">
        <v>2592.5925999999999</v>
      </c>
      <c r="F211" s="71">
        <v>35000</v>
      </c>
      <c r="G211" s="188" t="e">
        <f>+Tabla77[[#This Row],[Suma de Neto]]/Tabla77[[#Totals],[Suma de Neto]]</f>
        <v>#REF!</v>
      </c>
      <c r="H211" s="189" t="e">
        <f>+Tabla77[[#This Row],[Suma de Uds.V]]/Tabla77[[#Totals],[Suma de Uds.V]]</f>
        <v>#REF!</v>
      </c>
    </row>
    <row r="212" spans="1:8" hidden="1" x14ac:dyDescent="0.25">
      <c r="A212" s="185" t="s">
        <v>894</v>
      </c>
      <c r="B212" s="186" t="s">
        <v>793</v>
      </c>
      <c r="C212" s="187">
        <v>711</v>
      </c>
      <c r="D212" s="71">
        <v>5836115.6950999917</v>
      </c>
      <c r="E212" s="71">
        <v>466864.30489999912</v>
      </c>
      <c r="F212" s="71">
        <v>6302980</v>
      </c>
      <c r="G212" s="188" t="e">
        <f>+Tabla77[[#This Row],[Suma de Neto]]/Tabla77[[#Totals],[Suma de Neto]]</f>
        <v>#REF!</v>
      </c>
      <c r="H212" s="189" t="e">
        <f>+Tabla77[[#This Row],[Suma de Uds.V]]/Tabla77[[#Totals],[Suma de Uds.V]]</f>
        <v>#REF!</v>
      </c>
    </row>
    <row r="213" spans="1:8" hidden="1" x14ac:dyDescent="0.25">
      <c r="A213" s="185" t="s">
        <v>895</v>
      </c>
      <c r="B213" s="186" t="s">
        <v>896</v>
      </c>
      <c r="C213" s="187">
        <v>12</v>
      </c>
      <c r="D213" s="71">
        <v>0</v>
      </c>
      <c r="E213" s="71">
        <v>0</v>
      </c>
      <c r="F213" s="71">
        <v>0</v>
      </c>
      <c r="G213" s="188" t="e">
        <f>+Tabla77[[#This Row],[Suma de Neto]]/Tabla77[[#Totals],[Suma de Neto]]</f>
        <v>#REF!</v>
      </c>
      <c r="H213" s="189" t="e">
        <f>+Tabla77[[#This Row],[Suma de Uds.V]]/Tabla77[[#Totals],[Suma de Uds.V]]</f>
        <v>#REF!</v>
      </c>
    </row>
    <row r="214" spans="1:8" hidden="1" x14ac:dyDescent="0.25">
      <c r="A214" s="185" t="s">
        <v>897</v>
      </c>
      <c r="B214" s="186" t="s">
        <v>896</v>
      </c>
      <c r="C214" s="187">
        <v>335</v>
      </c>
      <c r="D214" s="71">
        <v>4976090.9198999926</v>
      </c>
      <c r="E214" s="71">
        <v>398109.08010000049</v>
      </c>
      <c r="F214" s="71">
        <v>5374200</v>
      </c>
      <c r="G214" s="188" t="e">
        <f>+Tabla77[[#This Row],[Suma de Neto]]/Tabla77[[#Totals],[Suma de Neto]]</f>
        <v>#REF!</v>
      </c>
      <c r="H214" s="189" t="e">
        <f>+Tabla77[[#This Row],[Suma de Uds.V]]/Tabla77[[#Totals],[Suma de Uds.V]]</f>
        <v>#REF!</v>
      </c>
    </row>
    <row r="215" spans="1:8" hidden="1" x14ac:dyDescent="0.25">
      <c r="A215" s="185" t="s">
        <v>898</v>
      </c>
      <c r="B215" s="186" t="s">
        <v>896</v>
      </c>
      <c r="C215" s="187">
        <v>4</v>
      </c>
      <c r="D215" s="71">
        <v>0</v>
      </c>
      <c r="E215" s="71">
        <v>0</v>
      </c>
      <c r="F215" s="71">
        <v>0</v>
      </c>
      <c r="G215" s="188" t="e">
        <f>+Tabla77[[#This Row],[Suma de Neto]]/Tabla77[[#Totals],[Suma de Neto]]</f>
        <v>#REF!</v>
      </c>
      <c r="H215" s="189" t="e">
        <f>+Tabla77[[#This Row],[Suma de Uds.V]]/Tabla77[[#Totals],[Suma de Uds.V]]</f>
        <v>#REF!</v>
      </c>
    </row>
    <row r="216" spans="1:8" hidden="1" x14ac:dyDescent="0.25">
      <c r="A216" s="185" t="s">
        <v>899</v>
      </c>
      <c r="B216" s="186" t="s">
        <v>896</v>
      </c>
      <c r="C216" s="187">
        <v>6</v>
      </c>
      <c r="D216" s="71">
        <v>0</v>
      </c>
      <c r="E216" s="71">
        <v>0</v>
      </c>
      <c r="F216" s="71">
        <v>0</v>
      </c>
      <c r="G216" s="188" t="e">
        <f>+Tabla77[[#This Row],[Suma de Neto]]/Tabla77[[#Totals],[Suma de Neto]]</f>
        <v>#REF!</v>
      </c>
      <c r="H216" s="189" t="e">
        <f>+Tabla77[[#This Row],[Suma de Uds.V]]/Tabla77[[#Totals],[Suma de Uds.V]]</f>
        <v>#REF!</v>
      </c>
    </row>
    <row r="217" spans="1:8" hidden="1" x14ac:dyDescent="0.25">
      <c r="A217" s="185" t="s">
        <v>734</v>
      </c>
      <c r="B217" s="186" t="s">
        <v>331</v>
      </c>
      <c r="C217" s="187">
        <v>5</v>
      </c>
      <c r="D217" s="71">
        <v>40462.962899999999</v>
      </c>
      <c r="E217" s="71">
        <v>3237.0371</v>
      </c>
      <c r="F217" s="71">
        <v>43700</v>
      </c>
      <c r="G217" s="188" t="e">
        <f>+Tabla77[[#This Row],[Suma de Neto]]/Tabla77[[#Totals],[Suma de Neto]]</f>
        <v>#REF!</v>
      </c>
      <c r="H217" s="189" t="e">
        <f>+Tabla77[[#This Row],[Suma de Uds.V]]/Tabla77[[#Totals],[Suma de Uds.V]]</f>
        <v>#REF!</v>
      </c>
    </row>
    <row r="218" spans="1:8" hidden="1" x14ac:dyDescent="0.25">
      <c r="A218" s="185" t="s">
        <v>366</v>
      </c>
      <c r="B218" s="186" t="s">
        <v>900</v>
      </c>
      <c r="C218" s="187">
        <v>1</v>
      </c>
      <c r="D218" s="71">
        <v>11400</v>
      </c>
      <c r="E218" s="71">
        <v>0</v>
      </c>
      <c r="F218" s="71">
        <v>11400</v>
      </c>
      <c r="G218" s="188" t="e">
        <f>+Tabla77[[#This Row],[Suma de Neto]]/Tabla77[[#Totals],[Suma de Neto]]</f>
        <v>#REF!</v>
      </c>
      <c r="H218" s="189" t="e">
        <f>+Tabla77[[#This Row],[Suma de Uds.V]]/Tabla77[[#Totals],[Suma de Uds.V]]</f>
        <v>#REF!</v>
      </c>
    </row>
    <row r="219" spans="1:8" hidden="1" x14ac:dyDescent="0.25">
      <c r="A219" s="185" t="s">
        <v>901</v>
      </c>
      <c r="B219" s="186" t="s">
        <v>112</v>
      </c>
      <c r="C219" s="187">
        <v>183</v>
      </c>
      <c r="D219" s="71">
        <v>4744444.8865000121</v>
      </c>
      <c r="E219" s="71">
        <v>379555.1135000012</v>
      </c>
      <c r="F219" s="71">
        <v>5124000</v>
      </c>
      <c r="G219" s="188" t="e">
        <f>+Tabla77[[#This Row],[Suma de Neto]]/Tabla77[[#Totals],[Suma de Neto]]</f>
        <v>#REF!</v>
      </c>
      <c r="H219" s="189" t="e">
        <f>+Tabla77[[#This Row],[Suma de Uds.V]]/Tabla77[[#Totals],[Suma de Uds.V]]</f>
        <v>#REF!</v>
      </c>
    </row>
    <row r="220" spans="1:8" hidden="1" x14ac:dyDescent="0.25">
      <c r="A220" s="185" t="s">
        <v>581</v>
      </c>
      <c r="B220" s="186" t="s">
        <v>138</v>
      </c>
      <c r="C220" s="187">
        <v>151</v>
      </c>
      <c r="D220" s="71">
        <v>4040634.6332000019</v>
      </c>
      <c r="E220" s="71">
        <v>323265.36680000048</v>
      </c>
      <c r="F220" s="71">
        <v>4363900</v>
      </c>
      <c r="G220" s="188" t="e">
        <f>+Tabla77[[#This Row],[Suma de Neto]]/Tabla77[[#Totals],[Suma de Neto]]</f>
        <v>#REF!</v>
      </c>
      <c r="H220" s="189" t="e">
        <f>+Tabla77[[#This Row],[Suma de Uds.V]]/Tabla77[[#Totals],[Suma de Uds.V]]</f>
        <v>#REF!</v>
      </c>
    </row>
    <row r="221" spans="1:8" hidden="1" x14ac:dyDescent="0.25">
      <c r="A221" s="185" t="s">
        <v>902</v>
      </c>
      <c r="B221" s="186" t="s">
        <v>793</v>
      </c>
      <c r="C221" s="187">
        <v>25</v>
      </c>
      <c r="D221" s="71">
        <v>203547.40689999997</v>
      </c>
      <c r="E221" s="71">
        <v>16282.593099999998</v>
      </c>
      <c r="F221" s="71">
        <v>219830</v>
      </c>
      <c r="G221" s="188" t="e">
        <f>+Tabla77[[#This Row],[Suma de Neto]]/Tabla77[[#Totals],[Suma de Neto]]</f>
        <v>#REF!</v>
      </c>
      <c r="H221" s="189" t="e">
        <f>+Tabla77[[#This Row],[Suma de Uds.V]]/Tabla77[[#Totals],[Suma de Uds.V]]</f>
        <v>#REF!</v>
      </c>
    </row>
    <row r="222" spans="1:8" hidden="1" x14ac:dyDescent="0.25">
      <c r="A222" s="185" t="s">
        <v>903</v>
      </c>
      <c r="B222" s="186" t="s">
        <v>848</v>
      </c>
      <c r="C222" s="187">
        <v>290</v>
      </c>
      <c r="D222" s="71">
        <v>10.185000000000002</v>
      </c>
      <c r="E222" s="71">
        <v>0.81499999999999995</v>
      </c>
      <c r="F222" s="71">
        <v>11</v>
      </c>
      <c r="G222" s="188" t="e">
        <f>+Tabla77[[#This Row],[Suma de Neto]]/Tabla77[[#Totals],[Suma de Neto]]</f>
        <v>#REF!</v>
      </c>
      <c r="H222" s="189" t="e">
        <f>+Tabla77[[#This Row],[Suma de Uds.V]]/Tabla77[[#Totals],[Suma de Uds.V]]</f>
        <v>#REF!</v>
      </c>
    </row>
    <row r="223" spans="1:8" hidden="1" x14ac:dyDescent="0.25">
      <c r="A223" s="185" t="s">
        <v>904</v>
      </c>
      <c r="B223" s="186" t="s">
        <v>848</v>
      </c>
      <c r="C223" s="187">
        <v>38</v>
      </c>
      <c r="D223" s="71">
        <v>4.6295000000000002</v>
      </c>
      <c r="E223" s="71">
        <v>0.3705</v>
      </c>
      <c r="F223" s="71">
        <v>5</v>
      </c>
      <c r="G223" s="188" t="e">
        <f>+Tabla77[[#This Row],[Suma de Neto]]/Tabla77[[#Totals],[Suma de Neto]]</f>
        <v>#REF!</v>
      </c>
      <c r="H223" s="189" t="e">
        <f>+Tabla77[[#This Row],[Suma de Uds.V]]/Tabla77[[#Totals],[Suma de Uds.V]]</f>
        <v>#REF!</v>
      </c>
    </row>
    <row r="224" spans="1:8" hidden="1" x14ac:dyDescent="0.25">
      <c r="A224" s="185" t="s">
        <v>209</v>
      </c>
      <c r="B224" s="186" t="s">
        <v>138</v>
      </c>
      <c r="C224" s="187">
        <v>648</v>
      </c>
      <c r="D224" s="71">
        <v>9388950.3439000007</v>
      </c>
      <c r="E224" s="71">
        <v>751049.65610000468</v>
      </c>
      <c r="F224" s="71">
        <v>10140000</v>
      </c>
      <c r="G224" s="188" t="e">
        <f>+Tabla77[[#This Row],[Suma de Neto]]/Tabla77[[#Totals],[Suma de Neto]]</f>
        <v>#REF!</v>
      </c>
      <c r="H224" s="189" t="e">
        <f>+Tabla77[[#This Row],[Suma de Uds.V]]/Tabla77[[#Totals],[Suma de Uds.V]]</f>
        <v>#REF!</v>
      </c>
    </row>
    <row r="225" spans="1:8" hidden="1" x14ac:dyDescent="0.25">
      <c r="A225" s="185" t="s">
        <v>707</v>
      </c>
      <c r="B225" s="186" t="s">
        <v>148</v>
      </c>
      <c r="C225" s="187">
        <v>15</v>
      </c>
      <c r="D225" s="71">
        <v>916665.5554999999</v>
      </c>
      <c r="E225" s="71">
        <v>73334.444499999998</v>
      </c>
      <c r="F225" s="71">
        <v>990000</v>
      </c>
      <c r="G225" s="188" t="e">
        <f>+Tabla77[[#This Row],[Suma de Neto]]/Tabla77[[#Totals],[Suma de Neto]]</f>
        <v>#REF!</v>
      </c>
      <c r="H225" s="189" t="e">
        <f>+Tabla77[[#This Row],[Suma de Uds.V]]/Tabla77[[#Totals],[Suma de Uds.V]]</f>
        <v>#REF!</v>
      </c>
    </row>
    <row r="226" spans="1:8" hidden="1" x14ac:dyDescent="0.25">
      <c r="A226" s="185" t="s">
        <v>606</v>
      </c>
      <c r="B226" s="186" t="s">
        <v>821</v>
      </c>
      <c r="C226" s="187">
        <v>40</v>
      </c>
      <c r="D226" s="71">
        <v>2703703.7410000018</v>
      </c>
      <c r="E226" s="71">
        <v>216296.2589999999</v>
      </c>
      <c r="F226" s="71">
        <v>2920000</v>
      </c>
      <c r="G226" s="188" t="e">
        <f>+Tabla77[[#This Row],[Suma de Neto]]/Tabla77[[#Totals],[Suma de Neto]]</f>
        <v>#REF!</v>
      </c>
      <c r="H226" s="189" t="e">
        <f>+Tabla77[[#This Row],[Suma de Uds.V]]/Tabla77[[#Totals],[Suma de Uds.V]]</f>
        <v>#REF!</v>
      </c>
    </row>
    <row r="227" spans="1:8" hidden="1" x14ac:dyDescent="0.25">
      <c r="A227" s="185" t="s">
        <v>905</v>
      </c>
      <c r="B227" s="186" t="s">
        <v>889</v>
      </c>
      <c r="C227" s="187">
        <v>7</v>
      </c>
      <c r="D227" s="71">
        <v>875000</v>
      </c>
      <c r="E227" s="71">
        <v>70000</v>
      </c>
      <c r="F227" s="71">
        <v>945000</v>
      </c>
      <c r="G227" s="188" t="e">
        <f>+Tabla77[[#This Row],[Suma de Neto]]/Tabla77[[#Totals],[Suma de Neto]]</f>
        <v>#REF!</v>
      </c>
      <c r="H227" s="189" t="e">
        <f>+Tabla77[[#This Row],[Suma de Uds.V]]/Tabla77[[#Totals],[Suma de Uds.V]]</f>
        <v>#REF!</v>
      </c>
    </row>
    <row r="228" spans="1:8" hidden="1" x14ac:dyDescent="0.25">
      <c r="A228" s="185" t="s">
        <v>781</v>
      </c>
      <c r="B228" s="186" t="s">
        <v>818</v>
      </c>
      <c r="C228" s="187">
        <v>13</v>
      </c>
      <c r="D228" s="71">
        <v>1624999</v>
      </c>
      <c r="E228" s="71">
        <v>130001</v>
      </c>
      <c r="F228" s="71">
        <v>1755000</v>
      </c>
      <c r="G228" s="188" t="e">
        <f>+Tabla77[[#This Row],[Suma de Neto]]/Tabla77[[#Totals],[Suma de Neto]]</f>
        <v>#REF!</v>
      </c>
      <c r="H228" s="189" t="e">
        <f>+Tabla77[[#This Row],[Suma de Uds.V]]/Tabla77[[#Totals],[Suma de Uds.V]]</f>
        <v>#REF!</v>
      </c>
    </row>
    <row r="229" spans="1:8" hidden="1" x14ac:dyDescent="0.25">
      <c r="A229" s="185" t="s">
        <v>762</v>
      </c>
      <c r="B229" s="186" t="s">
        <v>790</v>
      </c>
      <c r="C229" s="187">
        <v>3</v>
      </c>
      <c r="D229" s="71">
        <v>375001</v>
      </c>
      <c r="E229" s="71">
        <v>29999</v>
      </c>
      <c r="F229" s="71">
        <v>405000</v>
      </c>
      <c r="G229" s="188" t="e">
        <f>+Tabla77[[#This Row],[Suma de Neto]]/Tabla77[[#Totals],[Suma de Neto]]</f>
        <v>#REF!</v>
      </c>
      <c r="H229" s="189" t="e">
        <f>+Tabla77[[#This Row],[Suma de Uds.V]]/Tabla77[[#Totals],[Suma de Uds.V]]</f>
        <v>#REF!</v>
      </c>
    </row>
    <row r="230" spans="1:8" hidden="1" x14ac:dyDescent="0.25">
      <c r="A230" s="185" t="s">
        <v>121</v>
      </c>
      <c r="B230" s="186" t="s">
        <v>112</v>
      </c>
      <c r="C230" s="187">
        <v>88</v>
      </c>
      <c r="D230" s="71">
        <v>3503707.8879999947</v>
      </c>
      <c r="E230" s="71">
        <v>280292.11200000026</v>
      </c>
      <c r="F230" s="71">
        <v>3784000</v>
      </c>
      <c r="G230" s="188" t="e">
        <f>+Tabla77[[#This Row],[Suma de Neto]]/Tabla77[[#Totals],[Suma de Neto]]</f>
        <v>#REF!</v>
      </c>
      <c r="H230" s="189" t="e">
        <f>+Tabla77[[#This Row],[Suma de Uds.V]]/Tabla77[[#Totals],[Suma de Uds.V]]</f>
        <v>#REF!</v>
      </c>
    </row>
    <row r="231" spans="1:8" hidden="1" x14ac:dyDescent="0.25">
      <c r="A231" s="185" t="s">
        <v>952</v>
      </c>
      <c r="B231" s="186" t="s">
        <v>793</v>
      </c>
      <c r="C231" s="187">
        <v>70</v>
      </c>
      <c r="D231" s="71">
        <v>706485.40779999946</v>
      </c>
      <c r="E231" s="71">
        <v>56514.59219999997</v>
      </c>
      <c r="F231" s="71">
        <v>763000</v>
      </c>
      <c r="G231" s="188" t="e">
        <f>+Tabla77[[#This Row],[Suma de Neto]]/Tabla77[[#Totals],[Suma de Neto]]</f>
        <v>#REF!</v>
      </c>
      <c r="H231" s="189" t="e">
        <f>+Tabla77[[#This Row],[Suma de Uds.V]]/Tabla77[[#Totals],[Suma de Uds.V]]</f>
        <v>#REF!</v>
      </c>
    </row>
    <row r="232" spans="1:8" hidden="1" x14ac:dyDescent="0.25">
      <c r="A232" s="185" t="s">
        <v>953</v>
      </c>
      <c r="B232" s="186" t="s">
        <v>793</v>
      </c>
      <c r="C232" s="187">
        <v>9</v>
      </c>
      <c r="D232" s="71">
        <v>90833.333400000003</v>
      </c>
      <c r="E232" s="71">
        <v>7266.6666000000005</v>
      </c>
      <c r="F232" s="71">
        <v>98100</v>
      </c>
      <c r="G232" s="188" t="e">
        <f>+Tabla77[[#This Row],[Suma de Neto]]/Tabla77[[#Totals],[Suma de Neto]]</f>
        <v>#REF!</v>
      </c>
      <c r="H232" s="189" t="e">
        <f>+Tabla77[[#This Row],[Suma de Uds.V]]/Tabla77[[#Totals],[Suma de Uds.V]]</f>
        <v>#REF!</v>
      </c>
    </row>
    <row r="233" spans="1:8" hidden="1" x14ac:dyDescent="0.25">
      <c r="A233" s="185" t="s">
        <v>954</v>
      </c>
      <c r="B233" s="186" t="s">
        <v>793</v>
      </c>
      <c r="C233" s="187">
        <v>49</v>
      </c>
      <c r="D233" s="71">
        <v>494541.77799999999</v>
      </c>
      <c r="E233" s="71">
        <v>39558.221999999994</v>
      </c>
      <c r="F233" s="71">
        <v>534100</v>
      </c>
      <c r="G233" s="188" t="e">
        <f>+Tabla77[[#This Row],[Suma de Neto]]/Tabla77[[#Totals],[Suma de Neto]]</f>
        <v>#REF!</v>
      </c>
      <c r="H233" s="189" t="e">
        <f>+Tabla77[[#This Row],[Suma de Uds.V]]/Tabla77[[#Totals],[Suma de Uds.V]]</f>
        <v>#REF!</v>
      </c>
    </row>
    <row r="234" spans="1:8" hidden="1" x14ac:dyDescent="0.25">
      <c r="A234" s="185" t="s">
        <v>955</v>
      </c>
      <c r="B234" s="186" t="s">
        <v>793</v>
      </c>
      <c r="C234" s="187">
        <v>18</v>
      </c>
      <c r="D234" s="71">
        <v>181667.29640000002</v>
      </c>
      <c r="E234" s="71">
        <v>14532.703600000001</v>
      </c>
      <c r="F234" s="71">
        <v>196200</v>
      </c>
      <c r="G234" s="188" t="e">
        <f>+Tabla77[[#This Row],[Suma de Neto]]/Tabla77[[#Totals],[Suma de Neto]]</f>
        <v>#REF!</v>
      </c>
      <c r="H234" s="189" t="e">
        <f>+Tabla77[[#This Row],[Suma de Uds.V]]/Tabla77[[#Totals],[Suma de Uds.V]]</f>
        <v>#REF!</v>
      </c>
    </row>
    <row r="235" spans="1:8" hidden="1" x14ac:dyDescent="0.25">
      <c r="A235" s="185" t="s">
        <v>956</v>
      </c>
      <c r="B235" s="186" t="s">
        <v>793</v>
      </c>
      <c r="C235" s="187">
        <v>14</v>
      </c>
      <c r="D235" s="71">
        <v>141297.92600000001</v>
      </c>
      <c r="E235" s="71">
        <v>11302.074000000001</v>
      </c>
      <c r="F235" s="71">
        <v>152600</v>
      </c>
      <c r="G235" s="188" t="e">
        <f>+Tabla77[[#This Row],[Suma de Neto]]/Tabla77[[#Totals],[Suma de Neto]]</f>
        <v>#REF!</v>
      </c>
      <c r="H235" s="189" t="e">
        <f>+Tabla77[[#This Row],[Suma de Uds.V]]/Tabla77[[#Totals],[Suma de Uds.V]]</f>
        <v>#REF!</v>
      </c>
    </row>
    <row r="236" spans="1:8" hidden="1" x14ac:dyDescent="0.25">
      <c r="A236" s="185" t="s">
        <v>957</v>
      </c>
      <c r="B236" s="186" t="s">
        <v>793</v>
      </c>
      <c r="C236" s="187">
        <v>7</v>
      </c>
      <c r="D236" s="71">
        <v>70649</v>
      </c>
      <c r="E236" s="71">
        <v>5651</v>
      </c>
      <c r="F236" s="71">
        <v>76300</v>
      </c>
      <c r="G236" s="188" t="e">
        <f>+Tabla77[[#This Row],[Suma de Neto]]/Tabla77[[#Totals],[Suma de Neto]]</f>
        <v>#REF!</v>
      </c>
      <c r="H236" s="189" t="e">
        <f>+Tabla77[[#This Row],[Suma de Uds.V]]/Tabla77[[#Totals],[Suma de Uds.V]]</f>
        <v>#REF!</v>
      </c>
    </row>
    <row r="237" spans="1:8" hidden="1" x14ac:dyDescent="0.25">
      <c r="A237" s="185" t="s">
        <v>958</v>
      </c>
      <c r="B237" s="186" t="s">
        <v>793</v>
      </c>
      <c r="C237" s="187">
        <v>6</v>
      </c>
      <c r="D237" s="71">
        <v>60555.3704</v>
      </c>
      <c r="E237" s="71">
        <v>4844.6296000000002</v>
      </c>
      <c r="F237" s="71">
        <v>65400</v>
      </c>
      <c r="G237" s="188" t="e">
        <f>+Tabla77[[#This Row],[Suma de Neto]]/Tabla77[[#Totals],[Suma de Neto]]</f>
        <v>#REF!</v>
      </c>
      <c r="H237" s="189" t="e">
        <f>+Tabla77[[#This Row],[Suma de Uds.V]]/Tabla77[[#Totals],[Suma de Uds.V]]</f>
        <v>#REF!</v>
      </c>
    </row>
    <row r="238" spans="1:8" hidden="1" x14ac:dyDescent="0.25">
      <c r="A238" s="185" t="s">
        <v>906</v>
      </c>
      <c r="B238" s="186" t="s">
        <v>139</v>
      </c>
      <c r="C238" s="187">
        <v>36</v>
      </c>
      <c r="D238" s="71">
        <v>1966672.0736000007</v>
      </c>
      <c r="E238" s="71">
        <v>157327.92640000005</v>
      </c>
      <c r="F238" s="71">
        <v>2124000</v>
      </c>
      <c r="G238" s="188" t="e">
        <f>+Tabla77[[#This Row],[Suma de Neto]]/Tabla77[[#Totals],[Suma de Neto]]</f>
        <v>#REF!</v>
      </c>
      <c r="H238" s="189" t="e">
        <f>+Tabla77[[#This Row],[Suma de Uds.V]]/Tabla77[[#Totals],[Suma de Uds.V]]</f>
        <v>#REF!</v>
      </c>
    </row>
    <row r="239" spans="1:8" hidden="1" x14ac:dyDescent="0.25">
      <c r="A239" s="185" t="s">
        <v>907</v>
      </c>
      <c r="B239" s="186" t="s">
        <v>811</v>
      </c>
      <c r="C239" s="187">
        <v>140</v>
      </c>
      <c r="D239" s="71">
        <v>1166657.6644000025</v>
      </c>
      <c r="E239" s="71">
        <v>93342.335600000064</v>
      </c>
      <c r="F239" s="71">
        <v>1260000</v>
      </c>
      <c r="G239" s="188" t="e">
        <f>+Tabla77[[#This Row],[Suma de Neto]]/Tabla77[[#Totals],[Suma de Neto]]</f>
        <v>#REF!</v>
      </c>
      <c r="H239" s="189" t="e">
        <f>+Tabla77[[#This Row],[Suma de Uds.V]]/Tabla77[[#Totals],[Suma de Uds.V]]</f>
        <v>#REF!</v>
      </c>
    </row>
    <row r="240" spans="1:8" hidden="1" x14ac:dyDescent="0.25">
      <c r="A240" s="185" t="s">
        <v>114</v>
      </c>
      <c r="B240" s="186" t="s">
        <v>112</v>
      </c>
      <c r="C240" s="187">
        <v>199</v>
      </c>
      <c r="D240" s="71">
        <v>6246397.1123999786</v>
      </c>
      <c r="E240" s="71">
        <v>499702.88759999868</v>
      </c>
      <c r="F240" s="71">
        <v>6746100</v>
      </c>
      <c r="G240" s="188" t="e">
        <f>+Tabla77[[#This Row],[Suma de Neto]]/Tabla77[[#Totals],[Suma de Neto]]</f>
        <v>#REF!</v>
      </c>
      <c r="H240" s="189" t="e">
        <f>+Tabla77[[#This Row],[Suma de Uds.V]]/Tabla77[[#Totals],[Suma de Uds.V]]</f>
        <v>#REF!</v>
      </c>
    </row>
    <row r="241" spans="1:8" hidden="1" x14ac:dyDescent="0.25">
      <c r="A241" s="185" t="s">
        <v>908</v>
      </c>
      <c r="B241" s="186" t="s">
        <v>112</v>
      </c>
      <c r="C241" s="187">
        <v>105</v>
      </c>
      <c r="D241" s="71">
        <v>3856982.6645999984</v>
      </c>
      <c r="E241" s="71">
        <v>308577.33540000021</v>
      </c>
      <c r="F241" s="71">
        <v>4165560</v>
      </c>
      <c r="G241" s="188" t="e">
        <f>+Tabla77[[#This Row],[Suma de Neto]]/Tabla77[[#Totals],[Suma de Neto]]</f>
        <v>#REF!</v>
      </c>
      <c r="H241" s="189" t="e">
        <f>+Tabla77[[#This Row],[Suma de Uds.V]]/Tabla77[[#Totals],[Suma de Uds.V]]</f>
        <v>#REF!</v>
      </c>
    </row>
    <row r="242" spans="1:8" hidden="1" x14ac:dyDescent="0.25">
      <c r="A242" s="185" t="s">
        <v>118</v>
      </c>
      <c r="B242" s="186" t="s">
        <v>112</v>
      </c>
      <c r="C242" s="187">
        <v>79</v>
      </c>
      <c r="D242" s="71">
        <v>2808895.0023000021</v>
      </c>
      <c r="E242" s="71">
        <v>224704.99770000024</v>
      </c>
      <c r="F242" s="71">
        <v>3033600</v>
      </c>
      <c r="G242" s="188" t="e">
        <f>+Tabla77[[#This Row],[Suma de Neto]]/Tabla77[[#Totals],[Suma de Neto]]</f>
        <v>#REF!</v>
      </c>
      <c r="H242" s="189" t="e">
        <f>+Tabla77[[#This Row],[Suma de Uds.V]]/Tabla77[[#Totals],[Suma de Uds.V]]</f>
        <v>#REF!</v>
      </c>
    </row>
    <row r="243" spans="1:8" hidden="1" x14ac:dyDescent="0.25">
      <c r="A243" s="185" t="s">
        <v>909</v>
      </c>
      <c r="B243" s="186" t="s">
        <v>800</v>
      </c>
      <c r="C243" s="187">
        <v>119</v>
      </c>
      <c r="D243" s="71">
        <v>2523246.2589999987</v>
      </c>
      <c r="E243" s="71">
        <v>201853.74099999992</v>
      </c>
      <c r="F243" s="71">
        <v>2725100</v>
      </c>
      <c r="G243" s="188" t="e">
        <f>+Tabla77[[#This Row],[Suma de Neto]]/Tabla77[[#Totals],[Suma de Neto]]</f>
        <v>#REF!</v>
      </c>
      <c r="H243" s="189" t="e">
        <f>+Tabla77[[#This Row],[Suma de Uds.V]]/Tabla77[[#Totals],[Suma de Uds.V]]</f>
        <v>#REF!</v>
      </c>
    </row>
    <row r="244" spans="1:8" hidden="1" x14ac:dyDescent="0.25">
      <c r="A244" s="185" t="s">
        <v>910</v>
      </c>
      <c r="B244" s="186" t="s">
        <v>911</v>
      </c>
      <c r="C244" s="187">
        <v>7</v>
      </c>
      <c r="D244" s="71">
        <v>285184.96289999998</v>
      </c>
      <c r="E244" s="71">
        <v>22815.037100000001</v>
      </c>
      <c r="F244" s="71">
        <v>308000</v>
      </c>
      <c r="G244" s="188" t="e">
        <f>+Tabla77[[#This Row],[Suma de Neto]]/Tabla77[[#Totals],[Suma de Neto]]</f>
        <v>#REF!</v>
      </c>
      <c r="H244" s="189" t="e">
        <f>+Tabla77[[#This Row],[Suma de Uds.V]]/Tabla77[[#Totals],[Suma de Uds.V]]</f>
        <v>#REF!</v>
      </c>
    </row>
    <row r="245" spans="1:8" hidden="1" x14ac:dyDescent="0.25">
      <c r="A245" s="185" t="s">
        <v>912</v>
      </c>
      <c r="B245" s="186" t="s">
        <v>287</v>
      </c>
      <c r="C245" s="187">
        <v>20</v>
      </c>
      <c r="D245" s="71">
        <v>257407.4075</v>
      </c>
      <c r="E245" s="71">
        <v>20592.592500000002</v>
      </c>
      <c r="F245" s="71">
        <v>278000</v>
      </c>
      <c r="G245" s="188" t="e">
        <f>+Tabla77[[#This Row],[Suma de Neto]]/Tabla77[[#Totals],[Suma de Neto]]</f>
        <v>#REF!</v>
      </c>
      <c r="H245" s="189" t="e">
        <f>+Tabla77[[#This Row],[Suma de Uds.V]]/Tabla77[[#Totals],[Suma de Uds.V]]</f>
        <v>#REF!</v>
      </c>
    </row>
    <row r="246" spans="1:8" hidden="1" x14ac:dyDescent="0.25">
      <c r="A246" s="185" t="s">
        <v>913</v>
      </c>
      <c r="B246" s="186" t="s">
        <v>287</v>
      </c>
      <c r="C246" s="187">
        <v>6</v>
      </c>
      <c r="D246" s="71">
        <v>77222.481499999994</v>
      </c>
      <c r="E246" s="71">
        <v>6177.5185000000001</v>
      </c>
      <c r="F246" s="71">
        <v>83400</v>
      </c>
      <c r="G246" s="188" t="e">
        <f>+Tabla77[[#This Row],[Suma de Neto]]/Tabla77[[#Totals],[Suma de Neto]]</f>
        <v>#REF!</v>
      </c>
      <c r="H246" s="189" t="e">
        <f>+Tabla77[[#This Row],[Suma de Uds.V]]/Tabla77[[#Totals],[Suma de Uds.V]]</f>
        <v>#REF!</v>
      </c>
    </row>
    <row r="247" spans="1:8" hidden="1" x14ac:dyDescent="0.25">
      <c r="A247" s="185" t="s">
        <v>914</v>
      </c>
      <c r="B247" s="186" t="s">
        <v>804</v>
      </c>
      <c r="C247" s="187">
        <v>6</v>
      </c>
      <c r="D247" s="71">
        <v>138888.4443</v>
      </c>
      <c r="E247" s="71">
        <v>11111.555699999999</v>
      </c>
      <c r="F247" s="71">
        <v>150000</v>
      </c>
      <c r="G247" s="188" t="e">
        <f>+Tabla77[[#This Row],[Suma de Neto]]/Tabla77[[#Totals],[Suma de Neto]]</f>
        <v>#REF!</v>
      </c>
      <c r="H247" s="189" t="e">
        <f>+Tabla77[[#This Row],[Suma de Uds.V]]/Tabla77[[#Totals],[Suma de Uds.V]]</f>
        <v>#REF!</v>
      </c>
    </row>
    <row r="248" spans="1:8" hidden="1" x14ac:dyDescent="0.25">
      <c r="A248" s="185" t="s">
        <v>915</v>
      </c>
      <c r="B248" s="186" t="s">
        <v>814</v>
      </c>
      <c r="C248" s="187">
        <v>11</v>
      </c>
      <c r="D248" s="71">
        <v>356481.25920000009</v>
      </c>
      <c r="E248" s="71">
        <v>28518.7408</v>
      </c>
      <c r="F248" s="71">
        <v>385000</v>
      </c>
      <c r="G248" s="188" t="e">
        <f>+Tabla77[[#This Row],[Suma de Neto]]/Tabla77[[#Totals],[Suma de Neto]]</f>
        <v>#REF!</v>
      </c>
      <c r="H248" s="189" t="e">
        <f>+Tabla77[[#This Row],[Suma de Uds.V]]/Tabla77[[#Totals],[Suma de Uds.V]]</f>
        <v>#REF!</v>
      </c>
    </row>
    <row r="249" spans="1:8" hidden="1" x14ac:dyDescent="0.25">
      <c r="A249" s="185" t="s">
        <v>916</v>
      </c>
      <c r="B249" s="186" t="s">
        <v>814</v>
      </c>
      <c r="C249" s="187">
        <v>7</v>
      </c>
      <c r="D249" s="71">
        <v>382407.40740000003</v>
      </c>
      <c r="E249" s="71">
        <v>30592.592600000004</v>
      </c>
      <c r="F249" s="71">
        <v>413000</v>
      </c>
      <c r="G249" s="188" t="e">
        <f>+Tabla77[[#This Row],[Suma de Neto]]/Tabla77[[#Totals],[Suma de Neto]]</f>
        <v>#REF!</v>
      </c>
      <c r="H249" s="189" t="e">
        <f>+Tabla77[[#This Row],[Suma de Uds.V]]/Tabla77[[#Totals],[Suma de Uds.V]]</f>
        <v>#REF!</v>
      </c>
    </row>
    <row r="250" spans="1:8" hidden="1" x14ac:dyDescent="0.25">
      <c r="A250" s="185" t="s">
        <v>917</v>
      </c>
      <c r="B250" s="186" t="s">
        <v>814</v>
      </c>
      <c r="C250" s="187">
        <v>1</v>
      </c>
      <c r="D250" s="71">
        <v>32407</v>
      </c>
      <c r="E250" s="71">
        <v>2593</v>
      </c>
      <c r="F250" s="71">
        <v>35000</v>
      </c>
      <c r="G250" s="188" t="e">
        <f>+Tabla77[[#This Row],[Suma de Neto]]/Tabla77[[#Totals],[Suma de Neto]]</f>
        <v>#REF!</v>
      </c>
      <c r="H250" s="189" t="e">
        <f>+Tabla77[[#This Row],[Suma de Uds.V]]/Tabla77[[#Totals],[Suma de Uds.V]]</f>
        <v>#REF!</v>
      </c>
    </row>
    <row r="251" spans="1:8" hidden="1" x14ac:dyDescent="0.25">
      <c r="A251" s="185" t="s">
        <v>918</v>
      </c>
      <c r="B251" s="186" t="s">
        <v>804</v>
      </c>
      <c r="C251" s="187">
        <v>1</v>
      </c>
      <c r="D251" s="71">
        <v>25462.963</v>
      </c>
      <c r="E251" s="71">
        <v>2037.037</v>
      </c>
      <c r="F251" s="71">
        <v>27500</v>
      </c>
      <c r="G251" s="188" t="e">
        <f>+Tabla77[[#This Row],[Suma de Neto]]/Tabla77[[#Totals],[Suma de Neto]]</f>
        <v>#REF!</v>
      </c>
      <c r="H251" s="189" t="e">
        <f>+Tabla77[[#This Row],[Suma de Uds.V]]/Tabla77[[#Totals],[Suma de Uds.V]]</f>
        <v>#REF!</v>
      </c>
    </row>
    <row r="252" spans="1:8" hidden="1" x14ac:dyDescent="0.25">
      <c r="A252" s="185" t="s">
        <v>326</v>
      </c>
      <c r="B252" s="186" t="s">
        <v>804</v>
      </c>
      <c r="C252" s="187">
        <v>16</v>
      </c>
      <c r="D252" s="71">
        <v>325923.37040000001</v>
      </c>
      <c r="E252" s="71">
        <v>26076.6296</v>
      </c>
      <c r="F252" s="71">
        <v>352000</v>
      </c>
      <c r="G252" s="188" t="e">
        <f>+Tabla77[[#This Row],[Suma de Neto]]/Tabla77[[#Totals],[Suma de Neto]]</f>
        <v>#REF!</v>
      </c>
      <c r="H252" s="189" t="e">
        <f>+Tabla77[[#This Row],[Suma de Uds.V]]/Tabla77[[#Totals],[Suma de Uds.V]]</f>
        <v>#REF!</v>
      </c>
    </row>
    <row r="253" spans="1:8" hidden="1" x14ac:dyDescent="0.25">
      <c r="A253" s="185" t="s">
        <v>919</v>
      </c>
      <c r="B253" s="186" t="s">
        <v>286</v>
      </c>
      <c r="C253" s="187">
        <v>1</v>
      </c>
      <c r="D253" s="71">
        <v>34259.259299999998</v>
      </c>
      <c r="E253" s="71">
        <v>2740.7406999999998</v>
      </c>
      <c r="F253" s="71">
        <v>37000</v>
      </c>
      <c r="G253" s="188" t="e">
        <f>+Tabla77[[#This Row],[Suma de Neto]]/Tabla77[[#Totals],[Suma de Neto]]</f>
        <v>#REF!</v>
      </c>
      <c r="H253" s="189" t="e">
        <f>+Tabla77[[#This Row],[Suma de Uds.V]]/Tabla77[[#Totals],[Suma de Uds.V]]</f>
        <v>#REF!</v>
      </c>
    </row>
    <row r="254" spans="1:8" hidden="1" x14ac:dyDescent="0.25">
      <c r="A254" s="185" t="s">
        <v>295</v>
      </c>
      <c r="B254" s="186" t="s">
        <v>850</v>
      </c>
      <c r="C254" s="187">
        <v>10</v>
      </c>
      <c r="D254" s="71">
        <v>731481.74049999996</v>
      </c>
      <c r="E254" s="71">
        <v>58518.259500000007</v>
      </c>
      <c r="F254" s="71">
        <v>790000</v>
      </c>
      <c r="G254" s="188" t="e">
        <f>+Tabla77[[#This Row],[Suma de Neto]]/Tabla77[[#Totals],[Suma de Neto]]</f>
        <v>#REF!</v>
      </c>
      <c r="H254" s="189" t="e">
        <f>+Tabla77[[#This Row],[Suma de Uds.V]]/Tabla77[[#Totals],[Suma de Uds.V]]</f>
        <v>#REF!</v>
      </c>
    </row>
    <row r="255" spans="1:8" hidden="1" x14ac:dyDescent="0.25">
      <c r="A255" s="185" t="s">
        <v>920</v>
      </c>
      <c r="B255" s="186" t="s">
        <v>850</v>
      </c>
      <c r="C255" s="187">
        <v>5</v>
      </c>
      <c r="D255" s="71">
        <v>310185.1851</v>
      </c>
      <c r="E255" s="71">
        <v>24814.814900000001</v>
      </c>
      <c r="F255" s="71">
        <v>335000</v>
      </c>
      <c r="G255" s="188" t="e">
        <f>+Tabla77[[#This Row],[Suma de Neto]]/Tabla77[[#Totals],[Suma de Neto]]</f>
        <v>#REF!</v>
      </c>
      <c r="H255" s="189" t="e">
        <f>+Tabla77[[#This Row],[Suma de Uds.V]]/Tabla77[[#Totals],[Suma de Uds.V]]</f>
        <v>#REF!</v>
      </c>
    </row>
    <row r="256" spans="1:8" hidden="1" x14ac:dyDescent="0.25">
      <c r="A256" s="185" t="s">
        <v>294</v>
      </c>
      <c r="B256" s="186" t="s">
        <v>850</v>
      </c>
      <c r="C256" s="187">
        <v>49</v>
      </c>
      <c r="D256" s="71">
        <v>2037037.1110000003</v>
      </c>
      <c r="E256" s="71">
        <v>162962.889</v>
      </c>
      <c r="F256" s="71">
        <v>2200000</v>
      </c>
      <c r="G256" s="188" t="e">
        <f>+Tabla77[[#This Row],[Suma de Neto]]/Tabla77[[#Totals],[Suma de Neto]]</f>
        <v>#REF!</v>
      </c>
      <c r="H256" s="189" t="e">
        <f>+Tabla77[[#This Row],[Suma de Uds.V]]/Tabla77[[#Totals],[Suma de Uds.V]]</f>
        <v>#REF!</v>
      </c>
    </row>
    <row r="257" spans="1:8" hidden="1" x14ac:dyDescent="0.25">
      <c r="A257" s="185" t="s">
        <v>921</v>
      </c>
      <c r="B257" s="186" t="s">
        <v>309</v>
      </c>
      <c r="C257" s="187">
        <v>19</v>
      </c>
      <c r="D257" s="71">
        <v>580556.00020000001</v>
      </c>
      <c r="E257" s="71">
        <v>46443.999799999998</v>
      </c>
      <c r="F257" s="71">
        <v>627000</v>
      </c>
      <c r="G257" s="188" t="e">
        <f>+Tabla77[[#This Row],[Suma de Neto]]/Tabla77[[#Totals],[Suma de Neto]]</f>
        <v>#REF!</v>
      </c>
      <c r="H257" s="189" t="e">
        <f>+Tabla77[[#This Row],[Suma de Uds.V]]/Tabla77[[#Totals],[Suma de Uds.V]]</f>
        <v>#REF!</v>
      </c>
    </row>
    <row r="258" spans="1:8" hidden="1" x14ac:dyDescent="0.25">
      <c r="A258" s="185" t="s">
        <v>319</v>
      </c>
      <c r="B258" s="186" t="s">
        <v>314</v>
      </c>
      <c r="C258" s="187">
        <v>4</v>
      </c>
      <c r="D258" s="71">
        <v>177776.88890000002</v>
      </c>
      <c r="E258" s="71">
        <v>14223.1111</v>
      </c>
      <c r="F258" s="71">
        <v>192000</v>
      </c>
      <c r="G258" s="188" t="e">
        <f>+Tabla77[[#This Row],[Suma de Neto]]/Tabla77[[#Totals],[Suma de Neto]]</f>
        <v>#REF!</v>
      </c>
      <c r="H258" s="189" t="e">
        <f>+Tabla77[[#This Row],[Suma de Uds.V]]/Tabla77[[#Totals],[Suma de Uds.V]]</f>
        <v>#REF!</v>
      </c>
    </row>
    <row r="259" spans="1:8" hidden="1" x14ac:dyDescent="0.25">
      <c r="A259" s="185" t="s">
        <v>327</v>
      </c>
      <c r="B259" s="186" t="s">
        <v>804</v>
      </c>
      <c r="C259" s="187">
        <v>15</v>
      </c>
      <c r="D259" s="71">
        <v>458336.88910000003</v>
      </c>
      <c r="E259" s="71">
        <v>36663.1109</v>
      </c>
      <c r="F259" s="71">
        <v>495000</v>
      </c>
      <c r="G259" s="188" t="e">
        <f>+Tabla77[[#This Row],[Suma de Neto]]/Tabla77[[#Totals],[Suma de Neto]]</f>
        <v>#REF!</v>
      </c>
      <c r="H259" s="189" t="e">
        <f>+Tabla77[[#This Row],[Suma de Uds.V]]/Tabla77[[#Totals],[Suma de Uds.V]]</f>
        <v>#REF!</v>
      </c>
    </row>
    <row r="260" spans="1:8" hidden="1" x14ac:dyDescent="0.25">
      <c r="A260" s="185" t="s">
        <v>922</v>
      </c>
      <c r="B260" s="186" t="s">
        <v>814</v>
      </c>
      <c r="C260" s="187">
        <v>24</v>
      </c>
      <c r="D260" s="71">
        <v>777777.2962000001</v>
      </c>
      <c r="E260" s="71">
        <v>62222.703800000003</v>
      </c>
      <c r="F260" s="71">
        <v>840000</v>
      </c>
      <c r="G260" s="188" t="e">
        <f>+Tabla77[[#This Row],[Suma de Neto]]/Tabla77[[#Totals],[Suma de Neto]]</f>
        <v>#REF!</v>
      </c>
      <c r="H260" s="189" t="e">
        <f>+Tabla77[[#This Row],[Suma de Uds.V]]/Tabla77[[#Totals],[Suma de Uds.V]]</f>
        <v>#REF!</v>
      </c>
    </row>
    <row r="261" spans="1:8" hidden="1" x14ac:dyDescent="0.25">
      <c r="A261" s="185" t="s">
        <v>923</v>
      </c>
      <c r="B261" s="186" t="s">
        <v>286</v>
      </c>
      <c r="C261" s="187">
        <v>1</v>
      </c>
      <c r="D261" s="71">
        <v>31018.518499999998</v>
      </c>
      <c r="E261" s="71">
        <v>2481.4814999999999</v>
      </c>
      <c r="F261" s="71">
        <v>33500</v>
      </c>
      <c r="G261" s="188" t="e">
        <f>+Tabla77[[#This Row],[Suma de Neto]]/Tabla77[[#Totals],[Suma de Neto]]</f>
        <v>#REF!</v>
      </c>
      <c r="H261" s="189" t="e">
        <f>+Tabla77[[#This Row],[Suma de Uds.V]]/Tabla77[[#Totals],[Suma de Uds.V]]</f>
        <v>#REF!</v>
      </c>
    </row>
    <row r="262" spans="1:8" hidden="1" x14ac:dyDescent="0.25">
      <c r="A262" s="185" t="s">
        <v>924</v>
      </c>
      <c r="B262" s="186" t="s">
        <v>286</v>
      </c>
      <c r="C262" s="187">
        <v>13</v>
      </c>
      <c r="D262" s="71">
        <v>300925.48129999998</v>
      </c>
      <c r="E262" s="71">
        <v>24074.518700000001</v>
      </c>
      <c r="F262" s="71">
        <v>325000</v>
      </c>
      <c r="G262" s="188" t="e">
        <f>+Tabla77[[#This Row],[Suma de Neto]]/Tabla77[[#Totals],[Suma de Neto]]</f>
        <v>#REF!</v>
      </c>
      <c r="H262" s="189" t="e">
        <f>+Tabla77[[#This Row],[Suma de Uds.V]]/Tabla77[[#Totals],[Suma de Uds.V]]</f>
        <v>#REF!</v>
      </c>
    </row>
    <row r="263" spans="1:8" hidden="1" x14ac:dyDescent="0.25">
      <c r="A263" s="185" t="s">
        <v>925</v>
      </c>
      <c r="B263" s="186" t="s">
        <v>850</v>
      </c>
      <c r="C263" s="187">
        <v>34</v>
      </c>
      <c r="D263" s="71">
        <v>783334.29610000004</v>
      </c>
      <c r="E263" s="71">
        <v>62665.703900000008</v>
      </c>
      <c r="F263" s="71">
        <v>846000</v>
      </c>
      <c r="G263" s="188" t="e">
        <f>+Tabla77[[#This Row],[Suma de Neto]]/Tabla77[[#Totals],[Suma de Neto]]</f>
        <v>#REF!</v>
      </c>
      <c r="H263" s="189" t="e">
        <f>+Tabla77[[#This Row],[Suma de Uds.V]]/Tabla77[[#Totals],[Suma de Uds.V]]</f>
        <v>#REF!</v>
      </c>
    </row>
    <row r="264" spans="1:8" hidden="1" x14ac:dyDescent="0.25">
      <c r="A264" s="185" t="s">
        <v>926</v>
      </c>
      <c r="B264" s="186" t="s">
        <v>288</v>
      </c>
      <c r="C264" s="187">
        <v>1</v>
      </c>
      <c r="D264" s="71">
        <v>13888.8889</v>
      </c>
      <c r="E264" s="71">
        <v>1111.1111000000001</v>
      </c>
      <c r="F264" s="71">
        <v>15000</v>
      </c>
      <c r="G264" s="188" t="e">
        <f>+Tabla77[[#This Row],[Suma de Neto]]/Tabla77[[#Totals],[Suma de Neto]]</f>
        <v>#REF!</v>
      </c>
      <c r="H264" s="189" t="e">
        <f>+Tabla77[[#This Row],[Suma de Uds.V]]/Tabla77[[#Totals],[Suma de Uds.V]]</f>
        <v>#REF!</v>
      </c>
    </row>
    <row r="265" spans="1:8" hidden="1" x14ac:dyDescent="0.25">
      <c r="A265" s="185" t="s">
        <v>927</v>
      </c>
      <c r="B265" s="186" t="s">
        <v>288</v>
      </c>
      <c r="C265" s="187">
        <v>1</v>
      </c>
      <c r="D265" s="71">
        <v>12962.963</v>
      </c>
      <c r="E265" s="71">
        <v>1037.037</v>
      </c>
      <c r="F265" s="71">
        <v>14000</v>
      </c>
      <c r="G265" s="188" t="e">
        <f>+Tabla77[[#This Row],[Suma de Neto]]/Tabla77[[#Totals],[Suma de Neto]]</f>
        <v>#REF!</v>
      </c>
      <c r="H265" s="189" t="e">
        <f>+Tabla77[[#This Row],[Suma de Uds.V]]/Tabla77[[#Totals],[Suma de Uds.V]]</f>
        <v>#REF!</v>
      </c>
    </row>
    <row r="266" spans="1:8" hidden="1" x14ac:dyDescent="0.25">
      <c r="A266" s="185" t="s">
        <v>928</v>
      </c>
      <c r="B266" s="186" t="s">
        <v>288</v>
      </c>
      <c r="C266" s="187">
        <v>14</v>
      </c>
      <c r="D266" s="71">
        <v>272221.77769999998</v>
      </c>
      <c r="E266" s="71">
        <v>21778.222300000001</v>
      </c>
      <c r="F266" s="71">
        <v>294000</v>
      </c>
      <c r="G266" s="188" t="e">
        <f>+Tabla77[[#This Row],[Suma de Neto]]/Tabla77[[#Totals],[Suma de Neto]]</f>
        <v>#REF!</v>
      </c>
      <c r="H266" s="189" t="e">
        <f>+Tabla77[[#This Row],[Suma de Uds.V]]/Tabla77[[#Totals],[Suma de Uds.V]]</f>
        <v>#REF!</v>
      </c>
    </row>
    <row r="267" spans="1:8" hidden="1" x14ac:dyDescent="0.25">
      <c r="A267" s="185" t="s">
        <v>929</v>
      </c>
      <c r="B267" s="186" t="s">
        <v>288</v>
      </c>
      <c r="C267" s="187">
        <v>6</v>
      </c>
      <c r="D267" s="71">
        <v>332777.77789999999</v>
      </c>
      <c r="E267" s="71">
        <v>26622.222099999999</v>
      </c>
      <c r="F267" s="71">
        <v>359400</v>
      </c>
      <c r="G267" s="188" t="e">
        <f>+Tabla77[[#This Row],[Suma de Neto]]/Tabla77[[#Totals],[Suma de Neto]]</f>
        <v>#REF!</v>
      </c>
      <c r="H267" s="189" t="e">
        <f>+Tabla77[[#This Row],[Suma de Uds.V]]/Tabla77[[#Totals],[Suma de Uds.V]]</f>
        <v>#REF!</v>
      </c>
    </row>
    <row r="268" spans="1:8" hidden="1" x14ac:dyDescent="0.25">
      <c r="A268" s="185" t="s">
        <v>930</v>
      </c>
      <c r="B268" s="186" t="s">
        <v>288</v>
      </c>
      <c r="C268" s="187">
        <v>1</v>
      </c>
      <c r="D268" s="71">
        <v>28703.703699999998</v>
      </c>
      <c r="E268" s="71">
        <v>2296.2963</v>
      </c>
      <c r="F268" s="71">
        <v>31000</v>
      </c>
      <c r="G268" s="188" t="e">
        <f>+Tabla77[[#This Row],[Suma de Neto]]/Tabla77[[#Totals],[Suma de Neto]]</f>
        <v>#REF!</v>
      </c>
      <c r="H268" s="189" t="e">
        <f>+Tabla77[[#This Row],[Suma de Uds.V]]/Tabla77[[#Totals],[Suma de Uds.V]]</f>
        <v>#REF!</v>
      </c>
    </row>
    <row r="269" spans="1:8" hidden="1" x14ac:dyDescent="0.25">
      <c r="A269" s="185" t="s">
        <v>931</v>
      </c>
      <c r="B269" s="186" t="s">
        <v>314</v>
      </c>
      <c r="C269" s="187">
        <v>1</v>
      </c>
      <c r="D269" s="71">
        <v>34167</v>
      </c>
      <c r="E269" s="71">
        <v>2733</v>
      </c>
      <c r="F269" s="71">
        <v>36900</v>
      </c>
      <c r="G269" s="188" t="e">
        <f>+Tabla77[[#This Row],[Suma de Neto]]/Tabla77[[#Totals],[Suma de Neto]]</f>
        <v>#REF!</v>
      </c>
      <c r="H269" s="189" t="e">
        <f>+Tabla77[[#This Row],[Suma de Uds.V]]/Tabla77[[#Totals],[Suma de Uds.V]]</f>
        <v>#REF!</v>
      </c>
    </row>
    <row r="270" spans="1:8" hidden="1" x14ac:dyDescent="0.25">
      <c r="A270" s="185" t="s">
        <v>932</v>
      </c>
      <c r="B270" s="186" t="s">
        <v>850</v>
      </c>
      <c r="C270" s="187">
        <v>1</v>
      </c>
      <c r="D270" s="71">
        <v>42593</v>
      </c>
      <c r="E270" s="71">
        <v>3407</v>
      </c>
      <c r="F270" s="71">
        <v>46000</v>
      </c>
      <c r="G270" s="188" t="e">
        <f>+Tabla77[[#This Row],[Suma de Neto]]/Tabla77[[#Totals],[Suma de Neto]]</f>
        <v>#REF!</v>
      </c>
      <c r="H270" s="189" t="e">
        <f>+Tabla77[[#This Row],[Suma de Uds.V]]/Tabla77[[#Totals],[Suma de Uds.V]]</f>
        <v>#REF!</v>
      </c>
    </row>
    <row r="271" spans="1:8" hidden="1" x14ac:dyDescent="0.25">
      <c r="A271" s="185" t="s">
        <v>312</v>
      </c>
      <c r="B271" s="186" t="s">
        <v>309</v>
      </c>
      <c r="C271" s="187">
        <v>5</v>
      </c>
      <c r="D271" s="71">
        <v>129629.77770000001</v>
      </c>
      <c r="E271" s="71">
        <v>10370.222299999999</v>
      </c>
      <c r="F271" s="71">
        <v>140000</v>
      </c>
      <c r="G271" s="188" t="e">
        <f>+Tabla77[[#This Row],[Suma de Neto]]/Tabla77[[#Totals],[Suma de Neto]]</f>
        <v>#REF!</v>
      </c>
      <c r="H271" s="189" t="e">
        <f>+Tabla77[[#This Row],[Suma de Uds.V]]/Tabla77[[#Totals],[Suma de Uds.V]]</f>
        <v>#REF!</v>
      </c>
    </row>
    <row r="272" spans="1:8" hidden="1" x14ac:dyDescent="0.25">
      <c r="A272" s="185" t="s">
        <v>933</v>
      </c>
      <c r="B272" s="186" t="s">
        <v>814</v>
      </c>
      <c r="C272" s="187">
        <v>9</v>
      </c>
      <c r="D272" s="71">
        <v>458333.33350000001</v>
      </c>
      <c r="E272" s="71">
        <v>36666.666499999999</v>
      </c>
      <c r="F272" s="71">
        <v>495000</v>
      </c>
      <c r="G272" s="188" t="e">
        <f>+Tabla77[[#This Row],[Suma de Neto]]/Tabla77[[#Totals],[Suma de Neto]]</f>
        <v>#REF!</v>
      </c>
      <c r="H272" s="189" t="e">
        <f>+Tabla77[[#This Row],[Suma de Uds.V]]/Tabla77[[#Totals],[Suma de Uds.V]]</f>
        <v>#REF!</v>
      </c>
    </row>
    <row r="273" spans="1:8" hidden="1" x14ac:dyDescent="0.25">
      <c r="A273" s="185" t="s">
        <v>934</v>
      </c>
      <c r="B273" s="186" t="s">
        <v>126</v>
      </c>
      <c r="C273" s="187">
        <v>490</v>
      </c>
      <c r="D273" s="71">
        <v>24711709.082299951</v>
      </c>
      <c r="E273" s="71">
        <v>1976940.9177000031</v>
      </c>
      <c r="F273" s="71">
        <v>26688650</v>
      </c>
      <c r="G273" s="188" t="e">
        <f>+Tabla77[[#This Row],[Suma de Neto]]/Tabla77[[#Totals],[Suma de Neto]]</f>
        <v>#REF!</v>
      </c>
      <c r="H273" s="189" t="e">
        <f>+Tabla77[[#This Row],[Suma de Uds.V]]/Tabla77[[#Totals],[Suma de Uds.V]]</f>
        <v>#REF!</v>
      </c>
    </row>
    <row r="274" spans="1:8" hidden="1" x14ac:dyDescent="0.25">
      <c r="A274" s="185" t="s">
        <v>334</v>
      </c>
      <c r="B274" s="186" t="s">
        <v>112</v>
      </c>
      <c r="C274" s="187">
        <v>136</v>
      </c>
      <c r="D274" s="71">
        <v>7198885.4412999768</v>
      </c>
      <c r="E274" s="71">
        <v>575914.55869999935</v>
      </c>
      <c r="F274" s="71">
        <v>7774800</v>
      </c>
      <c r="G274" s="188" t="e">
        <f>+Tabla77[[#This Row],[Suma de Neto]]/Tabla77[[#Totals],[Suma de Neto]]</f>
        <v>#REF!</v>
      </c>
      <c r="H274" s="189" t="e">
        <f>+Tabla77[[#This Row],[Suma de Uds.V]]/Tabla77[[#Totals],[Suma de Uds.V]]</f>
        <v>#REF!</v>
      </c>
    </row>
    <row r="275" spans="1:8" hidden="1" x14ac:dyDescent="0.25">
      <c r="A275" s="185" t="s">
        <v>152</v>
      </c>
      <c r="B275" s="186" t="s">
        <v>286</v>
      </c>
      <c r="C275" s="187">
        <v>29</v>
      </c>
      <c r="D275" s="71">
        <v>1339907.2591999997</v>
      </c>
      <c r="E275" s="71">
        <v>107192.74080000001</v>
      </c>
      <c r="F275" s="71">
        <v>1447100</v>
      </c>
      <c r="G275" s="188" t="e">
        <f>+Tabla77[[#This Row],[Suma de Neto]]/Tabla77[[#Totals],[Suma de Neto]]</f>
        <v>#REF!</v>
      </c>
      <c r="H275" s="189" t="e">
        <f>+Tabla77[[#This Row],[Suma de Uds.V]]/Tabla77[[#Totals],[Suma de Uds.V]]</f>
        <v>#REF!</v>
      </c>
    </row>
    <row r="276" spans="1:8" hidden="1" x14ac:dyDescent="0.25">
      <c r="A276" s="185" t="s">
        <v>160</v>
      </c>
      <c r="B276" s="186" t="s">
        <v>331</v>
      </c>
      <c r="C276" s="187">
        <v>3</v>
      </c>
      <c r="D276" s="71">
        <v>41666.777799999996</v>
      </c>
      <c r="E276" s="71">
        <v>3333.2222000000002</v>
      </c>
      <c r="F276" s="71">
        <v>45000</v>
      </c>
      <c r="G276" s="188" t="e">
        <f>+Tabla77[[#This Row],[Suma de Neto]]/Tabla77[[#Totals],[Suma de Neto]]</f>
        <v>#REF!</v>
      </c>
      <c r="H276" s="189" t="e">
        <f>+Tabla77[[#This Row],[Suma de Uds.V]]/Tabla77[[#Totals],[Suma de Uds.V]]</f>
        <v>#REF!</v>
      </c>
    </row>
    <row r="277" spans="1:8" hidden="1" x14ac:dyDescent="0.25">
      <c r="A277" s="185" t="s">
        <v>735</v>
      </c>
      <c r="B277" s="186" t="s">
        <v>331</v>
      </c>
      <c r="C277" s="187">
        <v>145</v>
      </c>
      <c r="D277" s="71">
        <v>98889.184899999978</v>
      </c>
      <c r="E277" s="71">
        <v>7910.8150999999989</v>
      </c>
      <c r="F277" s="71">
        <v>106800</v>
      </c>
      <c r="G277" s="188" t="e">
        <f>+Tabla77[[#This Row],[Suma de Neto]]/Tabla77[[#Totals],[Suma de Neto]]</f>
        <v>#REF!</v>
      </c>
      <c r="H277" s="189" t="e">
        <f>+Tabla77[[#This Row],[Suma de Uds.V]]/Tabla77[[#Totals],[Suma de Uds.V]]</f>
        <v>#REF!</v>
      </c>
    </row>
    <row r="278" spans="1:8" hidden="1" x14ac:dyDescent="0.25">
      <c r="A278" s="185" t="s">
        <v>764</v>
      </c>
      <c r="B278" s="186" t="s">
        <v>790</v>
      </c>
      <c r="C278" s="187">
        <v>1</v>
      </c>
      <c r="D278" s="71">
        <v>125000</v>
      </c>
      <c r="E278" s="71">
        <v>10000</v>
      </c>
      <c r="F278" s="71">
        <v>135000</v>
      </c>
      <c r="G278" s="188" t="e">
        <f>+Tabla77[[#This Row],[Suma de Neto]]/Tabla77[[#Totals],[Suma de Neto]]</f>
        <v>#REF!</v>
      </c>
      <c r="H278" s="189" t="e">
        <f>+Tabla77[[#This Row],[Suma de Uds.V]]/Tabla77[[#Totals],[Suma de Uds.V]]</f>
        <v>#REF!</v>
      </c>
    </row>
    <row r="279" spans="1:8" hidden="1" x14ac:dyDescent="0.25">
      <c r="A279" s="185" t="s">
        <v>673</v>
      </c>
      <c r="B279" s="186" t="s">
        <v>935</v>
      </c>
      <c r="C279" s="187">
        <v>27</v>
      </c>
      <c r="D279" s="71">
        <v>0</v>
      </c>
      <c r="E279" s="71">
        <v>0</v>
      </c>
      <c r="F279" s="71">
        <v>0</v>
      </c>
      <c r="G279" s="188" t="e">
        <f>+Tabla77[[#This Row],[Suma de Neto]]/Tabla77[[#Totals],[Suma de Neto]]</f>
        <v>#REF!</v>
      </c>
      <c r="H279" s="189" t="e">
        <f>+Tabla77[[#This Row],[Suma de Uds.V]]/Tabla77[[#Totals],[Suma de Uds.V]]</f>
        <v>#REF!</v>
      </c>
    </row>
    <row r="280" spans="1:8" hidden="1" x14ac:dyDescent="0.25">
      <c r="A280" s="185" t="s">
        <v>765</v>
      </c>
      <c r="B280" s="186" t="s">
        <v>790</v>
      </c>
      <c r="C280" s="187">
        <v>6</v>
      </c>
      <c r="D280" s="71">
        <v>750001</v>
      </c>
      <c r="E280" s="71">
        <v>59999</v>
      </c>
      <c r="F280" s="71">
        <v>810000</v>
      </c>
      <c r="G280" s="188" t="e">
        <f>+Tabla77[[#This Row],[Suma de Neto]]/Tabla77[[#Totals],[Suma de Neto]]</f>
        <v>#REF!</v>
      </c>
      <c r="H280" s="189" t="e">
        <f>+Tabla77[[#This Row],[Suma de Uds.V]]/Tabla77[[#Totals],[Suma de Uds.V]]</f>
        <v>#REF!</v>
      </c>
    </row>
    <row r="281" spans="1:8" hidden="1" x14ac:dyDescent="0.25">
      <c r="A281" s="185" t="s">
        <v>678</v>
      </c>
      <c r="B281" s="186" t="s">
        <v>935</v>
      </c>
      <c r="C281" s="187">
        <v>94</v>
      </c>
      <c r="D281" s="71">
        <v>0</v>
      </c>
      <c r="E281" s="71">
        <v>0</v>
      </c>
      <c r="F281" s="71">
        <v>0</v>
      </c>
      <c r="G281" s="188" t="e">
        <f>+Tabla77[[#This Row],[Suma de Neto]]/Tabla77[[#Totals],[Suma de Neto]]</f>
        <v>#REF!</v>
      </c>
      <c r="H281" s="189" t="e">
        <f>+Tabla77[[#This Row],[Suma de Uds.V]]/Tabla77[[#Totals],[Suma de Uds.V]]</f>
        <v>#REF!</v>
      </c>
    </row>
    <row r="282" spans="1:8" hidden="1" x14ac:dyDescent="0.25">
      <c r="A282" s="185" t="s">
        <v>141</v>
      </c>
      <c r="B282" s="186" t="s">
        <v>112</v>
      </c>
      <c r="C282" s="187">
        <v>146</v>
      </c>
      <c r="D282" s="71">
        <v>3366128.8930000043</v>
      </c>
      <c r="E282" s="71">
        <v>269271.10700000031</v>
      </c>
      <c r="F282" s="71">
        <v>3635400</v>
      </c>
      <c r="G282" s="188" t="e">
        <f>+Tabla77[[#This Row],[Suma de Neto]]/Tabla77[[#Totals],[Suma de Neto]]</f>
        <v>#REF!</v>
      </c>
      <c r="H282" s="189" t="e">
        <f>+Tabla77[[#This Row],[Suma de Uds.V]]/Tabla77[[#Totals],[Suma de Uds.V]]</f>
        <v>#REF!</v>
      </c>
    </row>
    <row r="283" spans="1:8" hidden="1" x14ac:dyDescent="0.25">
      <c r="A283" s="185" t="s">
        <v>936</v>
      </c>
      <c r="B283" s="186" t="s">
        <v>793</v>
      </c>
      <c r="C283" s="187">
        <v>309</v>
      </c>
      <c r="D283" s="71">
        <v>829712.48459999776</v>
      </c>
      <c r="E283" s="71">
        <v>66387.515400000004</v>
      </c>
      <c r="F283" s="71">
        <v>896100</v>
      </c>
      <c r="G283" s="188" t="e">
        <f>+Tabla77[[#This Row],[Suma de Neto]]/Tabla77[[#Totals],[Suma de Neto]]</f>
        <v>#REF!</v>
      </c>
      <c r="H283" s="189" t="e">
        <f>+Tabla77[[#This Row],[Suma de Uds.V]]/Tabla77[[#Totals],[Suma de Uds.V]]</f>
        <v>#REF!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04A98-BF25-41EC-BDDB-849933A2029A}">
  <dimension ref="B6:I39"/>
  <sheetViews>
    <sheetView showGridLines="0" topLeftCell="A22" workbookViewId="0">
      <selection activeCell="B36" sqref="B36"/>
    </sheetView>
  </sheetViews>
  <sheetFormatPr baseColWidth="10" defaultRowHeight="14.4" x14ac:dyDescent="0.3"/>
  <cols>
    <col min="1" max="1" width="6.33203125" customWidth="1"/>
    <col min="2" max="2" width="40.109375" bestFit="1" customWidth="1"/>
    <col min="7" max="7" width="3.5546875" customWidth="1"/>
    <col min="8" max="8" width="27.33203125" bestFit="1" customWidth="1"/>
  </cols>
  <sheetData>
    <row r="6" spans="2:9" x14ac:dyDescent="0.3">
      <c r="B6" s="16" t="s">
        <v>813</v>
      </c>
      <c r="C6" s="2"/>
      <c r="D6" s="2"/>
      <c r="E6" s="3"/>
      <c r="F6" s="3"/>
      <c r="G6" s="4"/>
      <c r="H6" s="277" t="s">
        <v>0</v>
      </c>
      <c r="I6" s="277"/>
    </row>
    <row r="7" spans="2:9" x14ac:dyDescent="0.3">
      <c r="B7" s="13" t="s">
        <v>1</v>
      </c>
      <c r="C7" s="14" t="s">
        <v>2</v>
      </c>
      <c r="D7" s="14" t="s">
        <v>3</v>
      </c>
      <c r="E7" s="28" t="s">
        <v>4</v>
      </c>
      <c r="F7" s="28" t="s">
        <v>5</v>
      </c>
      <c r="G7" s="4"/>
      <c r="H7" s="5" t="s">
        <v>6</v>
      </c>
      <c r="I7" s="6">
        <f>SUM(Tabla11034534544554564791081351121722993063164246276207[Total costo])</f>
        <v>45556.999999920001</v>
      </c>
    </row>
    <row r="8" spans="2:9" x14ac:dyDescent="0.3">
      <c r="B8" s="7" t="s">
        <v>609</v>
      </c>
      <c r="C8" s="8" t="s">
        <v>107</v>
      </c>
      <c r="D8" s="9">
        <v>24</v>
      </c>
      <c r="E8" s="10">
        <f>+VLOOKUP(Tabla11034534544554564791081351121722993063164246276207[[#This Row],[Ingrediente]],Tabla34[#All],3,0)</f>
        <v>1898.20833333</v>
      </c>
      <c r="F8" s="11">
        <f>+Tabla11034534544554564791081351121722993063164246276207[[#This Row],[Costo]]*Tabla11034534544554564791081351121722993063164246276207[[#This Row],[Cant.]]</f>
        <v>45556.999999920001</v>
      </c>
      <c r="G8" s="4"/>
      <c r="H8" s="5" t="s">
        <v>113</v>
      </c>
      <c r="I8" s="12"/>
    </row>
    <row r="9" spans="2:9" x14ac:dyDescent="0.3">
      <c r="B9" s="13"/>
      <c r="C9" s="14"/>
      <c r="D9" s="14"/>
      <c r="E9" s="15"/>
      <c r="F9" s="15">
        <f>SUBTOTAL(109,Tabla11034534544554564791081351121722993063164246276207[Total costo])</f>
        <v>45556.999999920001</v>
      </c>
      <c r="G9" s="4"/>
      <c r="H9" s="5" t="s">
        <v>9</v>
      </c>
      <c r="I9" s="12">
        <f>+I7+I8</f>
        <v>45556.999999920001</v>
      </c>
    </row>
    <row r="10" spans="2:9" x14ac:dyDescent="0.3">
      <c r="G10" s="4"/>
      <c r="H10" s="17" t="s">
        <v>10</v>
      </c>
      <c r="I10" s="18">
        <v>145000</v>
      </c>
    </row>
    <row r="11" spans="2:9" x14ac:dyDescent="0.3">
      <c r="G11" s="4"/>
      <c r="H11" s="5" t="s">
        <v>11</v>
      </c>
      <c r="I11" s="12">
        <f>+I10/1.08*0.08</f>
        <v>10740.740740740739</v>
      </c>
    </row>
    <row r="12" spans="2:9" x14ac:dyDescent="0.3">
      <c r="G12" s="4"/>
      <c r="H12" s="5" t="s">
        <v>12</v>
      </c>
      <c r="I12" s="12">
        <f>+I10-I11</f>
        <v>134259.25925925927</v>
      </c>
    </row>
    <row r="13" spans="2:9" x14ac:dyDescent="0.3">
      <c r="G13" s="4"/>
      <c r="H13" s="5" t="s">
        <v>13</v>
      </c>
      <c r="I13" s="19">
        <f>+I9/I12</f>
        <v>0.33932110344767996</v>
      </c>
    </row>
    <row r="14" spans="2:9" x14ac:dyDescent="0.3">
      <c r="G14" s="4"/>
      <c r="H14" s="5" t="s">
        <v>14</v>
      </c>
      <c r="I14" s="20">
        <f>+I12-I9</f>
        <v>88702.259259339276</v>
      </c>
    </row>
    <row r="15" spans="2:9" x14ac:dyDescent="0.3">
      <c r="G15" s="4"/>
      <c r="H15" s="5" t="s">
        <v>15</v>
      </c>
      <c r="I15" s="22">
        <f>+I14/I9</f>
        <v>1.9470610281514376</v>
      </c>
    </row>
    <row r="16" spans="2:9" x14ac:dyDescent="0.3">
      <c r="G16" s="4"/>
      <c r="H16" s="4"/>
      <c r="I16" s="23"/>
    </row>
    <row r="19" spans="2:9" x14ac:dyDescent="0.3">
      <c r="B19" s="1" t="s">
        <v>866</v>
      </c>
      <c r="C19" s="2"/>
      <c r="D19" s="2"/>
      <c r="E19" s="3"/>
      <c r="F19" s="3"/>
      <c r="G19" s="4"/>
      <c r="H19" s="277" t="s">
        <v>0</v>
      </c>
      <c r="I19" s="277"/>
    </row>
    <row r="20" spans="2:9" x14ac:dyDescent="0.3">
      <c r="B20" s="13" t="s">
        <v>1</v>
      </c>
      <c r="C20" s="14" t="s">
        <v>2</v>
      </c>
      <c r="D20" s="14" t="s">
        <v>3</v>
      </c>
      <c r="E20" s="28" t="s">
        <v>4</v>
      </c>
      <c r="F20" s="28" t="s">
        <v>5</v>
      </c>
      <c r="G20" s="4"/>
      <c r="H20" s="5" t="s">
        <v>6</v>
      </c>
      <c r="I20" s="6">
        <f>SUM(Tabla11034534544554564791081351121722993063164246276207328[Total costo])</f>
        <v>24403</v>
      </c>
    </row>
    <row r="21" spans="2:9" x14ac:dyDescent="0.3">
      <c r="B21" s="7" t="s">
        <v>477</v>
      </c>
      <c r="C21" s="8" t="s">
        <v>61</v>
      </c>
      <c r="D21" s="9">
        <v>1</v>
      </c>
      <c r="E21" s="10">
        <f>+VLOOKUP(Tabla11034534544554564791081351121722993063164246276207328[[#This Row],[Ingrediente]],Tabla34[#All],3,0)</f>
        <v>24403</v>
      </c>
      <c r="F21" s="11">
        <f>+Tabla11034534544554564791081351121722993063164246276207328[[#This Row],[Costo]]*Tabla11034534544554564791081351121722993063164246276207328[[#This Row],[Cant.]]</f>
        <v>24403</v>
      </c>
      <c r="G21" s="4"/>
      <c r="H21" s="5" t="s">
        <v>113</v>
      </c>
      <c r="I21" s="12"/>
    </row>
    <row r="22" spans="2:9" x14ac:dyDescent="0.3">
      <c r="B22" s="13"/>
      <c r="C22" s="14"/>
      <c r="D22" s="14"/>
      <c r="E22" s="15"/>
      <c r="F22" s="15">
        <f>SUBTOTAL(109,Tabla11034534544554564791081351121722993063164246276207328[Total costo])</f>
        <v>24403</v>
      </c>
      <c r="G22" s="4"/>
      <c r="H22" s="5" t="s">
        <v>9</v>
      </c>
      <c r="I22" s="12">
        <f>+I20+I21</f>
        <v>24403</v>
      </c>
    </row>
    <row r="23" spans="2:9" x14ac:dyDescent="0.3">
      <c r="G23" s="4"/>
      <c r="H23" s="17" t="s">
        <v>10</v>
      </c>
      <c r="I23" s="18">
        <v>80000</v>
      </c>
    </row>
    <row r="24" spans="2:9" x14ac:dyDescent="0.3">
      <c r="G24" s="4"/>
      <c r="H24" s="5" t="s">
        <v>11</v>
      </c>
      <c r="I24" s="12">
        <f>+I23/1.08*0.08</f>
        <v>5925.9259259259261</v>
      </c>
    </row>
    <row r="25" spans="2:9" x14ac:dyDescent="0.3">
      <c r="G25" s="4"/>
      <c r="H25" s="5" t="s">
        <v>12</v>
      </c>
      <c r="I25" s="12">
        <f>+I23-I24</f>
        <v>74074.074074074073</v>
      </c>
    </row>
    <row r="26" spans="2:9" x14ac:dyDescent="0.3">
      <c r="G26" s="4"/>
      <c r="H26" s="5" t="s">
        <v>13</v>
      </c>
      <c r="I26" s="19">
        <f>+I22/I25</f>
        <v>0.32944050000000002</v>
      </c>
    </row>
    <row r="27" spans="2:9" x14ac:dyDescent="0.3">
      <c r="G27" s="4"/>
      <c r="H27" s="5" t="s">
        <v>14</v>
      </c>
      <c r="I27" s="20">
        <f>+I25-I22</f>
        <v>49671.074074074073</v>
      </c>
    </row>
    <row r="28" spans="2:9" x14ac:dyDescent="0.3">
      <c r="G28" s="4"/>
      <c r="H28" s="5" t="s">
        <v>15</v>
      </c>
      <c r="I28" s="22">
        <f>+I27/I22</f>
        <v>2.035449496950132</v>
      </c>
    </row>
    <row r="30" spans="2:9" x14ac:dyDescent="0.3">
      <c r="B30" s="1" t="s">
        <v>912</v>
      </c>
      <c r="C30" s="2"/>
      <c r="D30" s="2"/>
      <c r="E30" s="3"/>
      <c r="F30" s="3"/>
      <c r="G30" s="4"/>
      <c r="H30" s="277" t="s">
        <v>0</v>
      </c>
      <c r="I30" s="277"/>
    </row>
    <row r="31" spans="2:9" x14ac:dyDescent="0.3">
      <c r="B31" s="13" t="s">
        <v>1</v>
      </c>
      <c r="C31" s="14" t="s">
        <v>2</v>
      </c>
      <c r="D31" s="14" t="s">
        <v>3</v>
      </c>
      <c r="E31" s="28" t="s">
        <v>4</v>
      </c>
      <c r="F31" s="28" t="s">
        <v>5</v>
      </c>
      <c r="G31" s="4"/>
      <c r="H31" s="5" t="s">
        <v>6</v>
      </c>
      <c r="I31" s="6">
        <f>SUM(Tabla11034534544554564791081351121722993063164246276207334[Total costo])</f>
        <v>3796.4166666599999</v>
      </c>
    </row>
    <row r="32" spans="2:9" x14ac:dyDescent="0.3">
      <c r="B32" s="7" t="s">
        <v>609</v>
      </c>
      <c r="C32" s="8" t="s">
        <v>107</v>
      </c>
      <c r="D32" s="9">
        <v>2</v>
      </c>
      <c r="E32" s="10">
        <f>+VLOOKUP(Tabla11034534544554564791081351121722993063164246276207334[[#This Row],[Ingrediente]],Tabla34[#All],3,0)</f>
        <v>1898.20833333</v>
      </c>
      <c r="F32" s="11">
        <f>+Tabla11034534544554564791081351121722993063164246276207334[[#This Row],[Costo]]*Tabla11034534544554564791081351121722993063164246276207334[[#This Row],[Cant.]]</f>
        <v>3796.4166666599999</v>
      </c>
      <c r="G32" s="4"/>
      <c r="H32" s="5" t="s">
        <v>113</v>
      </c>
      <c r="I32" s="12"/>
    </row>
    <row r="33" spans="2:9" x14ac:dyDescent="0.3">
      <c r="B33" s="13"/>
      <c r="C33" s="14"/>
      <c r="D33" s="14"/>
      <c r="E33" s="15"/>
      <c r="F33" s="15">
        <f>SUBTOTAL(109,Tabla11034534544554564791081351121722993063164246276207334[Total costo])</f>
        <v>3796.4166666599999</v>
      </c>
      <c r="G33" s="4"/>
      <c r="H33" s="5" t="s">
        <v>9</v>
      </c>
      <c r="I33" s="12">
        <f>+I31+I32</f>
        <v>3796.4166666599999</v>
      </c>
    </row>
    <row r="34" spans="2:9" x14ac:dyDescent="0.3">
      <c r="G34" s="4"/>
      <c r="H34" s="17" t="s">
        <v>10</v>
      </c>
      <c r="I34" s="18">
        <v>13900</v>
      </c>
    </row>
    <row r="35" spans="2:9" x14ac:dyDescent="0.3">
      <c r="G35" s="4"/>
      <c r="H35" s="5" t="s">
        <v>11</v>
      </c>
      <c r="I35" s="12">
        <f>+I34/1.08*0.08</f>
        <v>1029.6296296296296</v>
      </c>
    </row>
    <row r="36" spans="2:9" x14ac:dyDescent="0.3">
      <c r="G36" s="4"/>
      <c r="H36" s="5" t="s">
        <v>12</v>
      </c>
      <c r="I36" s="12">
        <f>+I34-I35</f>
        <v>12870.37037037037</v>
      </c>
    </row>
    <row r="37" spans="2:9" x14ac:dyDescent="0.3">
      <c r="G37" s="4"/>
      <c r="H37" s="5" t="s">
        <v>13</v>
      </c>
      <c r="I37" s="19">
        <f>+I33/I36</f>
        <v>0.29497338129444606</v>
      </c>
    </row>
    <row r="38" spans="2:9" x14ac:dyDescent="0.3">
      <c r="G38" s="4"/>
      <c r="H38" s="5" t="s">
        <v>14</v>
      </c>
      <c r="I38" s="20">
        <f>+I36-I33</f>
        <v>9073.953703710371</v>
      </c>
    </row>
    <row r="39" spans="2:9" x14ac:dyDescent="0.3">
      <c r="G39" s="4"/>
      <c r="H39" s="5" t="s">
        <v>15</v>
      </c>
      <c r="I39" s="22">
        <f>+I38/I33</f>
        <v>2.390136410314895</v>
      </c>
    </row>
  </sheetData>
  <mergeCells count="3">
    <mergeCell ref="H19:I19"/>
    <mergeCell ref="H30:I30"/>
    <mergeCell ref="H6:I6"/>
  </mergeCells>
  <conditionalFormatting sqref="I13">
    <cfRule type="cellIs" dxfId="171" priority="23" operator="lessThan">
      <formula>0.3</formula>
    </cfRule>
    <cfRule type="cellIs" dxfId="170" priority="24" operator="greaterThan">
      <formula>0.3</formula>
    </cfRule>
  </conditionalFormatting>
  <conditionalFormatting sqref="I26">
    <cfRule type="cellIs" dxfId="169" priority="5" operator="lessThan">
      <formula>0.3</formula>
    </cfRule>
    <cfRule type="cellIs" dxfId="168" priority="6" operator="greaterThan">
      <formula>0.3</formula>
    </cfRule>
  </conditionalFormatting>
  <conditionalFormatting sqref="I37">
    <cfRule type="cellIs" dxfId="167" priority="3" operator="lessThan">
      <formula>0.3</formula>
    </cfRule>
    <cfRule type="cellIs" dxfId="166" priority="4" operator="greaterThan">
      <formula>0.3</formula>
    </cfRule>
  </conditionalFormatting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E847E-0935-4D4B-BC46-A216AE33349B}">
  <dimension ref="B6:I78"/>
  <sheetViews>
    <sheetView showGridLines="0" topLeftCell="A4" workbookViewId="0">
      <selection activeCell="B14" sqref="B14"/>
    </sheetView>
  </sheetViews>
  <sheetFormatPr baseColWidth="10" defaultRowHeight="14.4" x14ac:dyDescent="0.3"/>
  <cols>
    <col min="1" max="1" width="2.44140625" customWidth="1"/>
    <col min="2" max="2" width="40.109375" bestFit="1" customWidth="1"/>
    <col min="7" max="7" width="3.5546875" customWidth="1"/>
    <col min="8" max="8" width="27.33203125" bestFit="1" customWidth="1"/>
  </cols>
  <sheetData>
    <row r="6" spans="2:9" x14ac:dyDescent="0.3">
      <c r="B6" s="1" t="s">
        <v>280</v>
      </c>
      <c r="C6" s="2"/>
      <c r="D6" s="2"/>
      <c r="E6" s="3"/>
      <c r="F6" s="3"/>
      <c r="G6" s="4"/>
      <c r="H6" s="277" t="s">
        <v>0</v>
      </c>
      <c r="I6" s="277"/>
    </row>
    <row r="7" spans="2:9" x14ac:dyDescent="0.3">
      <c r="B7" s="13" t="s">
        <v>1</v>
      </c>
      <c r="C7" s="14" t="s">
        <v>2</v>
      </c>
      <c r="D7" s="14" t="s">
        <v>3</v>
      </c>
      <c r="E7" s="28" t="s">
        <v>4</v>
      </c>
      <c r="F7" s="28" t="s">
        <v>5</v>
      </c>
      <c r="G7" s="4"/>
      <c r="H7" s="5" t="s">
        <v>6</v>
      </c>
      <c r="I7" s="6">
        <f>SUM(Tabla11034534544554564791081351121722993063164246276[Total costo])</f>
        <v>81360</v>
      </c>
    </row>
    <row r="8" spans="2:9" x14ac:dyDescent="0.3">
      <c r="B8" s="7" t="s">
        <v>364</v>
      </c>
      <c r="C8" s="8" t="s">
        <v>61</v>
      </c>
      <c r="D8" s="9">
        <v>24</v>
      </c>
      <c r="E8" s="10">
        <f>+VLOOKUP(Tabla11034534544554564791081351121722993063164246276[[#This Row],[Ingrediente]],Tabla34[#All],3,0)</f>
        <v>3390</v>
      </c>
      <c r="F8" s="11">
        <f>+Tabla11034534544554564791081351121722993063164246276[[#This Row],[Costo]]*Tabla11034534544554564791081351121722993063164246276[[#This Row],[Cant.]]</f>
        <v>81360</v>
      </c>
      <c r="G8" s="4"/>
      <c r="H8" s="5" t="s">
        <v>113</v>
      </c>
      <c r="I8" s="12"/>
    </row>
    <row r="9" spans="2:9" x14ac:dyDescent="0.3">
      <c r="B9" s="13"/>
      <c r="C9" s="14"/>
      <c r="D9" s="14"/>
      <c r="E9" s="15"/>
      <c r="F9" s="15">
        <f>SUBTOTAL(109,Tabla11034534544554564791081351121722993063164246276[Total costo])</f>
        <v>81360</v>
      </c>
      <c r="G9" s="4"/>
      <c r="H9" s="5" t="s">
        <v>9</v>
      </c>
      <c r="I9" s="12">
        <f>+I7+I8</f>
        <v>81360</v>
      </c>
    </row>
    <row r="10" spans="2:9" x14ac:dyDescent="0.3">
      <c r="G10" s="4"/>
      <c r="H10" s="17" t="s">
        <v>10</v>
      </c>
      <c r="I10" s="18">
        <v>219000</v>
      </c>
    </row>
    <row r="11" spans="2:9" x14ac:dyDescent="0.3">
      <c r="G11" s="4"/>
      <c r="H11" s="5" t="s">
        <v>11</v>
      </c>
      <c r="I11" s="12">
        <f>+I10/1.08*0.08</f>
        <v>16222.222222222221</v>
      </c>
    </row>
    <row r="12" spans="2:9" x14ac:dyDescent="0.3">
      <c r="G12" s="4"/>
      <c r="H12" s="5" t="s">
        <v>12</v>
      </c>
      <c r="I12" s="12">
        <f>+I10-I11</f>
        <v>202777.77777777778</v>
      </c>
    </row>
    <row r="13" spans="2:9" x14ac:dyDescent="0.3">
      <c r="G13" s="4"/>
      <c r="H13" s="5" t="s">
        <v>13</v>
      </c>
      <c r="I13" s="19">
        <f>+I9/I12</f>
        <v>0.40122739726027395</v>
      </c>
    </row>
    <row r="14" spans="2:9" x14ac:dyDescent="0.3">
      <c r="G14" s="4"/>
      <c r="H14" s="5" t="s">
        <v>14</v>
      </c>
      <c r="I14" s="20">
        <f>+I12-I9</f>
        <v>121417.77777777778</v>
      </c>
    </row>
    <row r="15" spans="2:9" x14ac:dyDescent="0.3">
      <c r="G15" s="4"/>
      <c r="H15" s="5" t="s">
        <v>15</v>
      </c>
      <c r="I15" s="22">
        <f>+I14/I9</f>
        <v>1.4923522342401399</v>
      </c>
    </row>
    <row r="16" spans="2:9" x14ac:dyDescent="0.3">
      <c r="G16" s="4"/>
      <c r="H16" s="4"/>
      <c r="I16" s="23"/>
    </row>
    <row r="17" spans="2:9" x14ac:dyDescent="0.3">
      <c r="G17" s="4"/>
      <c r="H17" s="4"/>
      <c r="I17" s="23"/>
    </row>
    <row r="18" spans="2:9" x14ac:dyDescent="0.3">
      <c r="G18" s="24"/>
      <c r="H18" s="24"/>
      <c r="I18" s="24"/>
    </row>
    <row r="20" spans="2:9" x14ac:dyDescent="0.3">
      <c r="B20" s="1" t="s">
        <v>281</v>
      </c>
      <c r="C20" s="2"/>
      <c r="D20" s="2"/>
      <c r="E20" s="3"/>
      <c r="F20" s="3"/>
      <c r="G20" s="4"/>
      <c r="H20" s="277" t="s">
        <v>0</v>
      </c>
      <c r="I20" s="277"/>
    </row>
    <row r="21" spans="2:9" x14ac:dyDescent="0.3">
      <c r="B21" s="13" t="s">
        <v>1</v>
      </c>
      <c r="C21" s="14" t="s">
        <v>2</v>
      </c>
      <c r="D21" s="14" t="s">
        <v>3</v>
      </c>
      <c r="E21" s="28" t="s">
        <v>4</v>
      </c>
      <c r="F21" s="28" t="s">
        <v>5</v>
      </c>
      <c r="G21" s="4"/>
      <c r="H21" s="5" t="s">
        <v>6</v>
      </c>
      <c r="I21" s="6">
        <f>SUM(Tabla11034534544554564791081351121722993063164246276275[Total costo])</f>
        <v>103999.99999991999</v>
      </c>
    </row>
    <row r="22" spans="2:9" x14ac:dyDescent="0.3">
      <c r="B22" s="7" t="s">
        <v>49</v>
      </c>
      <c r="C22" s="8" t="s">
        <v>61</v>
      </c>
      <c r="D22" s="9">
        <v>24</v>
      </c>
      <c r="E22" s="10">
        <f>+VLOOKUP(Tabla11034534544554564791081351121722993063164246276275[[#This Row],[Ingrediente]],Tabla34[#All],3,0)</f>
        <v>4333.3333333299997</v>
      </c>
      <c r="F22" s="11">
        <f>+Tabla11034534544554564791081351121722993063164246276275[[#This Row],[Costo]]*Tabla11034534544554564791081351121722993063164246276275[[#This Row],[Cant.]]</f>
        <v>103999.99999991999</v>
      </c>
      <c r="G22" s="4"/>
      <c r="H22" s="5" t="s">
        <v>113</v>
      </c>
      <c r="I22" s="12"/>
    </row>
    <row r="23" spans="2:9" x14ac:dyDescent="0.3">
      <c r="B23" s="13"/>
      <c r="C23" s="14"/>
      <c r="D23" s="14"/>
      <c r="E23" s="15"/>
      <c r="F23" s="15">
        <f>SUBTOTAL(109,Tabla11034534544554564791081351121722993063164246276275[Total costo])</f>
        <v>103999.99999991999</v>
      </c>
      <c r="G23" s="4"/>
      <c r="H23" s="5" t="s">
        <v>9</v>
      </c>
      <c r="I23" s="12">
        <f>+I21+I22</f>
        <v>103999.99999991999</v>
      </c>
    </row>
    <row r="24" spans="2:9" x14ac:dyDescent="0.3">
      <c r="G24" s="4"/>
      <c r="H24" s="17" t="s">
        <v>10</v>
      </c>
      <c r="I24" s="18">
        <v>267500</v>
      </c>
    </row>
    <row r="25" spans="2:9" x14ac:dyDescent="0.3">
      <c r="G25" s="4"/>
      <c r="H25" s="5" t="s">
        <v>11</v>
      </c>
      <c r="I25" s="12">
        <f>+I24/1.08*0.08</f>
        <v>19814.814814814814</v>
      </c>
    </row>
    <row r="26" spans="2:9" x14ac:dyDescent="0.3">
      <c r="G26" s="4"/>
      <c r="H26" s="5" t="s">
        <v>12</v>
      </c>
      <c r="I26" s="12">
        <f>+I24-I25</f>
        <v>247685.1851851852</v>
      </c>
    </row>
    <row r="27" spans="2:9" x14ac:dyDescent="0.3">
      <c r="G27" s="4"/>
      <c r="H27" s="5" t="s">
        <v>13</v>
      </c>
      <c r="I27" s="19">
        <f>+I23/I26</f>
        <v>0.41988785046696669</v>
      </c>
    </row>
    <row r="28" spans="2:9" x14ac:dyDescent="0.3">
      <c r="G28" s="4"/>
      <c r="H28" s="5" t="s">
        <v>14</v>
      </c>
      <c r="I28" s="20">
        <f>+I26-I23</f>
        <v>143685.1851852652</v>
      </c>
    </row>
    <row r="29" spans="2:9" x14ac:dyDescent="0.3">
      <c r="G29" s="4"/>
      <c r="H29" s="5" t="s">
        <v>15</v>
      </c>
      <c r="I29" s="22">
        <f>+I28/I23</f>
        <v>1.3815883190901515</v>
      </c>
    </row>
    <row r="33" spans="2:9" x14ac:dyDescent="0.3">
      <c r="B33" s="1" t="s">
        <v>282</v>
      </c>
      <c r="C33" s="2"/>
      <c r="D33" s="2"/>
      <c r="E33" s="3"/>
      <c r="F33" s="3"/>
      <c r="G33" s="4"/>
      <c r="H33" s="277" t="s">
        <v>0</v>
      </c>
      <c r="I33" s="277"/>
    </row>
    <row r="34" spans="2:9" x14ac:dyDescent="0.3">
      <c r="B34" s="13" t="s">
        <v>1</v>
      </c>
      <c r="C34" s="14" t="s">
        <v>2</v>
      </c>
      <c r="D34" s="14" t="s">
        <v>3</v>
      </c>
      <c r="E34" s="28" t="s">
        <v>4</v>
      </c>
      <c r="F34" s="28" t="s">
        <v>5</v>
      </c>
      <c r="G34" s="4"/>
      <c r="H34" s="5" t="s">
        <v>6</v>
      </c>
      <c r="I34" s="6">
        <f>SUM(Tabla11034534544554564791081351121722993063164246276275277[Total costo])</f>
        <v>151272</v>
      </c>
    </row>
    <row r="35" spans="2:9" x14ac:dyDescent="0.3">
      <c r="B35" s="7" t="s">
        <v>41</v>
      </c>
      <c r="C35" s="8" t="s">
        <v>61</v>
      </c>
      <c r="D35" s="9">
        <v>24</v>
      </c>
      <c r="E35" s="10">
        <f>+VLOOKUP(Tabla11034534544554564791081351121722993063164246276275277[[#This Row],[Ingrediente]],Tabla34[#All],3,0)</f>
        <v>6303</v>
      </c>
      <c r="F35" s="11">
        <f>+Tabla11034534544554564791081351121722993063164246276275277[[#This Row],[Costo]]*Tabla11034534544554564791081351121722993063164246276275277[[#This Row],[Cant.]]</f>
        <v>151272</v>
      </c>
      <c r="G35" s="4"/>
      <c r="H35" s="5" t="s">
        <v>113</v>
      </c>
      <c r="I35" s="12"/>
    </row>
    <row r="36" spans="2:9" x14ac:dyDescent="0.3">
      <c r="B36" s="13"/>
      <c r="C36" s="14"/>
      <c r="D36" s="14"/>
      <c r="E36" s="15"/>
      <c r="F36" s="15">
        <f>SUBTOTAL(109,Tabla11034534544554564791081351121722993063164246276275277[Total costo])</f>
        <v>151272</v>
      </c>
      <c r="G36" s="4"/>
      <c r="H36" s="5" t="s">
        <v>9</v>
      </c>
      <c r="I36" s="12">
        <f>+I34+I35</f>
        <v>151272</v>
      </c>
    </row>
    <row r="37" spans="2:9" x14ac:dyDescent="0.3">
      <c r="G37" s="4"/>
      <c r="H37" s="17" t="s">
        <v>10</v>
      </c>
      <c r="I37" s="18">
        <v>375300</v>
      </c>
    </row>
    <row r="38" spans="2:9" x14ac:dyDescent="0.3">
      <c r="G38" s="4"/>
      <c r="H38" s="5" t="s">
        <v>11</v>
      </c>
      <c r="I38" s="12">
        <f>+I37/1.08*0.08</f>
        <v>27800</v>
      </c>
    </row>
    <row r="39" spans="2:9" x14ac:dyDescent="0.3">
      <c r="G39" s="4"/>
      <c r="H39" s="5" t="s">
        <v>12</v>
      </c>
      <c r="I39" s="12">
        <f>+I37-I38</f>
        <v>347500</v>
      </c>
    </row>
    <row r="40" spans="2:9" x14ac:dyDescent="0.3">
      <c r="G40" s="4"/>
      <c r="H40" s="5" t="s">
        <v>13</v>
      </c>
      <c r="I40" s="19">
        <f>+I36/I39</f>
        <v>0.43531510791366906</v>
      </c>
    </row>
    <row r="41" spans="2:9" x14ac:dyDescent="0.3">
      <c r="G41" s="4"/>
      <c r="H41" s="5" t="s">
        <v>14</v>
      </c>
      <c r="I41" s="20">
        <f>+I39-I36</f>
        <v>196228</v>
      </c>
    </row>
    <row r="42" spans="2:9" x14ac:dyDescent="0.3">
      <c r="G42" s="4"/>
      <c r="H42" s="5" t="s">
        <v>15</v>
      </c>
      <c r="I42" s="22">
        <f>+I41/I36</f>
        <v>1.2971865249352161</v>
      </c>
    </row>
    <row r="45" spans="2:9" x14ac:dyDescent="0.3">
      <c r="B45" s="1" t="s">
        <v>924</v>
      </c>
      <c r="C45" s="2"/>
      <c r="D45" s="2"/>
      <c r="E45" s="3"/>
      <c r="F45" s="3"/>
      <c r="G45" s="4"/>
      <c r="H45" s="277" t="s">
        <v>0</v>
      </c>
      <c r="I45" s="277"/>
    </row>
    <row r="46" spans="2:9" x14ac:dyDescent="0.3">
      <c r="B46" s="13" t="s">
        <v>1</v>
      </c>
      <c r="C46" s="14" t="s">
        <v>2</v>
      </c>
      <c r="D46" s="14" t="s">
        <v>3</v>
      </c>
      <c r="E46" s="28" t="s">
        <v>4</v>
      </c>
      <c r="F46" s="28" t="s">
        <v>5</v>
      </c>
      <c r="G46" s="4"/>
      <c r="H46" s="5" t="s">
        <v>6</v>
      </c>
      <c r="I46" s="6">
        <f>SUM(Tabla11034534544554564791081351121722993063164246276275278[Total costo])</f>
        <v>6780</v>
      </c>
    </row>
    <row r="47" spans="2:9" x14ac:dyDescent="0.3">
      <c r="B47" s="7" t="s">
        <v>364</v>
      </c>
      <c r="C47" s="8" t="s">
        <v>61</v>
      </c>
      <c r="D47" s="9">
        <v>2</v>
      </c>
      <c r="E47" s="10">
        <f>+VLOOKUP(Tabla11034534544554564791081351121722993063164246276275278[[#This Row],[Ingrediente]],Tabla34[#All],3,0)</f>
        <v>3390</v>
      </c>
      <c r="F47" s="11">
        <f>+Tabla11034534544554564791081351121722993063164246276275278[[#This Row],[Costo]]*Tabla11034534544554564791081351121722993063164246276275278[[#This Row],[Cant.]]</f>
        <v>6780</v>
      </c>
      <c r="G47" s="4"/>
      <c r="H47" s="5" t="s">
        <v>113</v>
      </c>
      <c r="I47" s="12"/>
    </row>
    <row r="48" spans="2:9" x14ac:dyDescent="0.3">
      <c r="B48" s="13"/>
      <c r="C48" s="14"/>
      <c r="D48" s="14"/>
      <c r="E48" s="15"/>
      <c r="F48" s="15">
        <f>SUBTOTAL(109,Tabla11034534544554564791081351121722993063164246276275278[Total costo])</f>
        <v>6780</v>
      </c>
      <c r="G48" s="4"/>
      <c r="H48" s="5" t="s">
        <v>9</v>
      </c>
      <c r="I48" s="12">
        <f>+I46+I47</f>
        <v>6780</v>
      </c>
    </row>
    <row r="49" spans="2:9" x14ac:dyDescent="0.3">
      <c r="G49" s="4"/>
      <c r="H49" s="17" t="s">
        <v>10</v>
      </c>
      <c r="I49" s="18">
        <v>13500</v>
      </c>
    </row>
    <row r="50" spans="2:9" x14ac:dyDescent="0.3">
      <c r="G50" s="4"/>
      <c r="H50" s="5" t="s">
        <v>11</v>
      </c>
      <c r="I50" s="12">
        <f>+I49/1.08*0.08</f>
        <v>1000</v>
      </c>
    </row>
    <row r="51" spans="2:9" x14ac:dyDescent="0.3">
      <c r="G51" s="4"/>
      <c r="H51" s="5" t="s">
        <v>12</v>
      </c>
      <c r="I51" s="12">
        <f>+I49-I50</f>
        <v>12500</v>
      </c>
    </row>
    <row r="52" spans="2:9" x14ac:dyDescent="0.3">
      <c r="G52" s="4"/>
      <c r="H52" s="5" t="s">
        <v>13</v>
      </c>
      <c r="I52" s="19">
        <f>+I48/I51</f>
        <v>0.54239999999999999</v>
      </c>
    </row>
    <row r="53" spans="2:9" x14ac:dyDescent="0.3">
      <c r="G53" s="4"/>
      <c r="H53" s="5" t="s">
        <v>14</v>
      </c>
      <c r="I53" s="20">
        <f>+I51-I48</f>
        <v>5720</v>
      </c>
    </row>
    <row r="54" spans="2:9" x14ac:dyDescent="0.3">
      <c r="G54" s="4"/>
      <c r="H54" s="5" t="s">
        <v>15</v>
      </c>
      <c r="I54" s="22">
        <f>+I53/I48</f>
        <v>0.84365781710914456</v>
      </c>
    </row>
    <row r="57" spans="2:9" x14ac:dyDescent="0.3">
      <c r="B57" s="1" t="s">
        <v>923</v>
      </c>
      <c r="C57" s="2"/>
      <c r="D57" s="2"/>
      <c r="E57" s="3"/>
      <c r="F57" s="3"/>
      <c r="G57" s="4"/>
      <c r="H57" s="277" t="s">
        <v>0</v>
      </c>
      <c r="I57" s="277"/>
    </row>
    <row r="58" spans="2:9" x14ac:dyDescent="0.3">
      <c r="B58" s="13" t="s">
        <v>1</v>
      </c>
      <c r="C58" s="14" t="s">
        <v>2</v>
      </c>
      <c r="D58" s="14" t="s">
        <v>3</v>
      </c>
      <c r="E58" s="28" t="s">
        <v>4</v>
      </c>
      <c r="F58" s="28" t="s">
        <v>5</v>
      </c>
      <c r="G58" s="4"/>
      <c r="H58" s="5" t="s">
        <v>6</v>
      </c>
      <c r="I58" s="6">
        <f>SUM(Tabla11034534544554564791081351121722993063164246276275279[Total costo])</f>
        <v>8666.6666666599995</v>
      </c>
    </row>
    <row r="59" spans="2:9" x14ac:dyDescent="0.3">
      <c r="B59" s="7" t="s">
        <v>49</v>
      </c>
      <c r="C59" s="8" t="s">
        <v>61</v>
      </c>
      <c r="D59" s="9">
        <v>2</v>
      </c>
      <c r="E59" s="10">
        <f>+VLOOKUP(Tabla11034534544554564791081351121722993063164246276275279[[#This Row],[Ingrediente]],Tabla34[#All],3,0)</f>
        <v>4333.3333333299997</v>
      </c>
      <c r="F59" s="11">
        <f>+Tabla11034534544554564791081351121722993063164246276275279[[#This Row],[Costo]]*Tabla11034534544554564791081351121722993063164246276275279[[#This Row],[Cant.]]</f>
        <v>8666.6666666599995</v>
      </c>
      <c r="G59" s="4"/>
      <c r="H59" s="5" t="s">
        <v>113</v>
      </c>
      <c r="I59" s="12"/>
    </row>
    <row r="60" spans="2:9" x14ac:dyDescent="0.3">
      <c r="B60" s="13"/>
      <c r="C60" s="14"/>
      <c r="D60" s="14"/>
      <c r="E60" s="15"/>
      <c r="F60" s="15">
        <f>SUBTOTAL(109,Tabla11034534544554564791081351121722993063164246276275279[Total costo])</f>
        <v>8666.6666666599995</v>
      </c>
      <c r="G60" s="4"/>
      <c r="H60" s="5" t="s">
        <v>9</v>
      </c>
      <c r="I60" s="12">
        <f>+I58+I59</f>
        <v>8666.6666666599995</v>
      </c>
    </row>
    <row r="61" spans="2:9" x14ac:dyDescent="0.3">
      <c r="G61" s="4"/>
      <c r="H61" s="17" t="s">
        <v>10</v>
      </c>
      <c r="I61" s="18">
        <v>17000</v>
      </c>
    </row>
    <row r="62" spans="2:9" x14ac:dyDescent="0.3">
      <c r="G62" s="4"/>
      <c r="H62" s="5" t="s">
        <v>11</v>
      </c>
      <c r="I62" s="12">
        <f>+I61/1.08*0.08</f>
        <v>1259.2592592592591</v>
      </c>
    </row>
    <row r="63" spans="2:9" x14ac:dyDescent="0.3">
      <c r="G63" s="4"/>
      <c r="H63" s="5" t="s">
        <v>12</v>
      </c>
      <c r="I63" s="12">
        <f>+I61-I62</f>
        <v>15740.740740740741</v>
      </c>
    </row>
    <row r="64" spans="2:9" x14ac:dyDescent="0.3">
      <c r="G64" s="4"/>
      <c r="H64" s="5" t="s">
        <v>13</v>
      </c>
      <c r="I64" s="19">
        <f>+I60/I63</f>
        <v>0.55058823529369405</v>
      </c>
    </row>
    <row r="65" spans="2:9" x14ac:dyDescent="0.3">
      <c r="G65" s="4"/>
      <c r="H65" s="5" t="s">
        <v>14</v>
      </c>
      <c r="I65" s="20">
        <f>+I63-I60</f>
        <v>7074.0740740807414</v>
      </c>
    </row>
    <row r="66" spans="2:9" x14ac:dyDescent="0.3">
      <c r="G66" s="4"/>
      <c r="H66" s="5" t="s">
        <v>15</v>
      </c>
      <c r="I66" s="22">
        <f>+I65/I60</f>
        <v>0.81623931624071344</v>
      </c>
    </row>
    <row r="69" spans="2:9" x14ac:dyDescent="0.3">
      <c r="B69" s="1" t="s">
        <v>919</v>
      </c>
      <c r="C69" s="2"/>
      <c r="D69" s="2"/>
      <c r="E69" s="3"/>
      <c r="F69" s="3"/>
      <c r="G69" s="4"/>
      <c r="H69" s="277" t="s">
        <v>0</v>
      </c>
      <c r="I69" s="277"/>
    </row>
    <row r="70" spans="2:9" x14ac:dyDescent="0.3">
      <c r="B70" s="13" t="s">
        <v>1</v>
      </c>
      <c r="C70" s="14" t="s">
        <v>2</v>
      </c>
      <c r="D70" s="14" t="s">
        <v>3</v>
      </c>
      <c r="E70" s="28" t="s">
        <v>4</v>
      </c>
      <c r="F70" s="28" t="s">
        <v>5</v>
      </c>
      <c r="G70" s="4"/>
      <c r="H70" s="5" t="s">
        <v>6</v>
      </c>
      <c r="I70" s="6">
        <f>SUM(Tabla11034534544554564791081351121722993063164246276275280[Total costo])</f>
        <v>12606</v>
      </c>
    </row>
    <row r="71" spans="2:9" x14ac:dyDescent="0.3">
      <c r="B71" s="7" t="s">
        <v>41</v>
      </c>
      <c r="C71" s="8" t="s">
        <v>61</v>
      </c>
      <c r="D71" s="9">
        <v>2</v>
      </c>
      <c r="E71" s="10">
        <f>+VLOOKUP(Tabla11034534544554564791081351121722993063164246276275280[[#This Row],[Ingrediente]],Tabla34[#All],3,0)</f>
        <v>6303</v>
      </c>
      <c r="F71" s="11">
        <f>+Tabla11034534544554564791081351121722993063164246276275280[[#This Row],[Costo]]*Tabla11034534544554564791081351121722993063164246276275280[[#This Row],[Cant.]]</f>
        <v>12606</v>
      </c>
      <c r="G71" s="4"/>
      <c r="H71" s="5" t="s">
        <v>113</v>
      </c>
      <c r="I71" s="12"/>
    </row>
    <row r="72" spans="2:9" x14ac:dyDescent="0.3">
      <c r="B72" s="13"/>
      <c r="C72" s="14"/>
      <c r="D72" s="14"/>
      <c r="E72" s="15"/>
      <c r="F72" s="15">
        <f>SUBTOTAL(109,Tabla11034534544554564791081351121722993063164246276275280[Total costo])</f>
        <v>12606</v>
      </c>
      <c r="G72" s="4"/>
      <c r="H72" s="5" t="s">
        <v>9</v>
      </c>
      <c r="I72" s="12">
        <f>+I70+I71</f>
        <v>12606</v>
      </c>
    </row>
    <row r="73" spans="2:9" x14ac:dyDescent="0.3">
      <c r="G73" s="4"/>
      <c r="H73" s="17" t="s">
        <v>10</v>
      </c>
      <c r="I73" s="18">
        <v>23000</v>
      </c>
    </row>
    <row r="74" spans="2:9" x14ac:dyDescent="0.3">
      <c r="G74" s="4"/>
      <c r="H74" s="5" t="s">
        <v>11</v>
      </c>
      <c r="I74" s="12">
        <f>+I73/1.08*0.08</f>
        <v>1703.7037037037037</v>
      </c>
    </row>
    <row r="75" spans="2:9" x14ac:dyDescent="0.3">
      <c r="G75" s="4"/>
      <c r="H75" s="5" t="s">
        <v>12</v>
      </c>
      <c r="I75" s="12">
        <f>+I73-I74</f>
        <v>21296.296296296296</v>
      </c>
    </row>
    <row r="76" spans="2:9" x14ac:dyDescent="0.3">
      <c r="G76" s="4"/>
      <c r="H76" s="5" t="s">
        <v>13</v>
      </c>
      <c r="I76" s="19">
        <f>+I72/I75</f>
        <v>0.59193391304347831</v>
      </c>
    </row>
    <row r="77" spans="2:9" x14ac:dyDescent="0.3">
      <c r="G77" s="4"/>
      <c r="H77" s="5" t="s">
        <v>14</v>
      </c>
      <c r="I77" s="20">
        <f>+I75-I72</f>
        <v>8690.2962962962956</v>
      </c>
    </row>
    <row r="78" spans="2:9" x14ac:dyDescent="0.3">
      <c r="G78" s="4"/>
      <c r="H78" s="5" t="s">
        <v>15</v>
      </c>
      <c r="I78" s="22">
        <f>+I77/I72</f>
        <v>0.68937778012821638</v>
      </c>
    </row>
  </sheetData>
  <mergeCells count="6">
    <mergeCell ref="H69:I69"/>
    <mergeCell ref="H6:I6"/>
    <mergeCell ref="H20:I20"/>
    <mergeCell ref="H33:I33"/>
    <mergeCell ref="H45:I45"/>
    <mergeCell ref="H57:I57"/>
  </mergeCells>
  <conditionalFormatting sqref="I13">
    <cfRule type="cellIs" dxfId="165" priority="23" operator="lessThan">
      <formula>0.3</formula>
    </cfRule>
    <cfRule type="cellIs" dxfId="164" priority="24" operator="greaterThan">
      <formula>0.3</formula>
    </cfRule>
  </conditionalFormatting>
  <conditionalFormatting sqref="I27">
    <cfRule type="cellIs" dxfId="163" priority="9" operator="lessThan">
      <formula>0.3</formula>
    </cfRule>
    <cfRule type="cellIs" dxfId="162" priority="10" operator="greaterThan">
      <formula>0.3</formula>
    </cfRule>
  </conditionalFormatting>
  <conditionalFormatting sqref="I40">
    <cfRule type="cellIs" dxfId="161" priority="7" operator="lessThan">
      <formula>0.3</formula>
    </cfRule>
    <cfRule type="cellIs" dxfId="160" priority="8" operator="greaterThan">
      <formula>0.3</formula>
    </cfRule>
  </conditionalFormatting>
  <conditionalFormatting sqref="I52">
    <cfRule type="cellIs" dxfId="159" priority="5" operator="lessThan">
      <formula>0.3</formula>
    </cfRule>
    <cfRule type="cellIs" dxfId="158" priority="6" operator="greaterThan">
      <formula>0.3</formula>
    </cfRule>
  </conditionalFormatting>
  <conditionalFormatting sqref="I64">
    <cfRule type="cellIs" dxfId="157" priority="3" operator="lessThan">
      <formula>0.3</formula>
    </cfRule>
    <cfRule type="cellIs" dxfId="156" priority="4" operator="greaterThan">
      <formula>0.3</formula>
    </cfRule>
  </conditionalFormatting>
  <conditionalFormatting sqref="I76">
    <cfRule type="cellIs" dxfId="155" priority="1" operator="lessThan">
      <formula>0.3</formula>
    </cfRule>
    <cfRule type="cellIs" dxfId="154" priority="2" operator="greaterThan">
      <formula>0.3</formula>
    </cfRule>
  </conditionalFormatting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059FB-FE92-4F16-B793-D75F12E3604F}">
  <dimension ref="A6:J197"/>
  <sheetViews>
    <sheetView showGridLines="0" topLeftCell="A13" workbookViewId="0">
      <selection activeCell="A33" sqref="A33"/>
    </sheetView>
  </sheetViews>
  <sheetFormatPr baseColWidth="10" defaultRowHeight="14.4" x14ac:dyDescent="0.3"/>
  <cols>
    <col min="1" max="1" width="44.109375" bestFit="1" customWidth="1"/>
    <col min="2" max="5" width="7.77734375" customWidth="1"/>
    <col min="6" max="7" width="10.77734375" customWidth="1"/>
    <col min="8" max="8" width="3.77734375" customWidth="1"/>
    <col min="9" max="9" width="26.109375" bestFit="1" customWidth="1"/>
  </cols>
  <sheetData>
    <row r="6" spans="1:10" x14ac:dyDescent="0.3">
      <c r="A6" s="16" t="s">
        <v>738</v>
      </c>
      <c r="B6" s="2"/>
      <c r="C6" s="2"/>
      <c r="D6" s="3"/>
      <c r="E6" s="3"/>
      <c r="F6" s="99"/>
      <c r="G6" s="99"/>
      <c r="I6" s="277" t="s">
        <v>0</v>
      </c>
      <c r="J6" s="277"/>
    </row>
    <row r="7" spans="1:10" x14ac:dyDescent="0.3">
      <c r="A7" s="91" t="s">
        <v>1</v>
      </c>
      <c r="B7" s="14" t="s">
        <v>2</v>
      </c>
      <c r="C7" s="14" t="s">
        <v>571</v>
      </c>
      <c r="D7" s="14" t="s">
        <v>572</v>
      </c>
      <c r="E7" s="14" t="s">
        <v>573</v>
      </c>
      <c r="F7" s="92" t="s">
        <v>4</v>
      </c>
      <c r="G7" s="92" t="s">
        <v>5</v>
      </c>
      <c r="I7" s="5" t="s">
        <v>6</v>
      </c>
      <c r="J7" s="6">
        <f>SUM(Tabla11034534544554564791081291361183842[Total costo])</f>
        <v>22425</v>
      </c>
    </row>
    <row r="8" spans="1:10" x14ac:dyDescent="0.3">
      <c r="A8" s="7" t="s">
        <v>632</v>
      </c>
      <c r="B8" s="109" t="s">
        <v>570</v>
      </c>
      <c r="C8" s="48">
        <v>1</v>
      </c>
      <c r="D8" s="48">
        <v>0</v>
      </c>
      <c r="E8" s="48">
        <v>1</v>
      </c>
      <c r="F8" s="110">
        <f>+VLOOKUP(Tabla11034534544554564791081291361183842[[#This Row],[Ingrediente]],Tabla34[#All],3,0)</f>
        <v>22425</v>
      </c>
      <c r="G8" s="111">
        <f>+Tabla11034534544554564791081291361183842[[#This Row],[Costo]]*Tabla11034534544554564791081291361183842[[#This Row],[Unidades]]</f>
        <v>22425</v>
      </c>
      <c r="I8" s="5" t="s">
        <v>113</v>
      </c>
      <c r="J8" s="6"/>
    </row>
    <row r="9" spans="1:10" x14ac:dyDescent="0.3">
      <c r="A9" s="13"/>
      <c r="B9" s="14"/>
      <c r="C9" s="14"/>
      <c r="D9" s="14"/>
      <c r="E9" s="14"/>
      <c r="F9" s="15"/>
      <c r="G9" s="15">
        <f>SUBTOTAL(109,Tabla11034534544554564791081291361183842[Total costo])</f>
        <v>22425</v>
      </c>
      <c r="H9" s="4"/>
      <c r="I9" s="5" t="s">
        <v>9</v>
      </c>
      <c r="J9" s="6">
        <f>+J7+J8</f>
        <v>22425</v>
      </c>
    </row>
    <row r="10" spans="1:10" x14ac:dyDescent="0.3">
      <c r="H10" s="4"/>
      <c r="I10" s="17" t="s">
        <v>10</v>
      </c>
      <c r="J10" s="112">
        <v>62000</v>
      </c>
    </row>
    <row r="11" spans="1:10" x14ac:dyDescent="0.3">
      <c r="H11" s="4"/>
      <c r="I11" s="5" t="s">
        <v>11</v>
      </c>
      <c r="J11" s="6">
        <f>+J10/1.08*0.08</f>
        <v>4592.5925925925922</v>
      </c>
    </row>
    <row r="12" spans="1:10" x14ac:dyDescent="0.3">
      <c r="H12" s="4"/>
      <c r="I12" s="5" t="s">
        <v>12</v>
      </c>
      <c r="J12" s="6">
        <f>+J10-J11</f>
        <v>57407.407407407409</v>
      </c>
    </row>
    <row r="13" spans="1:10" x14ac:dyDescent="0.3">
      <c r="H13" s="4"/>
      <c r="I13" s="5" t="s">
        <v>13</v>
      </c>
      <c r="J13" s="113">
        <f>+J9/J12</f>
        <v>0.3906290322580645</v>
      </c>
    </row>
    <row r="14" spans="1:10" x14ac:dyDescent="0.3">
      <c r="H14" s="4"/>
      <c r="I14" s="5" t="s">
        <v>14</v>
      </c>
      <c r="J14" s="20">
        <f>+J12-J9</f>
        <v>34982.407407407409</v>
      </c>
    </row>
    <row r="15" spans="1:10" x14ac:dyDescent="0.3">
      <c r="H15" s="4"/>
      <c r="I15" s="5" t="s">
        <v>15</v>
      </c>
      <c r="J15" s="22">
        <f>+J14/J9</f>
        <v>1.5599735744663281</v>
      </c>
    </row>
    <row r="19" spans="1:10" x14ac:dyDescent="0.3">
      <c r="A19" s="16" t="s">
        <v>740</v>
      </c>
      <c r="B19" s="2"/>
      <c r="C19" s="2"/>
      <c r="D19" s="3"/>
      <c r="E19" s="3"/>
      <c r="F19" s="99"/>
      <c r="G19" s="99"/>
      <c r="I19" s="277" t="s">
        <v>0</v>
      </c>
      <c r="J19" s="277"/>
    </row>
    <row r="20" spans="1:10" x14ac:dyDescent="0.3">
      <c r="A20" s="91" t="s">
        <v>1</v>
      </c>
      <c r="B20" s="14" t="s">
        <v>2</v>
      </c>
      <c r="C20" s="14" t="s">
        <v>571</v>
      </c>
      <c r="D20" s="14" t="s">
        <v>572</v>
      </c>
      <c r="E20" s="14" t="s">
        <v>573</v>
      </c>
      <c r="F20" s="92" t="s">
        <v>4</v>
      </c>
      <c r="G20" s="92" t="s">
        <v>5</v>
      </c>
      <c r="I20" s="5" t="s">
        <v>6</v>
      </c>
      <c r="J20" s="6">
        <f>SUM(Tabla1103453454455456479108129136118384243[Total costo])</f>
        <v>71318</v>
      </c>
    </row>
    <row r="21" spans="1:10" x14ac:dyDescent="0.3">
      <c r="A21" s="7" t="s">
        <v>692</v>
      </c>
      <c r="B21" s="109" t="s">
        <v>570</v>
      </c>
      <c r="C21" s="48">
        <v>1</v>
      </c>
      <c r="D21" s="48">
        <v>0</v>
      </c>
      <c r="E21" s="48">
        <v>1</v>
      </c>
      <c r="F21" s="110">
        <f>+VLOOKUP(Tabla1103453454455456479108129136118384243[[#This Row],[Ingrediente]],Tabla34[#All],3,0)</f>
        <v>71318</v>
      </c>
      <c r="G21" s="111">
        <f>+Tabla1103453454455456479108129136118384243[[#This Row],[Costo]]*Tabla1103453454455456479108129136118384243[[#This Row],[Unidades]]</f>
        <v>71318</v>
      </c>
      <c r="I21" s="5" t="s">
        <v>113</v>
      </c>
      <c r="J21" s="6"/>
    </row>
    <row r="22" spans="1:10" x14ac:dyDescent="0.3">
      <c r="A22" s="13"/>
      <c r="B22" s="14"/>
      <c r="C22" s="14"/>
      <c r="D22" s="14"/>
      <c r="E22" s="14"/>
      <c r="F22" s="15"/>
      <c r="G22" s="15">
        <f>SUBTOTAL(109,Tabla1103453454455456479108129136118384243[Total costo])</f>
        <v>71318</v>
      </c>
      <c r="H22" s="4"/>
      <c r="I22" s="5" t="s">
        <v>9</v>
      </c>
      <c r="J22" s="6">
        <f>+J20+J21</f>
        <v>71318</v>
      </c>
    </row>
    <row r="23" spans="1:10" x14ac:dyDescent="0.3">
      <c r="H23" s="4"/>
      <c r="I23" s="17" t="s">
        <v>10</v>
      </c>
      <c r="J23" s="112">
        <v>180000</v>
      </c>
    </row>
    <row r="24" spans="1:10" x14ac:dyDescent="0.3">
      <c r="H24" s="4"/>
      <c r="I24" s="5" t="s">
        <v>11</v>
      </c>
      <c r="J24" s="6">
        <f>+J23/1.08*0.08</f>
        <v>13333.333333333332</v>
      </c>
    </row>
    <row r="25" spans="1:10" x14ac:dyDescent="0.3">
      <c r="H25" s="4"/>
      <c r="I25" s="5" t="s">
        <v>12</v>
      </c>
      <c r="J25" s="6">
        <f>+J23-J24</f>
        <v>166666.66666666666</v>
      </c>
    </row>
    <row r="26" spans="1:10" x14ac:dyDescent="0.3">
      <c r="H26" s="4"/>
      <c r="I26" s="5" t="s">
        <v>13</v>
      </c>
      <c r="J26" s="113">
        <f>+J22/J25</f>
        <v>0.42790800000000001</v>
      </c>
    </row>
    <row r="27" spans="1:10" x14ac:dyDescent="0.3">
      <c r="H27" s="4"/>
      <c r="I27" s="5" t="s">
        <v>14</v>
      </c>
      <c r="J27" s="20">
        <f>+J25-J22</f>
        <v>95348.666666666657</v>
      </c>
    </row>
    <row r="28" spans="1:10" x14ac:dyDescent="0.3">
      <c r="H28" s="4"/>
      <c r="I28" s="5" t="s">
        <v>15</v>
      </c>
      <c r="J28" s="22">
        <f>+J27/J22</f>
        <v>1.3369509333782026</v>
      </c>
    </row>
    <row r="31" spans="1:10" x14ac:dyDescent="0.3">
      <c r="A31" s="1" t="s">
        <v>741</v>
      </c>
      <c r="B31" s="2"/>
      <c r="C31" s="2"/>
      <c r="D31" s="3"/>
      <c r="E31" s="3"/>
      <c r="F31" s="99"/>
      <c r="G31" s="99"/>
      <c r="I31" s="277" t="s">
        <v>0</v>
      </c>
      <c r="J31" s="277"/>
    </row>
    <row r="32" spans="1:10" x14ac:dyDescent="0.3">
      <c r="A32" s="91" t="s">
        <v>1</v>
      </c>
      <c r="B32" s="14" t="s">
        <v>2</v>
      </c>
      <c r="C32" s="14" t="s">
        <v>571</v>
      </c>
      <c r="D32" s="14" t="s">
        <v>572</v>
      </c>
      <c r="E32" s="14" t="s">
        <v>573</v>
      </c>
      <c r="F32" s="92" t="s">
        <v>4</v>
      </c>
      <c r="G32" s="92" t="s">
        <v>5</v>
      </c>
      <c r="I32" s="5" t="s">
        <v>6</v>
      </c>
      <c r="J32" s="6" t="e">
        <f>SUM(Tabla1103453454455456479108129136118384244[Total costo])</f>
        <v>#N/A</v>
      </c>
    </row>
    <row r="33" spans="1:10" x14ac:dyDescent="0.3">
      <c r="A33" s="7" t="s">
        <v>742</v>
      </c>
      <c r="B33" s="109" t="s">
        <v>570</v>
      </c>
      <c r="C33" s="48">
        <v>1</v>
      </c>
      <c r="D33" s="48">
        <v>0</v>
      </c>
      <c r="E33" s="48">
        <v>1</v>
      </c>
      <c r="F33" s="110" t="e">
        <f>+VLOOKUP(Tabla1103453454455456479108129136118384244[[#This Row],[Ingrediente]],Tabla34[#All],3,0)</f>
        <v>#N/A</v>
      </c>
      <c r="G33" s="111" t="e">
        <f>+Tabla1103453454455456479108129136118384244[[#This Row],[Costo]]*Tabla1103453454455456479108129136118384244[[#This Row],[Unidades]]</f>
        <v>#N/A</v>
      </c>
      <c r="I33" s="5" t="s">
        <v>113</v>
      </c>
      <c r="J33" s="6"/>
    </row>
    <row r="34" spans="1:10" x14ac:dyDescent="0.3">
      <c r="A34" s="13"/>
      <c r="B34" s="14"/>
      <c r="C34" s="14"/>
      <c r="D34" s="14"/>
      <c r="E34" s="14"/>
      <c r="F34" s="15"/>
      <c r="G34" s="15" t="e">
        <f>SUBTOTAL(109,Tabla1103453454455456479108129136118384244[Total costo])</f>
        <v>#N/A</v>
      </c>
      <c r="H34" s="4"/>
      <c r="I34" s="5" t="s">
        <v>9</v>
      </c>
      <c r="J34" s="6" t="e">
        <f>+J32+J33</f>
        <v>#N/A</v>
      </c>
    </row>
    <row r="35" spans="1:10" x14ac:dyDescent="0.3">
      <c r="H35" s="4"/>
      <c r="I35" s="17" t="s">
        <v>10</v>
      </c>
      <c r="J35" s="112">
        <v>190000</v>
      </c>
    </row>
    <row r="36" spans="1:10" x14ac:dyDescent="0.3">
      <c r="H36" s="4"/>
      <c r="I36" s="5" t="s">
        <v>11</v>
      </c>
      <c r="J36" s="6">
        <f>+J35/1.08*0.08</f>
        <v>14074.074074074075</v>
      </c>
    </row>
    <row r="37" spans="1:10" x14ac:dyDescent="0.3">
      <c r="H37" s="4"/>
      <c r="I37" s="5" t="s">
        <v>12</v>
      </c>
      <c r="J37" s="6">
        <f>+J35-J36</f>
        <v>175925.92592592593</v>
      </c>
    </row>
    <row r="38" spans="1:10" x14ac:dyDescent="0.3">
      <c r="H38" s="4"/>
      <c r="I38" s="5" t="s">
        <v>13</v>
      </c>
      <c r="J38" s="113" t="e">
        <f>+J34/J37</f>
        <v>#N/A</v>
      </c>
    </row>
    <row r="39" spans="1:10" x14ac:dyDescent="0.3">
      <c r="H39" s="4"/>
      <c r="I39" s="5" t="s">
        <v>14</v>
      </c>
      <c r="J39" s="20" t="e">
        <f>+J37-J34</f>
        <v>#N/A</v>
      </c>
    </row>
    <row r="40" spans="1:10" x14ac:dyDescent="0.3">
      <c r="H40" s="4"/>
      <c r="I40" s="5" t="s">
        <v>15</v>
      </c>
      <c r="J40" s="22" t="e">
        <f>+J39/J34</f>
        <v>#N/A</v>
      </c>
    </row>
    <row r="43" spans="1:10" x14ac:dyDescent="0.3">
      <c r="A43" s="1" t="s">
        <v>855</v>
      </c>
      <c r="B43" s="2"/>
      <c r="C43" s="2"/>
      <c r="D43" s="3"/>
      <c r="E43" s="3"/>
      <c r="F43" s="99"/>
      <c r="G43" s="99"/>
      <c r="I43" s="277" t="s">
        <v>0</v>
      </c>
      <c r="J43" s="277"/>
    </row>
    <row r="44" spans="1:10" x14ac:dyDescent="0.3">
      <c r="A44" s="91" t="s">
        <v>1</v>
      </c>
      <c r="B44" s="14" t="s">
        <v>2</v>
      </c>
      <c r="C44" s="14" t="s">
        <v>571</v>
      </c>
      <c r="D44" s="14" t="s">
        <v>572</v>
      </c>
      <c r="E44" s="14" t="s">
        <v>573</v>
      </c>
      <c r="F44" s="92" t="s">
        <v>4</v>
      </c>
      <c r="G44" s="92" t="s">
        <v>5</v>
      </c>
      <c r="I44" s="5" t="s">
        <v>6</v>
      </c>
      <c r="J44" s="6">
        <f>SUM(Tabla1103453454455456479108129136118384245[Total costo])</f>
        <v>87241.5</v>
      </c>
    </row>
    <row r="45" spans="1:10" x14ac:dyDescent="0.3">
      <c r="A45" s="7" t="s">
        <v>634</v>
      </c>
      <c r="B45" s="109" t="s">
        <v>570</v>
      </c>
      <c r="C45" s="48">
        <v>1</v>
      </c>
      <c r="D45" s="48">
        <v>0</v>
      </c>
      <c r="E45" s="48">
        <v>1</v>
      </c>
      <c r="F45" s="110">
        <f>+VLOOKUP(Tabla1103453454455456479108129136118384245[[#This Row],[Ingrediente]],Tabla34[#All],3,0)</f>
        <v>87241.5</v>
      </c>
      <c r="G45" s="111">
        <f>+Tabla1103453454455456479108129136118384245[[#This Row],[Costo]]*Tabla1103453454455456479108129136118384245[[#This Row],[Unidades]]</f>
        <v>87241.5</v>
      </c>
      <c r="I45" s="5" t="s">
        <v>113</v>
      </c>
      <c r="J45" s="6"/>
    </row>
    <row r="46" spans="1:10" x14ac:dyDescent="0.3">
      <c r="A46" s="13"/>
      <c r="B46" s="14"/>
      <c r="C46" s="14"/>
      <c r="D46" s="14"/>
      <c r="E46" s="14"/>
      <c r="F46" s="15"/>
      <c r="G46" s="15">
        <f>SUBTOTAL(109,Tabla1103453454455456479108129136118384245[Total costo])</f>
        <v>87241.5</v>
      </c>
      <c r="H46" s="4"/>
      <c r="I46" s="5" t="s">
        <v>9</v>
      </c>
      <c r="J46" s="6">
        <f>+J44+J45</f>
        <v>87241.5</v>
      </c>
    </row>
    <row r="47" spans="1:10" x14ac:dyDescent="0.3">
      <c r="H47" s="4"/>
      <c r="I47" s="17" t="s">
        <v>10</v>
      </c>
      <c r="J47" s="112">
        <v>190000</v>
      </c>
    </row>
    <row r="48" spans="1:10" x14ac:dyDescent="0.3">
      <c r="H48" s="4"/>
      <c r="I48" s="5" t="s">
        <v>11</v>
      </c>
      <c r="J48" s="6">
        <f>+J47/1.08*0.08</f>
        <v>14074.074074074075</v>
      </c>
    </row>
    <row r="49" spans="1:10" x14ac:dyDescent="0.3">
      <c r="H49" s="4"/>
      <c r="I49" s="5" t="s">
        <v>12</v>
      </c>
      <c r="J49" s="6">
        <f>+J47-J48</f>
        <v>175925.92592592593</v>
      </c>
    </row>
    <row r="50" spans="1:10" x14ac:dyDescent="0.3">
      <c r="H50" s="4"/>
      <c r="I50" s="5" t="s">
        <v>13</v>
      </c>
      <c r="J50" s="113">
        <f>+J46/J49</f>
        <v>0.49589905263157896</v>
      </c>
    </row>
    <row r="51" spans="1:10" x14ac:dyDescent="0.3">
      <c r="H51" s="4"/>
      <c r="I51" s="5" t="s">
        <v>14</v>
      </c>
      <c r="J51" s="20">
        <f>+J49-J46</f>
        <v>88684.425925925927</v>
      </c>
    </row>
    <row r="52" spans="1:10" x14ac:dyDescent="0.3">
      <c r="H52" s="4"/>
      <c r="I52" s="5" t="s">
        <v>15</v>
      </c>
      <c r="J52" s="22">
        <f>+J51/J46</f>
        <v>1.0165394442544653</v>
      </c>
    </row>
    <row r="55" spans="1:10" x14ac:dyDescent="0.3">
      <c r="A55" s="1" t="s">
        <v>743</v>
      </c>
      <c r="B55" s="2"/>
      <c r="C55" s="2"/>
      <c r="D55" s="3"/>
      <c r="E55" s="3"/>
      <c r="F55" s="99"/>
      <c r="G55" s="99"/>
      <c r="I55" s="277" t="s">
        <v>0</v>
      </c>
      <c r="J55" s="277"/>
    </row>
    <row r="56" spans="1:10" x14ac:dyDescent="0.3">
      <c r="A56" s="91" t="s">
        <v>1</v>
      </c>
      <c r="B56" s="14" t="s">
        <v>2</v>
      </c>
      <c r="C56" s="14" t="s">
        <v>571</v>
      </c>
      <c r="D56" s="14" t="s">
        <v>572</v>
      </c>
      <c r="E56" s="14" t="s">
        <v>573</v>
      </c>
      <c r="F56" s="92" t="s">
        <v>4</v>
      </c>
      <c r="G56" s="92" t="s">
        <v>5</v>
      </c>
      <c r="I56" s="5" t="s">
        <v>6</v>
      </c>
      <c r="J56" s="6">
        <f>SUM(Tabla1103453454455456479108129136118384246[Total costo])</f>
        <v>27250</v>
      </c>
    </row>
    <row r="57" spans="1:10" x14ac:dyDescent="0.3">
      <c r="A57" s="7" t="s">
        <v>633</v>
      </c>
      <c r="B57" s="109" t="s">
        <v>570</v>
      </c>
      <c r="C57" s="48">
        <v>1</v>
      </c>
      <c r="D57" s="48">
        <v>0</v>
      </c>
      <c r="E57" s="48">
        <v>1</v>
      </c>
      <c r="F57" s="110">
        <f>+VLOOKUP(Tabla1103453454455456479108129136118384246[[#This Row],[Ingrediente]],Tabla34[#All],3,0)</f>
        <v>27250</v>
      </c>
      <c r="G57" s="111">
        <f>+Tabla1103453454455456479108129136118384246[[#This Row],[Costo]]*Tabla1103453454455456479108129136118384246[[#This Row],[Unidades]]</f>
        <v>27250</v>
      </c>
      <c r="I57" s="5" t="s">
        <v>113</v>
      </c>
      <c r="J57" s="6"/>
    </row>
    <row r="58" spans="1:10" x14ac:dyDescent="0.3">
      <c r="A58" s="13"/>
      <c r="B58" s="14"/>
      <c r="C58" s="14"/>
      <c r="D58" s="14"/>
      <c r="E58" s="14"/>
      <c r="F58" s="15"/>
      <c r="G58" s="15">
        <f>SUBTOTAL(109,Tabla1103453454455456479108129136118384246[Total costo])</f>
        <v>27250</v>
      </c>
      <c r="H58" s="4"/>
      <c r="I58" s="5" t="s">
        <v>9</v>
      </c>
      <c r="J58" s="6">
        <f>+J56+J57</f>
        <v>27250</v>
      </c>
    </row>
    <row r="59" spans="1:10" x14ac:dyDescent="0.3">
      <c r="H59" s="4"/>
      <c r="I59" s="17" t="s">
        <v>10</v>
      </c>
      <c r="J59" s="112">
        <v>70000</v>
      </c>
    </row>
    <row r="60" spans="1:10" x14ac:dyDescent="0.3">
      <c r="H60" s="4"/>
      <c r="I60" s="5" t="s">
        <v>11</v>
      </c>
      <c r="J60" s="6">
        <f>+J59/1.08*0.08</f>
        <v>5185.1851851851852</v>
      </c>
    </row>
    <row r="61" spans="1:10" x14ac:dyDescent="0.3">
      <c r="H61" s="4"/>
      <c r="I61" s="5" t="s">
        <v>12</v>
      </c>
      <c r="J61" s="6">
        <f>+J59-J60</f>
        <v>64814.814814814818</v>
      </c>
    </row>
    <row r="62" spans="1:10" x14ac:dyDescent="0.3">
      <c r="H62" s="4"/>
      <c r="I62" s="5" t="s">
        <v>13</v>
      </c>
      <c r="J62" s="113">
        <f>+J58/J61</f>
        <v>0.42042857142857143</v>
      </c>
    </row>
    <row r="63" spans="1:10" x14ac:dyDescent="0.3">
      <c r="H63" s="4"/>
      <c r="I63" s="5" t="s">
        <v>14</v>
      </c>
      <c r="J63" s="20">
        <f>+J61-J58</f>
        <v>37564.814814814818</v>
      </c>
    </row>
    <row r="64" spans="1:10" x14ac:dyDescent="0.3">
      <c r="H64" s="4"/>
      <c r="I64" s="5" t="s">
        <v>15</v>
      </c>
      <c r="J64" s="22">
        <f>+J63/J58</f>
        <v>1.3785253143051308</v>
      </c>
    </row>
    <row r="66" spans="1:10" x14ac:dyDescent="0.3">
      <c r="A66" s="1" t="s">
        <v>744</v>
      </c>
      <c r="B66" s="2"/>
      <c r="C66" s="2"/>
      <c r="D66" s="3"/>
      <c r="E66" s="3"/>
      <c r="F66" s="99"/>
      <c r="G66" s="99"/>
      <c r="I66" s="277" t="s">
        <v>0</v>
      </c>
      <c r="J66" s="277"/>
    </row>
    <row r="67" spans="1:10" x14ac:dyDescent="0.3">
      <c r="A67" s="91" t="s">
        <v>1</v>
      </c>
      <c r="B67" s="14" t="s">
        <v>2</v>
      </c>
      <c r="C67" s="14" t="s">
        <v>571</v>
      </c>
      <c r="D67" s="14" t="s">
        <v>572</v>
      </c>
      <c r="E67" s="14" t="s">
        <v>573</v>
      </c>
      <c r="F67" s="92" t="s">
        <v>4</v>
      </c>
      <c r="G67" s="92" t="s">
        <v>5</v>
      </c>
      <c r="I67" s="5" t="s">
        <v>6</v>
      </c>
      <c r="J67" s="6" t="e">
        <f>SUM(Tabla1103453454455456479108129136118384248[Total costo])</f>
        <v>#N/A</v>
      </c>
    </row>
    <row r="68" spans="1:10" x14ac:dyDescent="0.3">
      <c r="A68" s="7" t="s">
        <v>745</v>
      </c>
      <c r="B68" s="109" t="s">
        <v>570</v>
      </c>
      <c r="C68" s="48">
        <v>1</v>
      </c>
      <c r="D68" s="48">
        <v>0</v>
      </c>
      <c r="E68" s="48">
        <v>1</v>
      </c>
      <c r="F68" s="110" t="e">
        <f>+VLOOKUP(Tabla1103453454455456479108129136118384248[[#This Row],[Ingrediente]],Tabla34[#All],3,0)</f>
        <v>#N/A</v>
      </c>
      <c r="G68" s="111" t="e">
        <f>+Tabla1103453454455456479108129136118384248[[#This Row],[Costo]]*Tabla1103453454455456479108129136118384248[[#This Row],[Unidades]]</f>
        <v>#N/A</v>
      </c>
      <c r="I68" s="5" t="s">
        <v>113</v>
      </c>
      <c r="J68" s="6"/>
    </row>
    <row r="69" spans="1:10" x14ac:dyDescent="0.3">
      <c r="A69" s="13"/>
      <c r="B69" s="14"/>
      <c r="C69" s="14"/>
      <c r="D69" s="14"/>
      <c r="E69" s="14"/>
      <c r="F69" s="15"/>
      <c r="G69" s="15" t="e">
        <f>SUBTOTAL(109,Tabla1103453454455456479108129136118384248[Total costo])</f>
        <v>#N/A</v>
      </c>
      <c r="H69" s="4"/>
      <c r="I69" s="5" t="s">
        <v>9</v>
      </c>
      <c r="J69" s="6" t="e">
        <f>+J67+J68</f>
        <v>#N/A</v>
      </c>
    </row>
    <row r="70" spans="1:10" x14ac:dyDescent="0.3">
      <c r="H70" s="4"/>
      <c r="I70" s="17" t="s">
        <v>10</v>
      </c>
      <c r="J70" s="112">
        <v>70000</v>
      </c>
    </row>
    <row r="71" spans="1:10" x14ac:dyDescent="0.3">
      <c r="H71" s="4"/>
      <c r="I71" s="5" t="s">
        <v>11</v>
      </c>
      <c r="J71" s="6">
        <f>+J70/1.08*0.08</f>
        <v>5185.1851851851852</v>
      </c>
    </row>
    <row r="72" spans="1:10" x14ac:dyDescent="0.3">
      <c r="H72" s="4"/>
      <c r="I72" s="5" t="s">
        <v>12</v>
      </c>
      <c r="J72" s="6">
        <f>+J70-J71</f>
        <v>64814.814814814818</v>
      </c>
    </row>
    <row r="73" spans="1:10" x14ac:dyDescent="0.3">
      <c r="H73" s="4"/>
      <c r="I73" s="5" t="s">
        <v>13</v>
      </c>
      <c r="J73" s="113" t="e">
        <f>+J69/J72</f>
        <v>#N/A</v>
      </c>
    </row>
    <row r="74" spans="1:10" x14ac:dyDescent="0.3">
      <c r="H74" s="4"/>
      <c r="I74" s="5" t="s">
        <v>14</v>
      </c>
      <c r="J74" s="20" t="e">
        <f>+J72-J69</f>
        <v>#N/A</v>
      </c>
    </row>
    <row r="75" spans="1:10" x14ac:dyDescent="0.3">
      <c r="H75" s="4"/>
      <c r="I75" s="5" t="s">
        <v>15</v>
      </c>
      <c r="J75" s="22" t="e">
        <f>+J74/J69</f>
        <v>#N/A</v>
      </c>
    </row>
    <row r="78" spans="1:10" x14ac:dyDescent="0.3">
      <c r="A78" s="1" t="s">
        <v>746</v>
      </c>
      <c r="B78" s="2"/>
      <c r="C78" s="2"/>
      <c r="D78" s="3"/>
      <c r="E78" s="3"/>
      <c r="F78" s="99"/>
      <c r="G78" s="99"/>
      <c r="I78" s="277" t="s">
        <v>0</v>
      </c>
      <c r="J78" s="277"/>
    </row>
    <row r="79" spans="1:10" x14ac:dyDescent="0.3">
      <c r="A79" s="91" t="s">
        <v>1</v>
      </c>
      <c r="B79" s="14" t="s">
        <v>2</v>
      </c>
      <c r="C79" s="14" t="s">
        <v>571</v>
      </c>
      <c r="D79" s="14" t="s">
        <v>572</v>
      </c>
      <c r="E79" s="14" t="s">
        <v>573</v>
      </c>
      <c r="F79" s="92" t="s">
        <v>4</v>
      </c>
      <c r="G79" s="92" t="s">
        <v>5</v>
      </c>
      <c r="I79" s="5" t="s">
        <v>6</v>
      </c>
      <c r="J79" s="6">
        <f>SUM(Tabla1103453454455456479108129136118384249[Total costo])</f>
        <v>34240.666666669997</v>
      </c>
    </row>
    <row r="80" spans="1:10" x14ac:dyDescent="0.3">
      <c r="A80" s="7" t="s">
        <v>44</v>
      </c>
      <c r="B80" s="109" t="s">
        <v>570</v>
      </c>
      <c r="C80" s="48">
        <v>1</v>
      </c>
      <c r="D80" s="48">
        <v>0</v>
      </c>
      <c r="E80" s="48">
        <v>1</v>
      </c>
      <c r="F80" s="110">
        <f>+VLOOKUP(Tabla1103453454455456479108129136118384249[[#This Row],[Ingrediente]],Tabla34[#All],3,0)</f>
        <v>34240.666666669997</v>
      </c>
      <c r="G80" s="111">
        <f>+Tabla1103453454455456479108129136118384249[[#This Row],[Costo]]*Tabla1103453454455456479108129136118384249[[#This Row],[Unidades]]</f>
        <v>34240.666666669997</v>
      </c>
      <c r="I80" s="5" t="s">
        <v>113</v>
      </c>
      <c r="J80" s="6"/>
    </row>
    <row r="81" spans="1:10" x14ac:dyDescent="0.3">
      <c r="A81" s="13"/>
      <c r="B81" s="14"/>
      <c r="C81" s="14"/>
      <c r="D81" s="14"/>
      <c r="E81" s="14"/>
      <c r="F81" s="15"/>
      <c r="G81" s="15">
        <f>SUBTOTAL(109,Tabla1103453454455456479108129136118384249[Total costo])</f>
        <v>34240.666666669997</v>
      </c>
      <c r="H81" s="4"/>
      <c r="I81" s="5" t="s">
        <v>9</v>
      </c>
      <c r="J81" s="6">
        <f>+J79+J80</f>
        <v>34240.666666669997</v>
      </c>
    </row>
    <row r="82" spans="1:10" x14ac:dyDescent="0.3">
      <c r="H82" s="4"/>
      <c r="I82" s="17" t="s">
        <v>10</v>
      </c>
      <c r="J82" s="112">
        <v>110000</v>
      </c>
    </row>
    <row r="83" spans="1:10" x14ac:dyDescent="0.3">
      <c r="H83" s="4"/>
      <c r="I83" s="5" t="s">
        <v>11</v>
      </c>
      <c r="J83" s="6">
        <f>+J82/1.08*0.08</f>
        <v>8148.1481481481469</v>
      </c>
    </row>
    <row r="84" spans="1:10" x14ac:dyDescent="0.3">
      <c r="H84" s="4"/>
      <c r="I84" s="5" t="s">
        <v>12</v>
      </c>
      <c r="J84" s="6">
        <f>+J82-J83</f>
        <v>101851.85185185185</v>
      </c>
    </row>
    <row r="85" spans="1:10" x14ac:dyDescent="0.3">
      <c r="H85" s="4"/>
      <c r="I85" s="5" t="s">
        <v>13</v>
      </c>
      <c r="J85" s="113">
        <f>+J81/J84</f>
        <v>0.33618109090912357</v>
      </c>
    </row>
    <row r="86" spans="1:10" x14ac:dyDescent="0.3">
      <c r="H86" s="4"/>
      <c r="I86" s="5" t="s">
        <v>14</v>
      </c>
      <c r="J86" s="20">
        <f>+J84-J81</f>
        <v>67611.18518518185</v>
      </c>
    </row>
    <row r="87" spans="1:10" x14ac:dyDescent="0.3">
      <c r="H87" s="4"/>
      <c r="I87" s="5" t="s">
        <v>15</v>
      </c>
      <c r="J87" s="22">
        <f>+J86/J81</f>
        <v>1.974587289534139</v>
      </c>
    </row>
    <row r="90" spans="1:10" x14ac:dyDescent="0.3">
      <c r="A90" s="1" t="s">
        <v>747</v>
      </c>
      <c r="B90" s="2"/>
      <c r="C90" s="2"/>
      <c r="D90" s="3"/>
      <c r="E90" s="3"/>
      <c r="F90" s="99"/>
      <c r="G90" s="99"/>
      <c r="I90" s="277" t="s">
        <v>0</v>
      </c>
      <c r="J90" s="277"/>
    </row>
    <row r="91" spans="1:10" x14ac:dyDescent="0.3">
      <c r="A91" s="91" t="s">
        <v>1</v>
      </c>
      <c r="B91" s="14" t="s">
        <v>2</v>
      </c>
      <c r="C91" s="14" t="s">
        <v>571</v>
      </c>
      <c r="D91" s="14" t="s">
        <v>572</v>
      </c>
      <c r="E91" s="14" t="s">
        <v>573</v>
      </c>
      <c r="F91" s="92" t="s">
        <v>4</v>
      </c>
      <c r="G91" s="92" t="s">
        <v>5</v>
      </c>
      <c r="I91" s="5" t="s">
        <v>6</v>
      </c>
      <c r="J91" s="6">
        <f>SUM(Tabla1103453454455456479108129136118384250[Total costo])</f>
        <v>74596</v>
      </c>
    </row>
    <row r="92" spans="1:10" x14ac:dyDescent="0.3">
      <c r="A92" s="7" t="s">
        <v>646</v>
      </c>
      <c r="B92" s="109" t="s">
        <v>570</v>
      </c>
      <c r="C92" s="48">
        <v>1</v>
      </c>
      <c r="D92" s="48">
        <v>0</v>
      </c>
      <c r="E92" s="48">
        <v>1</v>
      </c>
      <c r="F92" s="110">
        <f>+VLOOKUP(Tabla1103453454455456479108129136118384250[[#This Row],[Ingrediente]],Tabla34[#All],3,0)</f>
        <v>74596</v>
      </c>
      <c r="G92" s="111">
        <f>+Tabla1103453454455456479108129136118384250[[#This Row],[Costo]]*Tabla1103453454455456479108129136118384250[[#This Row],[Unidades]]</f>
        <v>74596</v>
      </c>
      <c r="I92" s="5" t="s">
        <v>113</v>
      </c>
      <c r="J92" s="6"/>
    </row>
    <row r="93" spans="1:10" x14ac:dyDescent="0.3">
      <c r="A93" s="13"/>
      <c r="B93" s="14"/>
      <c r="C93" s="14"/>
      <c r="D93" s="14"/>
      <c r="E93" s="14"/>
      <c r="F93" s="15"/>
      <c r="G93" s="15">
        <f>SUBTOTAL(109,Tabla1103453454455456479108129136118384250[Total costo])</f>
        <v>74596</v>
      </c>
      <c r="H93" s="4"/>
      <c r="I93" s="5" t="s">
        <v>9</v>
      </c>
      <c r="J93" s="6">
        <f>+J91+J92</f>
        <v>74596</v>
      </c>
    </row>
    <row r="94" spans="1:10" x14ac:dyDescent="0.3">
      <c r="H94" s="4"/>
      <c r="I94" s="17" t="s">
        <v>10</v>
      </c>
      <c r="J94" s="112">
        <v>180000</v>
      </c>
    </row>
    <row r="95" spans="1:10" x14ac:dyDescent="0.3">
      <c r="H95" s="4"/>
      <c r="I95" s="5" t="s">
        <v>11</v>
      </c>
      <c r="J95" s="6">
        <f>+J94/1.08*0.08</f>
        <v>13333.333333333332</v>
      </c>
    </row>
    <row r="96" spans="1:10" x14ac:dyDescent="0.3">
      <c r="H96" s="4"/>
      <c r="I96" s="5" t="s">
        <v>12</v>
      </c>
      <c r="J96" s="6">
        <f>+J94-J95</f>
        <v>166666.66666666666</v>
      </c>
    </row>
    <row r="97" spans="1:10" x14ac:dyDescent="0.3">
      <c r="H97" s="4"/>
      <c r="I97" s="5" t="s">
        <v>13</v>
      </c>
      <c r="J97" s="113">
        <f>+J93/J96</f>
        <v>0.44757600000000003</v>
      </c>
    </row>
    <row r="98" spans="1:10" x14ac:dyDescent="0.3">
      <c r="H98" s="4"/>
      <c r="I98" s="5" t="s">
        <v>14</v>
      </c>
      <c r="J98" s="20">
        <f>+J96-J93</f>
        <v>92070.666666666657</v>
      </c>
    </row>
    <row r="99" spans="1:10" x14ac:dyDescent="0.3">
      <c r="H99" s="4"/>
      <c r="I99" s="5" t="s">
        <v>15</v>
      </c>
      <c r="J99" s="22">
        <f>+J98/J93</f>
        <v>1.2342574222031564</v>
      </c>
    </row>
    <row r="101" spans="1:10" x14ac:dyDescent="0.3">
      <c r="A101" s="1" t="s">
        <v>748</v>
      </c>
      <c r="B101" s="2"/>
      <c r="C101" s="2"/>
      <c r="D101" s="3"/>
      <c r="E101" s="3"/>
      <c r="F101" s="99"/>
      <c r="G101" s="99"/>
      <c r="I101" s="277" t="s">
        <v>0</v>
      </c>
      <c r="J101" s="277"/>
    </row>
    <row r="102" spans="1:10" x14ac:dyDescent="0.3">
      <c r="A102" s="91" t="s">
        <v>1</v>
      </c>
      <c r="B102" s="14" t="s">
        <v>2</v>
      </c>
      <c r="C102" s="14" t="s">
        <v>571</v>
      </c>
      <c r="D102" s="14" t="s">
        <v>572</v>
      </c>
      <c r="E102" s="14" t="s">
        <v>573</v>
      </c>
      <c r="F102" s="92" t="s">
        <v>4</v>
      </c>
      <c r="G102" s="92" t="s">
        <v>5</v>
      </c>
      <c r="I102" s="5" t="s">
        <v>6</v>
      </c>
      <c r="J102" s="6" t="e">
        <f>SUM(Tabla1103453454455456479108129136118384251[Total costo])</f>
        <v>#N/A</v>
      </c>
    </row>
    <row r="103" spans="1:10" x14ac:dyDescent="0.3">
      <c r="A103" s="7" t="s">
        <v>648</v>
      </c>
      <c r="B103" s="109" t="s">
        <v>570</v>
      </c>
      <c r="C103" s="48">
        <v>1</v>
      </c>
      <c r="D103" s="48">
        <v>0</v>
      </c>
      <c r="E103" s="48">
        <v>1</v>
      </c>
      <c r="F103" s="110" t="e">
        <f>+VLOOKUP(Tabla1103453454455456479108129136118384251[[#This Row],[Ingrediente]],Tabla34[#All],3,0)</f>
        <v>#N/A</v>
      </c>
      <c r="G103" s="111" t="e">
        <f>+Tabla1103453454455456479108129136118384251[[#This Row],[Costo]]*Tabla1103453454455456479108129136118384251[[#This Row],[Unidades]]</f>
        <v>#N/A</v>
      </c>
      <c r="I103" s="5" t="s">
        <v>113</v>
      </c>
      <c r="J103" s="6"/>
    </row>
    <row r="104" spans="1:10" x14ac:dyDescent="0.3">
      <c r="A104" s="13"/>
      <c r="B104" s="14"/>
      <c r="C104" s="14"/>
      <c r="D104" s="14"/>
      <c r="E104" s="14"/>
      <c r="F104" s="15"/>
      <c r="G104" s="15" t="e">
        <f>SUBTOTAL(109,Tabla1103453454455456479108129136118384251[Total costo])</f>
        <v>#N/A</v>
      </c>
      <c r="H104" s="4"/>
      <c r="I104" s="5" t="s">
        <v>9</v>
      </c>
      <c r="J104" s="6" t="e">
        <f>+J102+J103</f>
        <v>#N/A</v>
      </c>
    </row>
    <row r="105" spans="1:10" x14ac:dyDescent="0.3">
      <c r="H105" s="4"/>
      <c r="I105" s="17" t="s">
        <v>10</v>
      </c>
      <c r="J105" s="112">
        <v>65000</v>
      </c>
    </row>
    <row r="106" spans="1:10" x14ac:dyDescent="0.3">
      <c r="H106" s="4"/>
      <c r="I106" s="5" t="s">
        <v>11</v>
      </c>
      <c r="J106" s="6">
        <f>+J105/1.08*0.08</f>
        <v>4814.8148148148148</v>
      </c>
    </row>
    <row r="107" spans="1:10" x14ac:dyDescent="0.3">
      <c r="H107" s="4"/>
      <c r="I107" s="5" t="s">
        <v>12</v>
      </c>
      <c r="J107" s="6">
        <f>+J105-J106</f>
        <v>60185.185185185182</v>
      </c>
    </row>
    <row r="108" spans="1:10" x14ac:dyDescent="0.3">
      <c r="H108" s="4"/>
      <c r="I108" s="5" t="s">
        <v>13</v>
      </c>
      <c r="J108" s="113" t="e">
        <f>+J104/J107</f>
        <v>#N/A</v>
      </c>
    </row>
    <row r="109" spans="1:10" x14ac:dyDescent="0.3">
      <c r="H109" s="4"/>
      <c r="I109" s="5" t="s">
        <v>14</v>
      </c>
      <c r="J109" s="20" t="e">
        <f>+J107-J104</f>
        <v>#N/A</v>
      </c>
    </row>
    <row r="110" spans="1:10" x14ac:dyDescent="0.3">
      <c r="H110" s="4"/>
      <c r="I110" s="5" t="s">
        <v>15</v>
      </c>
      <c r="J110" s="22" t="e">
        <f>+J109/J104</f>
        <v>#N/A</v>
      </c>
    </row>
    <row r="113" spans="1:10" x14ac:dyDescent="0.3">
      <c r="A113" s="1" t="s">
        <v>749</v>
      </c>
      <c r="B113" s="2"/>
      <c r="C113" s="2"/>
      <c r="D113" s="3"/>
      <c r="E113" s="3"/>
      <c r="F113" s="99"/>
      <c r="G113" s="99"/>
      <c r="I113" s="277" t="s">
        <v>0</v>
      </c>
      <c r="J113" s="277"/>
    </row>
    <row r="114" spans="1:10" x14ac:dyDescent="0.3">
      <c r="A114" s="91" t="s">
        <v>1</v>
      </c>
      <c r="B114" s="14" t="s">
        <v>2</v>
      </c>
      <c r="C114" s="14" t="s">
        <v>571</v>
      </c>
      <c r="D114" s="14" t="s">
        <v>572</v>
      </c>
      <c r="E114" s="14" t="s">
        <v>573</v>
      </c>
      <c r="F114" s="92" t="s">
        <v>4</v>
      </c>
      <c r="G114" s="92" t="s">
        <v>5</v>
      </c>
      <c r="I114" s="5" t="s">
        <v>6</v>
      </c>
      <c r="J114" s="6">
        <f>SUM(Tabla1103453454455456479108129136118384253[Total costo])</f>
        <v>25110</v>
      </c>
    </row>
    <row r="115" spans="1:10" x14ac:dyDescent="0.3">
      <c r="A115" s="7" t="s">
        <v>647</v>
      </c>
      <c r="B115" s="109" t="s">
        <v>570</v>
      </c>
      <c r="C115" s="48">
        <v>1</v>
      </c>
      <c r="D115" s="48">
        <v>0</v>
      </c>
      <c r="E115" s="48">
        <v>1</v>
      </c>
      <c r="F115" s="110">
        <f>+VLOOKUP(Tabla1103453454455456479108129136118384253[[#This Row],[Ingrediente]],Tabla34[#All],3,0)</f>
        <v>25110</v>
      </c>
      <c r="G115" s="111">
        <f>+Tabla1103453454455456479108129136118384253[[#This Row],[Costo]]*Tabla1103453454455456479108129136118384253[[#This Row],[Unidades]]</f>
        <v>25110</v>
      </c>
      <c r="I115" s="5" t="s">
        <v>113</v>
      </c>
      <c r="J115" s="6"/>
    </row>
    <row r="116" spans="1:10" x14ac:dyDescent="0.3">
      <c r="A116" s="13"/>
      <c r="B116" s="14"/>
      <c r="C116" s="14"/>
      <c r="D116" s="14"/>
      <c r="E116" s="14"/>
      <c r="F116" s="15"/>
      <c r="G116" s="15">
        <f>SUBTOTAL(109,Tabla1103453454455456479108129136118384253[Total costo])</f>
        <v>25110</v>
      </c>
      <c r="H116" s="4"/>
      <c r="I116" s="5" t="s">
        <v>9</v>
      </c>
      <c r="J116" s="6">
        <f>+J114+J115</f>
        <v>25110</v>
      </c>
    </row>
    <row r="117" spans="1:10" x14ac:dyDescent="0.3">
      <c r="H117" s="4"/>
      <c r="I117" s="17" t="s">
        <v>10</v>
      </c>
      <c r="J117" s="112">
        <v>65000</v>
      </c>
    </row>
    <row r="118" spans="1:10" x14ac:dyDescent="0.3">
      <c r="H118" s="4"/>
      <c r="I118" s="5" t="s">
        <v>11</v>
      </c>
      <c r="J118" s="6">
        <f>+J117/1.08*0.08</f>
        <v>4814.8148148148148</v>
      </c>
    </row>
    <row r="119" spans="1:10" x14ac:dyDescent="0.3">
      <c r="H119" s="4"/>
      <c r="I119" s="5" t="s">
        <v>12</v>
      </c>
      <c r="J119" s="6">
        <f>+J117-J118</f>
        <v>60185.185185185182</v>
      </c>
    </row>
    <row r="120" spans="1:10" x14ac:dyDescent="0.3">
      <c r="H120" s="4"/>
      <c r="I120" s="5" t="s">
        <v>13</v>
      </c>
      <c r="J120" s="113">
        <f>+J116/J119</f>
        <v>0.41721230769230772</v>
      </c>
    </row>
    <row r="121" spans="1:10" x14ac:dyDescent="0.3">
      <c r="H121" s="4"/>
      <c r="I121" s="5" t="s">
        <v>14</v>
      </c>
      <c r="J121" s="20">
        <f>+J119-J116</f>
        <v>35075.185185185182</v>
      </c>
    </row>
    <row r="122" spans="1:10" x14ac:dyDescent="0.3">
      <c r="H122" s="4"/>
      <c r="I122" s="5" t="s">
        <v>15</v>
      </c>
      <c r="J122" s="22">
        <f>+J121/J116</f>
        <v>1.396861218047996</v>
      </c>
    </row>
    <row r="126" spans="1:10" x14ac:dyDescent="0.3">
      <c r="A126" s="1" t="s">
        <v>750</v>
      </c>
      <c r="B126" s="2"/>
      <c r="C126" s="2"/>
      <c r="D126" s="3"/>
      <c r="E126" s="3"/>
      <c r="F126" s="99"/>
      <c r="G126" s="99"/>
      <c r="I126" s="277" t="s">
        <v>0</v>
      </c>
      <c r="J126" s="277"/>
    </row>
    <row r="127" spans="1:10" x14ac:dyDescent="0.3">
      <c r="A127" s="91" t="s">
        <v>1</v>
      </c>
      <c r="B127" s="14" t="s">
        <v>2</v>
      </c>
      <c r="C127" s="14" t="s">
        <v>571</v>
      </c>
      <c r="D127" s="14" t="s">
        <v>572</v>
      </c>
      <c r="E127" s="14" t="s">
        <v>573</v>
      </c>
      <c r="F127" s="92" t="s">
        <v>4</v>
      </c>
      <c r="G127" s="92" t="s">
        <v>5</v>
      </c>
      <c r="I127" s="5" t="s">
        <v>6</v>
      </c>
      <c r="J127" s="6" t="e">
        <f>SUM(Tabla1103453454455456479108129136118384254[Total costo])</f>
        <v>#N/A</v>
      </c>
    </row>
    <row r="128" spans="1:10" x14ac:dyDescent="0.3">
      <c r="A128" s="7" t="s">
        <v>697</v>
      </c>
      <c r="B128" s="109" t="s">
        <v>570</v>
      </c>
      <c r="C128" s="48">
        <v>1</v>
      </c>
      <c r="D128" s="48">
        <v>0</v>
      </c>
      <c r="E128" s="48">
        <v>1</v>
      </c>
      <c r="F128" s="110" t="e">
        <f>+VLOOKUP(Tabla1103453454455456479108129136118384254[[#This Row],[Ingrediente]],Tabla34[#All],3,0)</f>
        <v>#N/A</v>
      </c>
      <c r="G128" s="111" t="e">
        <f>+Tabla1103453454455456479108129136118384254[[#This Row],[Costo]]*Tabla1103453454455456479108129136118384254[[#This Row],[Unidades]]</f>
        <v>#N/A</v>
      </c>
      <c r="I128" s="5" t="s">
        <v>113</v>
      </c>
      <c r="J128" s="6"/>
    </row>
    <row r="129" spans="1:10" x14ac:dyDescent="0.3">
      <c r="A129" s="13"/>
      <c r="B129" s="14"/>
      <c r="C129" s="14"/>
      <c r="D129" s="14"/>
      <c r="E129" s="14"/>
      <c r="F129" s="15"/>
      <c r="G129" s="15" t="e">
        <f>SUBTOTAL(109,Tabla1103453454455456479108129136118384254[Total costo])</f>
        <v>#N/A</v>
      </c>
      <c r="H129" s="4"/>
      <c r="I129" s="5" t="s">
        <v>9</v>
      </c>
      <c r="J129" s="6" t="e">
        <f>+J127+J128</f>
        <v>#N/A</v>
      </c>
    </row>
    <row r="130" spans="1:10" x14ac:dyDescent="0.3">
      <c r="H130" s="4"/>
      <c r="I130" s="17" t="s">
        <v>10</v>
      </c>
      <c r="J130" s="112">
        <v>180000</v>
      </c>
    </row>
    <row r="131" spans="1:10" x14ac:dyDescent="0.3">
      <c r="H131" s="4"/>
      <c r="I131" s="5" t="s">
        <v>11</v>
      </c>
      <c r="J131" s="6">
        <f>+J130/1.08*0.08</f>
        <v>13333.333333333332</v>
      </c>
    </row>
    <row r="132" spans="1:10" x14ac:dyDescent="0.3">
      <c r="H132" s="4"/>
      <c r="I132" s="5" t="s">
        <v>12</v>
      </c>
      <c r="J132" s="6">
        <f>+J130-J131</f>
        <v>166666.66666666666</v>
      </c>
    </row>
    <row r="133" spans="1:10" x14ac:dyDescent="0.3">
      <c r="H133" s="4"/>
      <c r="I133" s="5" t="s">
        <v>13</v>
      </c>
      <c r="J133" s="113" t="e">
        <f>+J129/J132</f>
        <v>#N/A</v>
      </c>
    </row>
    <row r="134" spans="1:10" x14ac:dyDescent="0.3">
      <c r="H134" s="4"/>
      <c r="I134" s="5" t="s">
        <v>14</v>
      </c>
      <c r="J134" s="20" t="e">
        <f>+J132-J129</f>
        <v>#N/A</v>
      </c>
    </row>
    <row r="135" spans="1:10" x14ac:dyDescent="0.3">
      <c r="H135" s="4"/>
      <c r="I135" s="5" t="s">
        <v>15</v>
      </c>
      <c r="J135" s="22" t="e">
        <f>+J134/J129</f>
        <v>#N/A</v>
      </c>
    </row>
    <row r="139" spans="1:10" x14ac:dyDescent="0.3">
      <c r="A139" s="1" t="s">
        <v>751</v>
      </c>
      <c r="B139" s="2"/>
      <c r="C139" s="2"/>
      <c r="D139" s="3"/>
      <c r="E139" s="3"/>
      <c r="F139" s="99"/>
      <c r="G139" s="99"/>
      <c r="I139" s="277" t="s">
        <v>0</v>
      </c>
      <c r="J139" s="277"/>
    </row>
    <row r="140" spans="1:10" x14ac:dyDescent="0.3">
      <c r="A140" s="91" t="s">
        <v>1</v>
      </c>
      <c r="B140" s="14" t="s">
        <v>2</v>
      </c>
      <c r="C140" s="14" t="s">
        <v>571</v>
      </c>
      <c r="D140" s="14" t="s">
        <v>572</v>
      </c>
      <c r="E140" s="14" t="s">
        <v>573</v>
      </c>
      <c r="F140" s="92" t="s">
        <v>4</v>
      </c>
      <c r="G140" s="92" t="s">
        <v>5</v>
      </c>
      <c r="I140" s="5" t="s">
        <v>6</v>
      </c>
      <c r="J140" s="6">
        <f>SUM(Tabla1103453454455456479108129136118384258[Total costo])</f>
        <v>0</v>
      </c>
    </row>
    <row r="141" spans="1:10" x14ac:dyDescent="0.3">
      <c r="A141" s="7" t="s">
        <v>752</v>
      </c>
      <c r="B141" s="109" t="s">
        <v>570</v>
      </c>
      <c r="C141" s="48">
        <v>1</v>
      </c>
      <c r="D141" s="48">
        <v>0</v>
      </c>
      <c r="E141" s="48">
        <v>1</v>
      </c>
      <c r="F141" s="110">
        <f>+VLOOKUP(Tabla1103453454455456479108129136118384258[[#This Row],[Ingrediente]],Tabla34[#All],3,0)</f>
        <v>0</v>
      </c>
      <c r="G141" s="111">
        <f>+Tabla1103453454455456479108129136118384258[[#This Row],[Costo]]*Tabla1103453454455456479108129136118384258[[#This Row],[Unidades]]</f>
        <v>0</v>
      </c>
      <c r="I141" s="5" t="s">
        <v>113</v>
      </c>
      <c r="J141" s="6"/>
    </row>
    <row r="142" spans="1:10" x14ac:dyDescent="0.3">
      <c r="A142" s="13"/>
      <c r="B142" s="14"/>
      <c r="C142" s="14"/>
      <c r="D142" s="14"/>
      <c r="E142" s="14"/>
      <c r="F142" s="15"/>
      <c r="G142" s="15">
        <f>SUBTOTAL(109,Tabla1103453454455456479108129136118384258[Total costo])</f>
        <v>0</v>
      </c>
      <c r="H142" s="4"/>
      <c r="I142" s="5" t="s">
        <v>9</v>
      </c>
      <c r="J142" s="6">
        <f>+J140+J141</f>
        <v>0</v>
      </c>
    </row>
    <row r="143" spans="1:10" x14ac:dyDescent="0.3">
      <c r="H143" s="4"/>
      <c r="I143" s="17" t="s">
        <v>10</v>
      </c>
      <c r="J143" s="112">
        <v>980000</v>
      </c>
    </row>
    <row r="144" spans="1:10" x14ac:dyDescent="0.3">
      <c r="H144" s="4"/>
      <c r="I144" s="5" t="s">
        <v>11</v>
      </c>
      <c r="J144" s="6">
        <f>+J143/1.08*0.08</f>
        <v>72592.592592592584</v>
      </c>
    </row>
    <row r="145" spans="1:10" x14ac:dyDescent="0.3">
      <c r="H145" s="4"/>
      <c r="I145" s="5" t="s">
        <v>12</v>
      </c>
      <c r="J145" s="6">
        <f>+J143-J144</f>
        <v>907407.40740740742</v>
      </c>
    </row>
    <row r="146" spans="1:10" x14ac:dyDescent="0.3">
      <c r="H146" s="4"/>
      <c r="I146" s="5" t="s">
        <v>13</v>
      </c>
      <c r="J146" s="113">
        <f>+J142/J145</f>
        <v>0</v>
      </c>
    </row>
    <row r="147" spans="1:10" x14ac:dyDescent="0.3">
      <c r="H147" s="4"/>
      <c r="I147" s="5" t="s">
        <v>14</v>
      </c>
      <c r="J147" s="20">
        <f>+J145-J142</f>
        <v>907407.40740740742</v>
      </c>
    </row>
    <row r="148" spans="1:10" x14ac:dyDescent="0.3">
      <c r="H148" s="4"/>
      <c r="I148" s="5" t="s">
        <v>15</v>
      </c>
      <c r="J148" s="22" t="e">
        <f>+J147/J142</f>
        <v>#DIV/0!</v>
      </c>
    </row>
    <row r="151" spans="1:10" x14ac:dyDescent="0.3">
      <c r="A151" s="1" t="s">
        <v>753</v>
      </c>
      <c r="B151" s="2"/>
      <c r="C151" s="2"/>
      <c r="D151" s="3"/>
      <c r="E151" s="3"/>
      <c r="F151" s="99"/>
      <c r="G151" s="99"/>
      <c r="I151" s="277" t="s">
        <v>0</v>
      </c>
      <c r="J151" s="277"/>
    </row>
    <row r="152" spans="1:10" x14ac:dyDescent="0.3">
      <c r="A152" s="91" t="s">
        <v>1</v>
      </c>
      <c r="B152" s="14" t="s">
        <v>2</v>
      </c>
      <c r="C152" s="14" t="s">
        <v>571</v>
      </c>
      <c r="D152" s="14" t="s">
        <v>572</v>
      </c>
      <c r="E152" s="14" t="s">
        <v>573</v>
      </c>
      <c r="F152" s="92" t="s">
        <v>4</v>
      </c>
      <c r="G152" s="92" t="s">
        <v>5</v>
      </c>
      <c r="I152" s="5" t="s">
        <v>6</v>
      </c>
      <c r="J152" s="6" t="e">
        <f>SUM(Tabla1103453454455456479108129136118384259[Total costo])</f>
        <v>#N/A</v>
      </c>
    </row>
    <row r="153" spans="1:10" x14ac:dyDescent="0.3">
      <c r="A153" s="7" t="s">
        <v>754</v>
      </c>
      <c r="B153" s="109" t="s">
        <v>570</v>
      </c>
      <c r="C153" s="48">
        <v>1</v>
      </c>
      <c r="D153" s="48">
        <v>0</v>
      </c>
      <c r="E153" s="48">
        <v>1</v>
      </c>
      <c r="F153" s="110" t="e">
        <f>+VLOOKUP(Tabla1103453454455456479108129136118384259[[#This Row],[Ingrediente]],Tabla34[#All],3,0)</f>
        <v>#N/A</v>
      </c>
      <c r="G153" s="111" t="e">
        <f>+Tabla1103453454455456479108129136118384259[[#This Row],[Costo]]*Tabla1103453454455456479108129136118384259[[#This Row],[Unidades]]</f>
        <v>#N/A</v>
      </c>
      <c r="I153" s="5" t="s">
        <v>113</v>
      </c>
      <c r="J153" s="6"/>
    </row>
    <row r="154" spans="1:10" x14ac:dyDescent="0.3">
      <c r="A154" s="13"/>
      <c r="B154" s="14"/>
      <c r="C154" s="14"/>
      <c r="D154" s="14"/>
      <c r="E154" s="14"/>
      <c r="F154" s="15"/>
      <c r="G154" s="15" t="e">
        <f>SUBTOTAL(109,Tabla1103453454455456479108129136118384259[Total costo])</f>
        <v>#N/A</v>
      </c>
      <c r="H154" s="4"/>
      <c r="I154" s="5" t="s">
        <v>9</v>
      </c>
      <c r="J154" s="6" t="e">
        <f>+J152+J153</f>
        <v>#N/A</v>
      </c>
    </row>
    <row r="155" spans="1:10" x14ac:dyDescent="0.3">
      <c r="H155" s="4"/>
      <c r="I155" s="17" t="s">
        <v>10</v>
      </c>
      <c r="J155" s="112">
        <v>980000</v>
      </c>
    </row>
    <row r="156" spans="1:10" x14ac:dyDescent="0.3">
      <c r="H156" s="4"/>
      <c r="I156" s="5" t="s">
        <v>11</v>
      </c>
      <c r="J156" s="6">
        <f>+J155/1.08*0.08</f>
        <v>72592.592592592584</v>
      </c>
    </row>
    <row r="157" spans="1:10" x14ac:dyDescent="0.3">
      <c r="H157" s="4"/>
      <c r="I157" s="5" t="s">
        <v>12</v>
      </c>
      <c r="J157" s="6">
        <f>+J155-J156</f>
        <v>907407.40740740742</v>
      </c>
    </row>
    <row r="158" spans="1:10" x14ac:dyDescent="0.3">
      <c r="H158" s="4"/>
      <c r="I158" s="5" t="s">
        <v>13</v>
      </c>
      <c r="J158" s="113" t="e">
        <f>+J154/J157</f>
        <v>#N/A</v>
      </c>
    </row>
    <row r="159" spans="1:10" x14ac:dyDescent="0.3">
      <c r="H159" s="4"/>
      <c r="I159" s="5" t="s">
        <v>14</v>
      </c>
      <c r="J159" s="20" t="e">
        <f>+J157-J154</f>
        <v>#N/A</v>
      </c>
    </row>
    <row r="160" spans="1:10" x14ac:dyDescent="0.3">
      <c r="H160" s="4"/>
      <c r="I160" s="5" t="s">
        <v>15</v>
      </c>
      <c r="J160" s="22" t="e">
        <f>+J159/J154</f>
        <v>#N/A</v>
      </c>
    </row>
    <row r="164" spans="1:10" x14ac:dyDescent="0.3">
      <c r="A164" s="1" t="s">
        <v>755</v>
      </c>
      <c r="B164" s="2"/>
      <c r="C164" s="2"/>
      <c r="D164" s="3"/>
      <c r="E164" s="3"/>
      <c r="F164" s="99"/>
      <c r="G164" s="99"/>
      <c r="I164" s="277" t="s">
        <v>0</v>
      </c>
      <c r="J164" s="277"/>
    </row>
    <row r="165" spans="1:10" x14ac:dyDescent="0.3">
      <c r="A165" s="91" t="s">
        <v>1</v>
      </c>
      <c r="B165" s="14" t="s">
        <v>2</v>
      </c>
      <c r="C165" s="14" t="s">
        <v>571</v>
      </c>
      <c r="D165" s="14" t="s">
        <v>572</v>
      </c>
      <c r="E165" s="14" t="s">
        <v>573</v>
      </c>
      <c r="F165" s="92" t="s">
        <v>4</v>
      </c>
      <c r="G165" s="92" t="s">
        <v>5</v>
      </c>
      <c r="I165" s="5" t="s">
        <v>6</v>
      </c>
      <c r="J165" s="6">
        <f>SUM(Tabla1103453454455456479108129136118384263[Total costo])</f>
        <v>444869</v>
      </c>
    </row>
    <row r="166" spans="1:10" x14ac:dyDescent="0.3">
      <c r="A166" s="7" t="s">
        <v>672</v>
      </c>
      <c r="B166" s="109" t="s">
        <v>570</v>
      </c>
      <c r="C166" s="48">
        <v>1</v>
      </c>
      <c r="D166" s="48">
        <v>0</v>
      </c>
      <c r="E166" s="48">
        <v>1</v>
      </c>
      <c r="F166" s="110">
        <f>+VLOOKUP(Tabla1103453454455456479108129136118384263[[#This Row],[Ingrediente]],Tabla34[#All],3,0)</f>
        <v>444869</v>
      </c>
      <c r="G166" s="111">
        <f>+Tabla1103453454455456479108129136118384263[[#This Row],[Costo]]*Tabla1103453454455456479108129136118384263[[#This Row],[Unidades]]</f>
        <v>444869</v>
      </c>
      <c r="I166" s="5" t="s">
        <v>113</v>
      </c>
      <c r="J166" s="6"/>
    </row>
    <row r="167" spans="1:10" x14ac:dyDescent="0.3">
      <c r="A167" s="13"/>
      <c r="B167" s="14"/>
      <c r="C167" s="14"/>
      <c r="D167" s="14"/>
      <c r="E167" s="14"/>
      <c r="F167" s="15"/>
      <c r="G167" s="15">
        <f>SUBTOTAL(109,Tabla1103453454455456479108129136118384263[Total costo])</f>
        <v>444869</v>
      </c>
      <c r="H167" s="4"/>
      <c r="I167" s="5" t="s">
        <v>9</v>
      </c>
      <c r="J167" s="6">
        <f>+J165+J166</f>
        <v>444869</v>
      </c>
    </row>
    <row r="168" spans="1:10" x14ac:dyDescent="0.3">
      <c r="H168" s="4"/>
      <c r="I168" s="17" t="s">
        <v>10</v>
      </c>
      <c r="J168" s="112">
        <v>980000</v>
      </c>
    </row>
    <row r="169" spans="1:10" x14ac:dyDescent="0.3">
      <c r="H169" s="4"/>
      <c r="I169" s="5" t="s">
        <v>11</v>
      </c>
      <c r="J169" s="6">
        <f>+J168/1.08*0.08</f>
        <v>72592.592592592584</v>
      </c>
    </row>
    <row r="170" spans="1:10" x14ac:dyDescent="0.3">
      <c r="H170" s="4"/>
      <c r="I170" s="5" t="s">
        <v>12</v>
      </c>
      <c r="J170" s="6">
        <f>+J168-J169</f>
        <v>907407.40740740742</v>
      </c>
    </row>
    <row r="171" spans="1:10" x14ac:dyDescent="0.3">
      <c r="H171" s="4"/>
      <c r="I171" s="5" t="s">
        <v>13</v>
      </c>
      <c r="J171" s="113">
        <f>+J167/J170</f>
        <v>0.49026379591836733</v>
      </c>
    </row>
    <row r="172" spans="1:10" x14ac:dyDescent="0.3">
      <c r="H172" s="4"/>
      <c r="I172" s="5" t="s">
        <v>14</v>
      </c>
      <c r="J172" s="20">
        <f>+J170-J167</f>
        <v>462538.40740740742</v>
      </c>
    </row>
    <row r="173" spans="1:10" x14ac:dyDescent="0.3">
      <c r="H173" s="4"/>
      <c r="I173" s="5" t="s">
        <v>15</v>
      </c>
      <c r="J173" s="22">
        <f>+J172/J167</f>
        <v>1.0397182258314412</v>
      </c>
    </row>
    <row r="176" spans="1:10" x14ac:dyDescent="0.3">
      <c r="A176" s="1" t="s">
        <v>756</v>
      </c>
      <c r="B176" s="2"/>
      <c r="C176" s="2"/>
      <c r="D176" s="3"/>
      <c r="E176" s="3"/>
      <c r="F176" s="99"/>
      <c r="G176" s="99"/>
      <c r="I176" s="277" t="s">
        <v>0</v>
      </c>
      <c r="J176" s="277"/>
    </row>
    <row r="177" spans="1:10" x14ac:dyDescent="0.3">
      <c r="A177" s="91" t="s">
        <v>1</v>
      </c>
      <c r="B177" s="14" t="s">
        <v>2</v>
      </c>
      <c r="C177" s="14" t="s">
        <v>571</v>
      </c>
      <c r="D177" s="14" t="s">
        <v>572</v>
      </c>
      <c r="E177" s="14" t="s">
        <v>573</v>
      </c>
      <c r="F177" s="92" t="s">
        <v>4</v>
      </c>
      <c r="G177" s="92" t="s">
        <v>5</v>
      </c>
      <c r="I177" s="5" t="s">
        <v>6</v>
      </c>
      <c r="J177" s="6">
        <f>SUM(Tabla1103453454455456479108129136118384264[Total costo])</f>
        <v>34242.5</v>
      </c>
    </row>
    <row r="178" spans="1:10" x14ac:dyDescent="0.3">
      <c r="A178" s="7" t="s">
        <v>391</v>
      </c>
      <c r="B178" s="109" t="s">
        <v>570</v>
      </c>
      <c r="C178" s="48">
        <v>1</v>
      </c>
      <c r="D178" s="48">
        <v>0</v>
      </c>
      <c r="E178" s="48">
        <v>1</v>
      </c>
      <c r="F178" s="110">
        <f>+VLOOKUP(Tabla1103453454455456479108129136118384264[[#This Row],[Ingrediente]],Tabla34[#All],3,0)</f>
        <v>34242.5</v>
      </c>
      <c r="G178" s="111">
        <f>+Tabla1103453454455456479108129136118384264[[#This Row],[Costo]]*Tabla1103453454455456479108129136118384264[[#This Row],[Unidades]]</f>
        <v>34242.5</v>
      </c>
      <c r="I178" s="5" t="s">
        <v>113</v>
      </c>
      <c r="J178" s="6"/>
    </row>
    <row r="179" spans="1:10" x14ac:dyDescent="0.3">
      <c r="A179" s="13"/>
      <c r="B179" s="14"/>
      <c r="C179" s="14"/>
      <c r="D179" s="14"/>
      <c r="E179" s="14"/>
      <c r="F179" s="15"/>
      <c r="G179" s="15">
        <f>SUBTOTAL(109,Tabla1103453454455456479108129136118384264[Total costo])</f>
        <v>34242.5</v>
      </c>
      <c r="H179" s="4"/>
      <c r="I179" s="5" t="s">
        <v>9</v>
      </c>
      <c r="J179" s="6">
        <f>+J177+J178</f>
        <v>34242.5</v>
      </c>
    </row>
    <row r="180" spans="1:10" x14ac:dyDescent="0.3">
      <c r="H180" s="4"/>
      <c r="I180" s="17" t="s">
        <v>10</v>
      </c>
      <c r="J180" s="112">
        <v>110000</v>
      </c>
    </row>
    <row r="181" spans="1:10" x14ac:dyDescent="0.3">
      <c r="H181" s="4"/>
      <c r="I181" s="5" t="s">
        <v>11</v>
      </c>
      <c r="J181" s="6">
        <f>+J180/1.08*0.08</f>
        <v>8148.1481481481469</v>
      </c>
    </row>
    <row r="182" spans="1:10" x14ac:dyDescent="0.3">
      <c r="H182" s="4"/>
      <c r="I182" s="5" t="s">
        <v>12</v>
      </c>
      <c r="J182" s="6">
        <f>+J180-J181</f>
        <v>101851.85185185185</v>
      </c>
    </row>
    <row r="183" spans="1:10" x14ac:dyDescent="0.3">
      <c r="H183" s="4"/>
      <c r="I183" s="5" t="s">
        <v>13</v>
      </c>
      <c r="J183" s="113">
        <f>+J179/J182</f>
        <v>0.33619909090909089</v>
      </c>
    </row>
    <row r="184" spans="1:10" x14ac:dyDescent="0.3">
      <c r="H184" s="4"/>
      <c r="I184" s="5" t="s">
        <v>14</v>
      </c>
      <c r="J184" s="20">
        <f>+J182-J179</f>
        <v>67609.351851851854</v>
      </c>
    </row>
    <row r="185" spans="1:10" x14ac:dyDescent="0.3">
      <c r="H185" s="4"/>
      <c r="I185" s="5" t="s">
        <v>15</v>
      </c>
      <c r="J185" s="22">
        <f>+J184/J179</f>
        <v>1.9744280310097644</v>
      </c>
    </row>
    <row r="188" spans="1:10" x14ac:dyDescent="0.3">
      <c r="A188" s="1" t="s">
        <v>757</v>
      </c>
      <c r="B188" s="2"/>
      <c r="C188" s="2"/>
      <c r="D188" s="3"/>
      <c r="E188" s="3"/>
      <c r="F188" s="99"/>
      <c r="G188" s="99"/>
      <c r="I188" s="277" t="s">
        <v>0</v>
      </c>
      <c r="J188" s="277"/>
    </row>
    <row r="189" spans="1:10" x14ac:dyDescent="0.3">
      <c r="A189" s="91" t="s">
        <v>1</v>
      </c>
      <c r="B189" s="14" t="s">
        <v>2</v>
      </c>
      <c r="C189" s="14" t="s">
        <v>571</v>
      </c>
      <c r="D189" s="14" t="s">
        <v>572</v>
      </c>
      <c r="E189" s="14" t="s">
        <v>573</v>
      </c>
      <c r="F189" s="92" t="s">
        <v>4</v>
      </c>
      <c r="G189" s="92" t="s">
        <v>5</v>
      </c>
      <c r="I189" s="5" t="s">
        <v>6</v>
      </c>
      <c r="J189" s="6">
        <f>SUM(Tabla110345345445545647910812913611838426465[Total costo])</f>
        <v>34226</v>
      </c>
    </row>
    <row r="190" spans="1:10" x14ac:dyDescent="0.3">
      <c r="A190" s="7" t="s">
        <v>392</v>
      </c>
      <c r="B190" s="109" t="s">
        <v>570</v>
      </c>
      <c r="C190" s="48">
        <v>1</v>
      </c>
      <c r="D190" s="48">
        <v>0</v>
      </c>
      <c r="E190" s="48">
        <v>1</v>
      </c>
      <c r="F190" s="110">
        <f>+VLOOKUP(Tabla110345345445545647910812913611838426465[[#This Row],[Ingrediente]],Tabla34[#All],3,0)</f>
        <v>34226</v>
      </c>
      <c r="G190" s="111">
        <f>+Tabla110345345445545647910812913611838426465[[#This Row],[Costo]]*Tabla110345345445545647910812913611838426465[[#This Row],[Unidades]]</f>
        <v>34226</v>
      </c>
      <c r="I190" s="5" t="s">
        <v>113</v>
      </c>
      <c r="J190" s="6"/>
    </row>
    <row r="191" spans="1:10" x14ac:dyDescent="0.3">
      <c r="A191" s="13"/>
      <c r="B191" s="14"/>
      <c r="C191" s="14"/>
      <c r="D191" s="14"/>
      <c r="E191" s="14"/>
      <c r="F191" s="15"/>
      <c r="G191" s="15">
        <f>SUBTOTAL(109,Tabla110345345445545647910812913611838426465[Total costo])</f>
        <v>34226</v>
      </c>
      <c r="H191" s="4"/>
      <c r="I191" s="5" t="s">
        <v>9</v>
      </c>
      <c r="J191" s="6">
        <f>+J189+J190</f>
        <v>34226</v>
      </c>
    </row>
    <row r="192" spans="1:10" x14ac:dyDescent="0.3">
      <c r="H192" s="4"/>
      <c r="I192" s="17" t="s">
        <v>10</v>
      </c>
      <c r="J192" s="112">
        <v>110000</v>
      </c>
    </row>
    <row r="193" spans="8:10" x14ac:dyDescent="0.3">
      <c r="H193" s="4"/>
      <c r="I193" s="5" t="s">
        <v>11</v>
      </c>
      <c r="J193" s="6">
        <f>+J192/1.08*0.08</f>
        <v>8148.1481481481469</v>
      </c>
    </row>
    <row r="194" spans="8:10" x14ac:dyDescent="0.3">
      <c r="H194" s="4"/>
      <c r="I194" s="5" t="s">
        <v>12</v>
      </c>
      <c r="J194" s="6">
        <f>+J192-J193</f>
        <v>101851.85185185185</v>
      </c>
    </row>
    <row r="195" spans="8:10" x14ac:dyDescent="0.3">
      <c r="H195" s="4"/>
      <c r="I195" s="5" t="s">
        <v>13</v>
      </c>
      <c r="J195" s="113">
        <f>+J191/J194</f>
        <v>0.3360370909090909</v>
      </c>
    </row>
    <row r="196" spans="8:10" x14ac:dyDescent="0.3">
      <c r="H196" s="4"/>
      <c r="I196" s="5" t="s">
        <v>14</v>
      </c>
      <c r="J196" s="20">
        <f>+J194-J191</f>
        <v>67625.851851851854</v>
      </c>
    </row>
    <row r="197" spans="8:10" x14ac:dyDescent="0.3">
      <c r="H197" s="4"/>
      <c r="I197" s="5" t="s">
        <v>15</v>
      </c>
      <c r="J197" s="22">
        <f>+J196/J191</f>
        <v>1.9758619719468198</v>
      </c>
    </row>
  </sheetData>
  <mergeCells count="16">
    <mergeCell ref="I188:J188"/>
    <mergeCell ref="I113:J113"/>
    <mergeCell ref="I126:J126"/>
    <mergeCell ref="I139:J139"/>
    <mergeCell ref="I151:J151"/>
    <mergeCell ref="I164:J164"/>
    <mergeCell ref="I66:J66"/>
    <mergeCell ref="I78:J78"/>
    <mergeCell ref="I90:J90"/>
    <mergeCell ref="I101:J101"/>
    <mergeCell ref="I176:J176"/>
    <mergeCell ref="I6:J6"/>
    <mergeCell ref="I19:J19"/>
    <mergeCell ref="I31:J31"/>
    <mergeCell ref="I43:J43"/>
    <mergeCell ref="I55:J55"/>
  </mergeCells>
  <conditionalFormatting sqref="J13">
    <cfRule type="cellIs" dxfId="153" priority="31" operator="lessThan">
      <formula>0.3</formula>
    </cfRule>
    <cfRule type="cellIs" dxfId="152" priority="32" operator="greaterThan">
      <formula>0.3</formula>
    </cfRule>
  </conditionalFormatting>
  <conditionalFormatting sqref="J26">
    <cfRule type="cellIs" dxfId="151" priority="29" operator="lessThan">
      <formula>0.3</formula>
    </cfRule>
    <cfRule type="cellIs" dxfId="150" priority="30" operator="greaterThan">
      <formula>0.3</formula>
    </cfRule>
  </conditionalFormatting>
  <conditionalFormatting sqref="J38">
    <cfRule type="cellIs" dxfId="149" priority="27" operator="lessThan">
      <formula>0.3</formula>
    </cfRule>
    <cfRule type="cellIs" dxfId="148" priority="28" operator="greaterThan">
      <formula>0.3</formula>
    </cfRule>
  </conditionalFormatting>
  <conditionalFormatting sqref="J50">
    <cfRule type="cellIs" dxfId="147" priority="25" operator="lessThan">
      <formula>0.3</formula>
    </cfRule>
    <cfRule type="cellIs" dxfId="146" priority="26" operator="greaterThan">
      <formula>0.3</formula>
    </cfRule>
  </conditionalFormatting>
  <conditionalFormatting sqref="J62">
    <cfRule type="cellIs" dxfId="145" priority="23" operator="lessThan">
      <formula>0.3</formula>
    </cfRule>
    <cfRule type="cellIs" dxfId="144" priority="24" operator="greaterThan">
      <formula>0.3</formula>
    </cfRule>
  </conditionalFormatting>
  <conditionalFormatting sqref="J73">
    <cfRule type="cellIs" dxfId="143" priority="21" operator="lessThan">
      <formula>0.3</formula>
    </cfRule>
    <cfRule type="cellIs" dxfId="142" priority="22" operator="greaterThan">
      <formula>0.3</formula>
    </cfRule>
  </conditionalFormatting>
  <conditionalFormatting sqref="J85">
    <cfRule type="cellIs" dxfId="141" priority="19" operator="lessThan">
      <formula>0.3</formula>
    </cfRule>
    <cfRule type="cellIs" dxfId="140" priority="20" operator="greaterThan">
      <formula>0.3</formula>
    </cfRule>
  </conditionalFormatting>
  <conditionalFormatting sqref="J97">
    <cfRule type="cellIs" dxfId="139" priority="17" operator="lessThan">
      <formula>0.3</formula>
    </cfRule>
    <cfRule type="cellIs" dxfId="138" priority="18" operator="greaterThan">
      <formula>0.3</formula>
    </cfRule>
  </conditionalFormatting>
  <conditionalFormatting sqref="J108">
    <cfRule type="cellIs" dxfId="137" priority="15" operator="lessThan">
      <formula>0.3</formula>
    </cfRule>
    <cfRule type="cellIs" dxfId="136" priority="16" operator="greaterThan">
      <formula>0.3</formula>
    </cfRule>
  </conditionalFormatting>
  <conditionalFormatting sqref="J120">
    <cfRule type="cellIs" dxfId="135" priority="13" operator="lessThan">
      <formula>0.3</formula>
    </cfRule>
    <cfRule type="cellIs" dxfId="134" priority="14" operator="greaterThan">
      <formula>0.3</formula>
    </cfRule>
  </conditionalFormatting>
  <conditionalFormatting sqref="J133">
    <cfRule type="cellIs" dxfId="133" priority="11" operator="lessThan">
      <formula>0.3</formula>
    </cfRule>
    <cfRule type="cellIs" dxfId="132" priority="12" operator="greaterThan">
      <formula>0.3</formula>
    </cfRule>
  </conditionalFormatting>
  <conditionalFormatting sqref="J146">
    <cfRule type="cellIs" dxfId="131" priority="9" operator="lessThan">
      <formula>0.3</formula>
    </cfRule>
    <cfRule type="cellIs" dxfId="130" priority="10" operator="greaterThan">
      <formula>0.3</formula>
    </cfRule>
  </conditionalFormatting>
  <conditionalFormatting sqref="J158">
    <cfRule type="cellIs" dxfId="129" priority="7" operator="lessThan">
      <formula>0.3</formula>
    </cfRule>
    <cfRule type="cellIs" dxfId="128" priority="8" operator="greaterThan">
      <formula>0.3</formula>
    </cfRule>
  </conditionalFormatting>
  <conditionalFormatting sqref="J171">
    <cfRule type="cellIs" dxfId="127" priority="5" operator="lessThan">
      <formula>0.3</formula>
    </cfRule>
    <cfRule type="cellIs" dxfId="126" priority="6" operator="greaterThan">
      <formula>0.3</formula>
    </cfRule>
  </conditionalFormatting>
  <conditionalFormatting sqref="J183">
    <cfRule type="cellIs" dxfId="125" priority="3" operator="lessThan">
      <formula>0.3</formula>
    </cfRule>
    <cfRule type="cellIs" dxfId="124" priority="4" operator="greaterThan">
      <formula>0.3</formula>
    </cfRule>
  </conditionalFormatting>
  <conditionalFormatting sqref="J195">
    <cfRule type="cellIs" dxfId="123" priority="1" operator="lessThan">
      <formula>0.3</formula>
    </cfRule>
    <cfRule type="cellIs" dxfId="122" priority="2" operator="greaterThan">
      <formula>0.3</formula>
    </cfRule>
  </conditionalFormatting>
  <pageMargins left="0.7" right="0.7" top="0.75" bottom="0.75" header="0.3" footer="0.3"/>
  <drawing r:id="rId1"/>
  <tableParts count="16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AAEF0-2026-452A-8E83-C04BE1560CC3}">
  <dimension ref="A3:H108"/>
  <sheetViews>
    <sheetView showGridLines="0" topLeftCell="A79" zoomScaleNormal="100" workbookViewId="0">
      <selection activeCell="A99" sqref="A99:H108"/>
    </sheetView>
  </sheetViews>
  <sheetFormatPr baseColWidth="10" defaultColWidth="11.5546875" defaultRowHeight="15" x14ac:dyDescent="0.25"/>
  <cols>
    <col min="1" max="1" width="53.88671875" style="30" bestFit="1" customWidth="1"/>
    <col min="2" max="2" width="9" style="30" bestFit="1" customWidth="1"/>
    <col min="3" max="5" width="11.5546875" style="30"/>
    <col min="6" max="6" width="2.6640625" style="30" customWidth="1"/>
    <col min="7" max="7" width="32.33203125" style="30" bestFit="1" customWidth="1"/>
    <col min="8" max="16384" width="11.5546875" style="30"/>
  </cols>
  <sheetData>
    <row r="3" spans="1:8" ht="15.6" x14ac:dyDescent="0.3">
      <c r="A3" s="50" t="s">
        <v>849</v>
      </c>
      <c r="B3" s="32"/>
      <c r="C3" s="32"/>
      <c r="D3" s="51"/>
      <c r="E3" s="51"/>
      <c r="F3" s="31"/>
      <c r="G3" s="293" t="s">
        <v>0</v>
      </c>
      <c r="H3" s="293"/>
    </row>
    <row r="4" spans="1:8" ht="15.6" x14ac:dyDescent="0.25">
      <c r="A4" s="41" t="s">
        <v>1</v>
      </c>
      <c r="B4" s="42" t="s">
        <v>2</v>
      </c>
      <c r="C4" s="42" t="s">
        <v>3</v>
      </c>
      <c r="D4" s="52" t="s">
        <v>4</v>
      </c>
      <c r="E4" s="52" t="s">
        <v>5</v>
      </c>
      <c r="F4" s="31"/>
      <c r="G4" s="33" t="s">
        <v>6</v>
      </c>
      <c r="H4" s="34">
        <f>SUM(Tabla1103453454455456479108130137157194203212218234313[Total costo])</f>
        <v>2735.2222222199998</v>
      </c>
    </row>
    <row r="5" spans="1:8" x14ac:dyDescent="0.25">
      <c r="A5" s="35" t="s">
        <v>625</v>
      </c>
      <c r="B5" s="36" t="s">
        <v>61</v>
      </c>
      <c r="C5" s="37">
        <v>1</v>
      </c>
      <c r="D5" s="38">
        <f>+VLOOKUP(Tabla1103453454455456479108130137157194203212218234313[[#This Row],[Ingrediente]],Tabla34[#All],3,0)</f>
        <v>2735.2222222199998</v>
      </c>
      <c r="E5" s="39">
        <f>+Tabla1103453454455456479108130137157194203212218234313[[#This Row],[Costo]]*Tabla1103453454455456479108130137157194203212218234313[[#This Row],[Cant.]]</f>
        <v>2735.2222222199998</v>
      </c>
      <c r="F5" s="31"/>
      <c r="G5" s="33" t="s">
        <v>113</v>
      </c>
      <c r="H5" s="40"/>
    </row>
    <row r="6" spans="1:8" ht="15.6" x14ac:dyDescent="0.25">
      <c r="A6" s="41"/>
      <c r="B6" s="42"/>
      <c r="C6" s="42"/>
      <c r="D6" s="43"/>
      <c r="E6" s="43">
        <f>SUBTOTAL(109,Tabla1103453454455456479108130137157194203212218234313[Total costo])</f>
        <v>2735.2222222199998</v>
      </c>
      <c r="F6" s="31"/>
      <c r="G6" s="33" t="s">
        <v>9</v>
      </c>
      <c r="H6" s="40">
        <f>+H4+H5</f>
        <v>2735.2222222199998</v>
      </c>
    </row>
    <row r="7" spans="1:8" x14ac:dyDescent="0.25">
      <c r="F7" s="31"/>
      <c r="G7" s="53" t="s">
        <v>10</v>
      </c>
      <c r="H7" s="54">
        <v>13900</v>
      </c>
    </row>
    <row r="8" spans="1:8" x14ac:dyDescent="0.25">
      <c r="F8" s="31"/>
      <c r="G8" s="33" t="s">
        <v>11</v>
      </c>
      <c r="H8" s="40">
        <f>+H7/1.08*0.08</f>
        <v>1029.6296296296296</v>
      </c>
    </row>
    <row r="9" spans="1:8" x14ac:dyDescent="0.25">
      <c r="F9" s="31"/>
      <c r="G9" s="33" t="s">
        <v>12</v>
      </c>
      <c r="H9" s="40">
        <f>+H7-H8</f>
        <v>12870.37037037037</v>
      </c>
    </row>
    <row r="10" spans="1:8" x14ac:dyDescent="0.25">
      <c r="F10" s="31"/>
      <c r="G10" s="33" t="s">
        <v>13</v>
      </c>
      <c r="H10" s="55">
        <f>+H6/H9</f>
        <v>0.21252086330917985</v>
      </c>
    </row>
    <row r="11" spans="1:8" x14ac:dyDescent="0.25">
      <c r="F11" s="31"/>
      <c r="G11" s="33" t="s">
        <v>14</v>
      </c>
      <c r="H11" s="56">
        <f>+H9-H6</f>
        <v>10135.148148150371</v>
      </c>
    </row>
    <row r="12" spans="1:8" x14ac:dyDescent="0.25">
      <c r="F12" s="31"/>
      <c r="G12" s="33" t="s">
        <v>15</v>
      </c>
      <c r="H12" s="57">
        <f>+H11/H6</f>
        <v>3.7054203734584821</v>
      </c>
    </row>
    <row r="16" spans="1:8" ht="15.6" x14ac:dyDescent="0.3">
      <c r="A16" s="50" t="s">
        <v>846</v>
      </c>
      <c r="B16" s="32"/>
      <c r="C16" s="32"/>
      <c r="D16" s="51"/>
      <c r="E16" s="51"/>
      <c r="G16" s="293" t="s">
        <v>0</v>
      </c>
      <c r="H16" s="293"/>
    </row>
    <row r="17" spans="1:8" ht="15.6" x14ac:dyDescent="0.25">
      <c r="A17" s="41" t="s">
        <v>1</v>
      </c>
      <c r="B17" s="42" t="s">
        <v>2</v>
      </c>
      <c r="C17" s="42" t="s">
        <v>3</v>
      </c>
      <c r="D17" s="52" t="s">
        <v>4</v>
      </c>
      <c r="E17" s="52" t="s">
        <v>5</v>
      </c>
      <c r="F17" s="31"/>
      <c r="G17" s="33" t="s">
        <v>6</v>
      </c>
      <c r="H17" s="34">
        <f>SUM(Tabla1103453454455456479108130137157194203212218234235314[Total costo])</f>
        <v>3465.2083333300002</v>
      </c>
    </row>
    <row r="18" spans="1:8" x14ac:dyDescent="0.25">
      <c r="A18" s="35" t="s">
        <v>259</v>
      </c>
      <c r="B18" s="36" t="s">
        <v>61</v>
      </c>
      <c r="C18" s="37">
        <v>1</v>
      </c>
      <c r="D18" s="38">
        <f>+VLOOKUP(Tabla1103453454455456479108130137157194203212218234235314[[#This Row],[Ingrediente]],Tabla34[#All],3,0)</f>
        <v>3465.2083333300002</v>
      </c>
      <c r="E18" s="39">
        <f>+Tabla1103453454455456479108130137157194203212218234235314[[#This Row],[Costo]]*Tabla1103453454455456479108130137157194203212218234235314[[#This Row],[Cant.]]</f>
        <v>3465.2083333300002</v>
      </c>
      <c r="F18" s="31"/>
      <c r="G18" s="33" t="s">
        <v>113</v>
      </c>
      <c r="H18" s="40"/>
    </row>
    <row r="19" spans="1:8" ht="15.6" x14ac:dyDescent="0.25">
      <c r="A19" s="41"/>
      <c r="B19" s="42"/>
      <c r="C19" s="42"/>
      <c r="D19" s="43"/>
      <c r="E19" s="43">
        <f>SUBTOTAL(109,Tabla1103453454455456479108130137157194203212218234235314[Total costo])</f>
        <v>3465.2083333300002</v>
      </c>
      <c r="F19" s="31"/>
      <c r="G19" s="33" t="s">
        <v>9</v>
      </c>
      <c r="H19" s="40">
        <f>+H17+H18</f>
        <v>3465.2083333300002</v>
      </c>
    </row>
    <row r="20" spans="1:8" x14ac:dyDescent="0.25">
      <c r="F20" s="31"/>
      <c r="G20" s="53" t="s">
        <v>10</v>
      </c>
      <c r="H20" s="54">
        <v>15000</v>
      </c>
    </row>
    <row r="21" spans="1:8" x14ac:dyDescent="0.25">
      <c r="G21" s="33" t="s">
        <v>11</v>
      </c>
      <c r="H21" s="40">
        <f>+H20/1.08*0.08</f>
        <v>1111.1111111111111</v>
      </c>
    </row>
    <row r="22" spans="1:8" x14ac:dyDescent="0.25">
      <c r="G22" s="33" t="s">
        <v>12</v>
      </c>
      <c r="H22" s="40">
        <f>+H20-H21</f>
        <v>13888.888888888889</v>
      </c>
    </row>
    <row r="23" spans="1:8" x14ac:dyDescent="0.25">
      <c r="G23" s="33" t="s">
        <v>13</v>
      </c>
      <c r="H23" s="55">
        <f>+H19/H22</f>
        <v>0.24949499999976002</v>
      </c>
    </row>
    <row r="24" spans="1:8" x14ac:dyDescent="0.25">
      <c r="G24" s="33" t="s">
        <v>14</v>
      </c>
      <c r="H24" s="56">
        <f>+H22-H19</f>
        <v>10423.680555558889</v>
      </c>
    </row>
    <row r="25" spans="1:8" x14ac:dyDescent="0.25">
      <c r="G25" s="33" t="s">
        <v>15</v>
      </c>
      <c r="H25" s="57">
        <f>+H24/H19</f>
        <v>3.0080963546402208</v>
      </c>
    </row>
    <row r="27" spans="1:8" ht="15.6" x14ac:dyDescent="0.3">
      <c r="A27" s="50" t="s">
        <v>819</v>
      </c>
      <c r="B27" s="32"/>
      <c r="C27" s="32"/>
      <c r="D27" s="51"/>
      <c r="E27" s="51"/>
      <c r="F27" s="31"/>
      <c r="G27" s="293" t="s">
        <v>0</v>
      </c>
      <c r="H27" s="293"/>
    </row>
    <row r="28" spans="1:8" ht="15.6" x14ac:dyDescent="0.25">
      <c r="A28" s="41" t="s">
        <v>1</v>
      </c>
      <c r="B28" s="42" t="s">
        <v>2</v>
      </c>
      <c r="C28" s="42" t="s">
        <v>3</v>
      </c>
      <c r="D28" s="52" t="s">
        <v>4</v>
      </c>
      <c r="E28" s="52" t="s">
        <v>5</v>
      </c>
      <c r="F28" s="31"/>
      <c r="G28" s="33" t="s">
        <v>6</v>
      </c>
      <c r="H28" s="34">
        <f>SUM(Tabla1103453454455456479108130137157194203212218234235238315[Total costo])</f>
        <v>3101.9166666699998</v>
      </c>
    </row>
    <row r="29" spans="1:8" x14ac:dyDescent="0.25">
      <c r="A29" s="35" t="s">
        <v>46</v>
      </c>
      <c r="B29" s="36" t="s">
        <v>61</v>
      </c>
      <c r="C29" s="37">
        <v>1</v>
      </c>
      <c r="D29" s="38">
        <f>+VLOOKUP(Tabla1103453454455456479108130137157194203212218234235238315[[#This Row],[Ingrediente]],Tabla34[#All],3,0)</f>
        <v>3101.9166666699998</v>
      </c>
      <c r="E29" s="39">
        <f>+Tabla1103453454455456479108130137157194203212218234235238315[[#This Row],[Costo]]*Tabla1103453454455456479108130137157194203212218234235238315[[#This Row],[Cant.]]</f>
        <v>3101.9166666699998</v>
      </c>
      <c r="F29" s="31"/>
      <c r="G29" s="33" t="s">
        <v>113</v>
      </c>
      <c r="H29" s="40"/>
    </row>
    <row r="30" spans="1:8" ht="15.6" x14ac:dyDescent="0.25">
      <c r="A30" s="41"/>
      <c r="B30" s="42"/>
      <c r="C30" s="42"/>
      <c r="D30" s="43"/>
      <c r="E30" s="43">
        <f>SUBTOTAL(109,Tabla1103453454455456479108130137157194203212218234235238315[Total costo])</f>
        <v>3101.9166666699998</v>
      </c>
      <c r="F30" s="31"/>
      <c r="G30" s="33" t="s">
        <v>9</v>
      </c>
      <c r="H30" s="40">
        <f>+H28+H29</f>
        <v>3101.9166666699998</v>
      </c>
    </row>
    <row r="31" spans="1:8" x14ac:dyDescent="0.25">
      <c r="G31" s="53" t="s">
        <v>10</v>
      </c>
      <c r="H31" s="54">
        <v>15000</v>
      </c>
    </row>
    <row r="32" spans="1:8" x14ac:dyDescent="0.25">
      <c r="G32" s="33" t="s">
        <v>11</v>
      </c>
      <c r="H32" s="40">
        <f>+H31/1.08*0.08</f>
        <v>1111.1111111111111</v>
      </c>
    </row>
    <row r="33" spans="1:8" x14ac:dyDescent="0.25">
      <c r="G33" s="33" t="s">
        <v>12</v>
      </c>
      <c r="H33" s="40">
        <f>+H31-H32</f>
        <v>13888.888888888889</v>
      </c>
    </row>
    <row r="34" spans="1:8" x14ac:dyDescent="0.25">
      <c r="G34" s="33" t="s">
        <v>13</v>
      </c>
      <c r="H34" s="55">
        <f>+H30/H33</f>
        <v>0.22333800000023998</v>
      </c>
    </row>
    <row r="35" spans="1:8" x14ac:dyDescent="0.25">
      <c r="G35" s="33" t="s">
        <v>14</v>
      </c>
      <c r="H35" s="56">
        <f>+H33-H30</f>
        <v>10786.972222218888</v>
      </c>
    </row>
    <row r="36" spans="1:8" x14ac:dyDescent="0.25">
      <c r="G36" s="33" t="s">
        <v>15</v>
      </c>
      <c r="H36" s="57">
        <f>+H35/H30</f>
        <v>3.4775183802081391</v>
      </c>
    </row>
    <row r="39" spans="1:8" ht="15.6" x14ac:dyDescent="0.3">
      <c r="A39" s="50" t="s">
        <v>909</v>
      </c>
      <c r="B39" s="32"/>
      <c r="C39" s="32"/>
      <c r="D39" s="51"/>
      <c r="E39" s="51"/>
      <c r="F39" s="31"/>
      <c r="G39" s="293" t="s">
        <v>0</v>
      </c>
      <c r="H39" s="293"/>
    </row>
    <row r="40" spans="1:8" ht="15.6" x14ac:dyDescent="0.25">
      <c r="A40" s="41" t="s">
        <v>1</v>
      </c>
      <c r="B40" s="42" t="s">
        <v>2</v>
      </c>
      <c r="C40" s="42" t="s">
        <v>3</v>
      </c>
      <c r="D40" s="52" t="s">
        <v>4</v>
      </c>
      <c r="E40" s="52" t="s">
        <v>5</v>
      </c>
      <c r="F40" s="31"/>
      <c r="G40" s="33" t="s">
        <v>6</v>
      </c>
      <c r="H40" s="34">
        <f>SUM(Tabla1103453454455456479108130137157194203212218234235238315193[Total costo])</f>
        <v>11200</v>
      </c>
    </row>
    <row r="41" spans="1:8" x14ac:dyDescent="0.25">
      <c r="A41" s="35" t="s">
        <v>626</v>
      </c>
      <c r="B41" s="36" t="s">
        <v>61</v>
      </c>
      <c r="C41" s="37">
        <v>1</v>
      </c>
      <c r="D41" s="38">
        <f>+VLOOKUP(Tabla1103453454455456479108130137157194203212218234235238315193[[#This Row],[Ingrediente]],Tabla34[#All],3,0)</f>
        <v>11200</v>
      </c>
      <c r="E41" s="39">
        <f>+Tabla1103453454455456479108130137157194203212218234235238315193[[#This Row],[Costo]]*Tabla1103453454455456479108130137157194203212218234235238315193[[#This Row],[Cant.]]</f>
        <v>11200</v>
      </c>
      <c r="F41" s="31"/>
      <c r="G41" s="33" t="s">
        <v>113</v>
      </c>
      <c r="H41" s="40"/>
    </row>
    <row r="42" spans="1:8" ht="15.6" x14ac:dyDescent="0.25">
      <c r="A42" s="41"/>
      <c r="B42" s="42"/>
      <c r="C42" s="42"/>
      <c r="D42" s="43"/>
      <c r="E42" s="43">
        <f>SUBTOTAL(109,Tabla1103453454455456479108130137157194203212218234235238315193[Total costo])</f>
        <v>11200</v>
      </c>
      <c r="F42" s="31"/>
      <c r="G42" s="33" t="s">
        <v>9</v>
      </c>
      <c r="H42" s="40">
        <f>+H40+H41</f>
        <v>11200</v>
      </c>
    </row>
    <row r="43" spans="1:8" x14ac:dyDescent="0.25">
      <c r="G43" s="53" t="s">
        <v>10</v>
      </c>
      <c r="H43" s="54">
        <v>27000</v>
      </c>
    </row>
    <row r="44" spans="1:8" x14ac:dyDescent="0.25">
      <c r="G44" s="33" t="s">
        <v>11</v>
      </c>
      <c r="H44" s="40">
        <f>+H43/1.08*0.08</f>
        <v>2000</v>
      </c>
    </row>
    <row r="45" spans="1:8" x14ac:dyDescent="0.25">
      <c r="G45" s="33" t="s">
        <v>12</v>
      </c>
      <c r="H45" s="40">
        <f>+H43-H44</f>
        <v>25000</v>
      </c>
    </row>
    <row r="46" spans="1:8" x14ac:dyDescent="0.25">
      <c r="G46" s="33" t="s">
        <v>13</v>
      </c>
      <c r="H46" s="55">
        <f>+H42/H45</f>
        <v>0.44800000000000001</v>
      </c>
    </row>
    <row r="47" spans="1:8" x14ac:dyDescent="0.25">
      <c r="G47" s="33" t="s">
        <v>14</v>
      </c>
      <c r="H47" s="56">
        <f>+H45-H42</f>
        <v>13800</v>
      </c>
    </row>
    <row r="48" spans="1:8" x14ac:dyDescent="0.25">
      <c r="G48" s="33" t="s">
        <v>15</v>
      </c>
      <c r="H48" s="57">
        <f>+H47/H42</f>
        <v>1.2321428571428572</v>
      </c>
    </row>
    <row r="50" spans="1:8" ht="15.6" x14ac:dyDescent="0.3">
      <c r="A50" s="50" t="s">
        <v>799</v>
      </c>
      <c r="B50" s="32"/>
      <c r="C50" s="32"/>
      <c r="D50" s="51"/>
      <c r="E50" s="51"/>
      <c r="F50" s="31"/>
      <c r="G50" s="293" t="s">
        <v>0</v>
      </c>
      <c r="H50" s="293"/>
    </row>
    <row r="51" spans="1:8" ht="15.6" x14ac:dyDescent="0.25">
      <c r="A51" s="41" t="s">
        <v>1</v>
      </c>
      <c r="B51" s="42" t="s">
        <v>2</v>
      </c>
      <c r="C51" s="42" t="s">
        <v>3</v>
      </c>
      <c r="D51" s="52" t="s">
        <v>4</v>
      </c>
      <c r="E51" s="52" t="s">
        <v>5</v>
      </c>
      <c r="F51" s="31"/>
      <c r="G51" s="33" t="s">
        <v>6</v>
      </c>
      <c r="H51" s="34">
        <f>SUM(Tabla1103453454455456479108130137157194203212218234235238315195[Total costo])</f>
        <v>2183</v>
      </c>
    </row>
    <row r="52" spans="1:8" x14ac:dyDescent="0.25">
      <c r="A52" s="35" t="s">
        <v>43</v>
      </c>
      <c r="B52" s="36" t="s">
        <v>61</v>
      </c>
      <c r="C52" s="37">
        <v>1</v>
      </c>
      <c r="D52" s="38">
        <f>+VLOOKUP(Tabla1103453454455456479108130137157194203212218234235238315195[[#This Row],[Ingrediente]],Tabla34[#All],3,0)</f>
        <v>2183</v>
      </c>
      <c r="E52" s="39">
        <f>+Tabla1103453454455456479108130137157194203212218234235238315195[[#This Row],[Costo]]*Tabla1103453454455456479108130137157194203212218234235238315195[[#This Row],[Cant.]]</f>
        <v>2183</v>
      </c>
      <c r="F52" s="31"/>
      <c r="G52" s="33" t="s">
        <v>113</v>
      </c>
      <c r="H52" s="40"/>
    </row>
    <row r="53" spans="1:8" ht="15.6" x14ac:dyDescent="0.25">
      <c r="A53" s="41"/>
      <c r="B53" s="42"/>
      <c r="C53" s="42"/>
      <c r="D53" s="43"/>
      <c r="E53" s="43">
        <f>SUBTOTAL(109,Tabla1103453454455456479108130137157194203212218234235238315195[Total costo])</f>
        <v>2183</v>
      </c>
      <c r="F53" s="31"/>
      <c r="G53" s="33" t="s">
        <v>9</v>
      </c>
      <c r="H53" s="40">
        <f>+H51+H52</f>
        <v>2183</v>
      </c>
    </row>
    <row r="54" spans="1:8" x14ac:dyDescent="0.25">
      <c r="G54" s="53" t="s">
        <v>10</v>
      </c>
      <c r="H54" s="54">
        <v>10000</v>
      </c>
    </row>
    <row r="55" spans="1:8" x14ac:dyDescent="0.25">
      <c r="G55" s="33" t="s">
        <v>11</v>
      </c>
      <c r="H55" s="40">
        <f>+H54/1.08*0.08</f>
        <v>740.74074074074076</v>
      </c>
    </row>
    <row r="56" spans="1:8" x14ac:dyDescent="0.25">
      <c r="G56" s="33" t="s">
        <v>12</v>
      </c>
      <c r="H56" s="40">
        <f>+H54-H55</f>
        <v>9259.2592592592591</v>
      </c>
    </row>
    <row r="57" spans="1:8" x14ac:dyDescent="0.25">
      <c r="G57" s="33" t="s">
        <v>13</v>
      </c>
      <c r="H57" s="55">
        <f>+H53/H56</f>
        <v>0.235764</v>
      </c>
    </row>
    <row r="58" spans="1:8" x14ac:dyDescent="0.25">
      <c r="G58" s="33" t="s">
        <v>14</v>
      </c>
      <c r="H58" s="56">
        <f>+H56-H53</f>
        <v>7076.2592592592591</v>
      </c>
    </row>
    <row r="59" spans="1:8" x14ac:dyDescent="0.25">
      <c r="G59" s="33" t="s">
        <v>15</v>
      </c>
      <c r="H59" s="57">
        <f>+H58/H53</f>
        <v>3.2415296652584789</v>
      </c>
    </row>
    <row r="62" spans="1:8" ht="15.6" x14ac:dyDescent="0.3">
      <c r="A62" s="197" t="s">
        <v>801</v>
      </c>
      <c r="B62" s="32"/>
      <c r="C62" s="32"/>
      <c r="D62" s="51"/>
      <c r="E62" s="51"/>
      <c r="F62" s="31"/>
      <c r="G62" s="293" t="s">
        <v>0</v>
      </c>
      <c r="H62" s="293"/>
    </row>
    <row r="63" spans="1:8" ht="15.6" x14ac:dyDescent="0.25">
      <c r="A63" s="41" t="s">
        <v>1</v>
      </c>
      <c r="B63" s="42" t="s">
        <v>2</v>
      </c>
      <c r="C63" s="42" t="s">
        <v>3</v>
      </c>
      <c r="D63" s="52" t="s">
        <v>4</v>
      </c>
      <c r="E63" s="52" t="s">
        <v>5</v>
      </c>
      <c r="F63" s="31"/>
      <c r="G63" s="33" t="s">
        <v>6</v>
      </c>
      <c r="H63" s="34">
        <f>SUM(Tabla1103453454455456479108130137157194203212218234235238315202[Total costo])</f>
        <v>2335.0666666699999</v>
      </c>
    </row>
    <row r="64" spans="1:8" x14ac:dyDescent="0.25">
      <c r="A64" s="61" t="s">
        <v>468</v>
      </c>
      <c r="B64" s="36" t="s">
        <v>61</v>
      </c>
      <c r="C64" s="37">
        <v>1</v>
      </c>
      <c r="D64" s="38">
        <f>+VLOOKUP(Tabla1103453454455456479108130137157194203212218234235238315202[[#This Row],[Ingrediente]],Tabla34[#All],3,0)</f>
        <v>2335.0666666699999</v>
      </c>
      <c r="E64" s="39">
        <f>+Tabla1103453454455456479108130137157194203212218234235238315202[[#This Row],[Costo]]*Tabla1103453454455456479108130137157194203212218234235238315202[[#This Row],[Cant.]]</f>
        <v>2335.0666666699999</v>
      </c>
      <c r="F64" s="31"/>
      <c r="G64" s="33" t="s">
        <v>113</v>
      </c>
      <c r="H64" s="40"/>
    </row>
    <row r="65" spans="1:8" ht="15.6" x14ac:dyDescent="0.25">
      <c r="A65" s="41"/>
      <c r="B65" s="42"/>
      <c r="C65" s="42"/>
      <c r="D65" s="43"/>
      <c r="E65" s="43">
        <f>SUBTOTAL(109,Tabla1103453454455456479108130137157194203212218234235238315202[Total costo])</f>
        <v>2335.0666666699999</v>
      </c>
      <c r="F65" s="31"/>
      <c r="G65" s="33" t="s">
        <v>9</v>
      </c>
      <c r="H65" s="40">
        <f>+H63+H64</f>
        <v>2335.0666666699999</v>
      </c>
    </row>
    <row r="66" spans="1:8" x14ac:dyDescent="0.25">
      <c r="G66" s="53" t="s">
        <v>10</v>
      </c>
      <c r="H66" s="54">
        <v>10000</v>
      </c>
    </row>
    <row r="67" spans="1:8" x14ac:dyDescent="0.25">
      <c r="G67" s="33" t="s">
        <v>11</v>
      </c>
      <c r="H67" s="40">
        <f>+H66/1.08*0.08</f>
        <v>740.74074074074076</v>
      </c>
    </row>
    <row r="68" spans="1:8" x14ac:dyDescent="0.25">
      <c r="G68" s="33" t="s">
        <v>12</v>
      </c>
      <c r="H68" s="40">
        <f>+H66-H67</f>
        <v>9259.2592592592591</v>
      </c>
    </row>
    <row r="69" spans="1:8" x14ac:dyDescent="0.25">
      <c r="G69" s="33" t="s">
        <v>13</v>
      </c>
      <c r="H69" s="55">
        <f>+H65/H68</f>
        <v>0.25218720000035999</v>
      </c>
    </row>
    <row r="70" spans="1:8" x14ac:dyDescent="0.25">
      <c r="G70" s="33" t="s">
        <v>14</v>
      </c>
      <c r="H70" s="56">
        <f>+H68-H65</f>
        <v>6924.1925925892592</v>
      </c>
    </row>
    <row r="71" spans="1:8" x14ac:dyDescent="0.25">
      <c r="G71" s="33" t="s">
        <v>15</v>
      </c>
      <c r="H71" s="57">
        <f>+H70/H65</f>
        <v>2.9653083106461096</v>
      </c>
    </row>
    <row r="73" spans="1:8" ht="15.6" x14ac:dyDescent="0.3">
      <c r="A73" s="50" t="s">
        <v>260</v>
      </c>
      <c r="B73" s="32"/>
      <c r="C73" s="32"/>
      <c r="D73" s="51"/>
      <c r="E73" s="51"/>
      <c r="F73" s="31"/>
      <c r="G73" s="293" t="s">
        <v>0</v>
      </c>
      <c r="H73" s="293"/>
    </row>
    <row r="74" spans="1:8" ht="15.6" x14ac:dyDescent="0.25">
      <c r="A74" s="41" t="s">
        <v>1</v>
      </c>
      <c r="B74" s="42" t="s">
        <v>2</v>
      </c>
      <c r="C74" s="42" t="s">
        <v>3</v>
      </c>
      <c r="D74" s="52" t="s">
        <v>4</v>
      </c>
      <c r="E74" s="52" t="s">
        <v>5</v>
      </c>
      <c r="F74" s="31"/>
      <c r="G74" s="33" t="s">
        <v>6</v>
      </c>
      <c r="H74" s="34">
        <f>SUM(Tabla1103453454455456479108130137157194203212218234235238315203[Total costo])</f>
        <v>0</v>
      </c>
    </row>
    <row r="75" spans="1:8" x14ac:dyDescent="0.25">
      <c r="A75" s="61" t="s">
        <v>467</v>
      </c>
      <c r="B75" s="36" t="s">
        <v>61</v>
      </c>
      <c r="C75" s="37">
        <v>1</v>
      </c>
      <c r="D75" s="38">
        <f>+VLOOKUP(Tabla1103453454455456479108130137157194203212218234235238315203[[#This Row],[Ingrediente]],Tabla34[#All],3,0)</f>
        <v>0</v>
      </c>
      <c r="E75" s="39">
        <f>+Tabla1103453454455456479108130137157194203212218234235238315203[[#This Row],[Costo]]*Tabla1103453454455456479108130137157194203212218234235238315203[[#This Row],[Cant.]]</f>
        <v>0</v>
      </c>
      <c r="F75" s="31"/>
      <c r="G75" s="33" t="s">
        <v>113</v>
      </c>
      <c r="H75" s="40"/>
    </row>
    <row r="76" spans="1:8" ht="15.6" x14ac:dyDescent="0.25">
      <c r="A76" s="41"/>
      <c r="B76" s="42"/>
      <c r="C76" s="42"/>
      <c r="D76" s="43"/>
      <c r="E76" s="43">
        <f>SUBTOTAL(109,Tabla1103453454455456479108130137157194203212218234235238315203[Total costo])</f>
        <v>0</v>
      </c>
      <c r="F76" s="31"/>
      <c r="G76" s="33" t="s">
        <v>9</v>
      </c>
      <c r="H76" s="40">
        <f>+H74+H75</f>
        <v>0</v>
      </c>
    </row>
    <row r="77" spans="1:8" x14ac:dyDescent="0.25">
      <c r="G77" s="53" t="s">
        <v>10</v>
      </c>
      <c r="H77" s="54">
        <v>12000</v>
      </c>
    </row>
    <row r="78" spans="1:8" x14ac:dyDescent="0.25">
      <c r="G78" s="33" t="s">
        <v>11</v>
      </c>
      <c r="H78" s="40">
        <f>+H77/1.08*0.08</f>
        <v>888.8888888888888</v>
      </c>
    </row>
    <row r="79" spans="1:8" x14ac:dyDescent="0.25">
      <c r="G79" s="33" t="s">
        <v>12</v>
      </c>
      <c r="H79" s="40">
        <f>+H77-H78</f>
        <v>11111.111111111111</v>
      </c>
    </row>
    <row r="80" spans="1:8" x14ac:dyDescent="0.25">
      <c r="G80" s="33" t="s">
        <v>13</v>
      </c>
      <c r="H80" s="55">
        <f>+H76/H79</f>
        <v>0</v>
      </c>
    </row>
    <row r="81" spans="1:8" x14ac:dyDescent="0.25">
      <c r="G81" s="33" t="s">
        <v>14</v>
      </c>
      <c r="H81" s="56">
        <f>+H79-H76</f>
        <v>11111.111111111111</v>
      </c>
    </row>
    <row r="82" spans="1:8" x14ac:dyDescent="0.25">
      <c r="G82" s="33" t="s">
        <v>15</v>
      </c>
      <c r="H82" s="57" t="e">
        <f>+H81/H76</f>
        <v>#DIV/0!</v>
      </c>
    </row>
    <row r="85" spans="1:8" ht="15.6" x14ac:dyDescent="0.3">
      <c r="A85" s="50" t="s">
        <v>831</v>
      </c>
      <c r="B85" s="32"/>
      <c r="C85" s="32"/>
      <c r="D85" s="51"/>
      <c r="E85" s="51"/>
      <c r="F85" s="31"/>
      <c r="G85" s="293" t="s">
        <v>0</v>
      </c>
      <c r="H85" s="293"/>
    </row>
    <row r="86" spans="1:8" ht="15.6" x14ac:dyDescent="0.25">
      <c r="A86" s="41" t="s">
        <v>1</v>
      </c>
      <c r="B86" s="42" t="s">
        <v>2</v>
      </c>
      <c r="C86" s="42" t="s">
        <v>3</v>
      </c>
      <c r="D86" s="52" t="s">
        <v>4</v>
      </c>
      <c r="E86" s="52" t="s">
        <v>5</v>
      </c>
      <c r="F86" s="31"/>
      <c r="G86" s="33" t="s">
        <v>6</v>
      </c>
      <c r="H86" s="34">
        <f>SUM(Tabla1103453454455456479108130137157194203212218234235238315203205[Total costo])</f>
        <v>3121.375</v>
      </c>
    </row>
    <row r="87" spans="1:8" x14ac:dyDescent="0.25">
      <c r="A87" s="65" t="s">
        <v>431</v>
      </c>
      <c r="B87" s="36" t="s">
        <v>61</v>
      </c>
      <c r="C87" s="37">
        <v>1</v>
      </c>
      <c r="D87" s="38">
        <f>+VLOOKUP(Tabla1103453454455456479108130137157194203212218234235238315203205[[#This Row],[Ingrediente]],Tabla34[#All],3,0)</f>
        <v>3121.375</v>
      </c>
      <c r="E87" s="39">
        <f>+Tabla1103453454455456479108130137157194203212218234235238315203205[[#This Row],[Costo]]*Tabla1103453454455456479108130137157194203212218234235238315203205[[#This Row],[Cant.]]</f>
        <v>3121.375</v>
      </c>
      <c r="F87" s="31"/>
      <c r="G87" s="33" t="s">
        <v>113</v>
      </c>
      <c r="H87" s="40"/>
    </row>
    <row r="88" spans="1:8" ht="15.6" x14ac:dyDescent="0.25">
      <c r="A88" s="41"/>
      <c r="B88" s="42"/>
      <c r="C88" s="42"/>
      <c r="D88" s="43"/>
      <c r="E88" s="43">
        <f>SUBTOTAL(109,Tabla1103453454455456479108130137157194203212218234235238315203205[Total costo])</f>
        <v>3121.375</v>
      </c>
      <c r="F88" s="31"/>
      <c r="G88" s="33" t="s">
        <v>9</v>
      </c>
      <c r="H88" s="40">
        <f>+H86+H87</f>
        <v>3121.375</v>
      </c>
    </row>
    <row r="89" spans="1:8" x14ac:dyDescent="0.25">
      <c r="G89" s="53" t="s">
        <v>10</v>
      </c>
      <c r="H89" s="54">
        <v>12000</v>
      </c>
    </row>
    <row r="90" spans="1:8" x14ac:dyDescent="0.25">
      <c r="G90" s="33" t="s">
        <v>11</v>
      </c>
      <c r="H90" s="40">
        <f>+H89/1.08*0.08</f>
        <v>888.8888888888888</v>
      </c>
    </row>
    <row r="91" spans="1:8" x14ac:dyDescent="0.25">
      <c r="G91" s="33" t="s">
        <v>12</v>
      </c>
      <c r="H91" s="40">
        <f>+H89-H90</f>
        <v>11111.111111111111</v>
      </c>
    </row>
    <row r="92" spans="1:8" x14ac:dyDescent="0.25">
      <c r="G92" s="33" t="s">
        <v>13</v>
      </c>
      <c r="H92" s="55">
        <f>+H88/H91</f>
        <v>0.28092374999999997</v>
      </c>
    </row>
    <row r="93" spans="1:8" x14ac:dyDescent="0.25">
      <c r="G93" s="33" t="s">
        <v>14</v>
      </c>
      <c r="H93" s="56">
        <f>+H91-H88</f>
        <v>7989.7361111111113</v>
      </c>
    </row>
    <row r="94" spans="1:8" x14ac:dyDescent="0.25">
      <c r="G94" s="33" t="s">
        <v>15</v>
      </c>
      <c r="H94" s="57">
        <f>+H93/H88</f>
        <v>2.5596847899118536</v>
      </c>
    </row>
    <row r="99" spans="1:8" ht="15.6" x14ac:dyDescent="0.3">
      <c r="A99" s="50" t="s">
        <v>1299</v>
      </c>
      <c r="B99" s="32"/>
      <c r="C99" s="32"/>
      <c r="D99" s="51"/>
      <c r="E99" s="51"/>
      <c r="F99" s="31"/>
      <c r="G99" s="293" t="s">
        <v>0</v>
      </c>
      <c r="H99" s="293"/>
    </row>
    <row r="100" spans="1:8" ht="15.6" x14ac:dyDescent="0.25">
      <c r="A100" s="41" t="s">
        <v>1</v>
      </c>
      <c r="B100" s="42" t="s">
        <v>2</v>
      </c>
      <c r="C100" s="42" t="s">
        <v>3</v>
      </c>
      <c r="D100" s="52" t="s">
        <v>4</v>
      </c>
      <c r="E100" s="52" t="s">
        <v>5</v>
      </c>
      <c r="F100" s="31"/>
      <c r="G100" s="33" t="s">
        <v>6</v>
      </c>
      <c r="H100" s="34">
        <f>SUM(Tabla1103453454455456479108130137157194203212218234235238315203205155[Total costo])</f>
        <v>3261.8333333300002</v>
      </c>
    </row>
    <row r="101" spans="1:8" x14ac:dyDescent="0.25">
      <c r="A101" s="65" t="s">
        <v>1060</v>
      </c>
      <c r="B101" s="36" t="s">
        <v>61</v>
      </c>
      <c r="C101" s="37">
        <v>1</v>
      </c>
      <c r="D101" s="38">
        <f>+VLOOKUP(Tabla1103453454455456479108130137157194203212218234235238315203205155[[#This Row],[Ingrediente]],Tabla34[#All],3,0)</f>
        <v>3261.8333333300002</v>
      </c>
      <c r="E101" s="39">
        <f>+Tabla1103453454455456479108130137157194203212218234235238315203205155[[#This Row],[Costo]]*Tabla1103453454455456479108130137157194203212218234235238315203205155[[#This Row],[Cant.]]</f>
        <v>3261.8333333300002</v>
      </c>
      <c r="F101" s="31"/>
      <c r="G101" s="33" t="s">
        <v>113</v>
      </c>
      <c r="H101" s="40"/>
    </row>
    <row r="102" spans="1:8" ht="15.6" x14ac:dyDescent="0.25">
      <c r="A102" s="41"/>
      <c r="B102" s="42"/>
      <c r="C102" s="42"/>
      <c r="D102" s="43"/>
      <c r="E102" s="43">
        <f>SUBTOTAL(109,Tabla1103453454455456479108130137157194203212218234235238315203205155[Total costo])</f>
        <v>3261.8333333300002</v>
      </c>
      <c r="F102" s="31"/>
      <c r="G102" s="33" t="s">
        <v>9</v>
      </c>
      <c r="H102" s="40">
        <f>+H100+H101</f>
        <v>3261.8333333300002</v>
      </c>
    </row>
    <row r="103" spans="1:8" x14ac:dyDescent="0.25">
      <c r="G103" s="53" t="s">
        <v>10</v>
      </c>
      <c r="H103" s="54">
        <v>10000</v>
      </c>
    </row>
    <row r="104" spans="1:8" x14ac:dyDescent="0.25">
      <c r="G104" s="33" t="s">
        <v>11</v>
      </c>
      <c r="H104" s="40">
        <f>+H103/1.08*0.08</f>
        <v>740.74074074074076</v>
      </c>
    </row>
    <row r="105" spans="1:8" x14ac:dyDescent="0.25">
      <c r="G105" s="33" t="s">
        <v>12</v>
      </c>
      <c r="H105" s="40">
        <f>+H103-H104</f>
        <v>9259.2592592592591</v>
      </c>
    </row>
    <row r="106" spans="1:8" x14ac:dyDescent="0.25">
      <c r="G106" s="33" t="s">
        <v>13</v>
      </c>
      <c r="H106" s="55">
        <f>+H102/H105</f>
        <v>0.35227799999964005</v>
      </c>
    </row>
    <row r="107" spans="1:8" x14ac:dyDescent="0.25">
      <c r="G107" s="33" t="s">
        <v>14</v>
      </c>
      <c r="H107" s="56">
        <f>+H105-H102</f>
        <v>5997.4259259292594</v>
      </c>
    </row>
    <row r="108" spans="1:8" x14ac:dyDescent="0.25">
      <c r="G108" s="33" t="s">
        <v>15</v>
      </c>
      <c r="H108" s="57">
        <f>+H107/H102</f>
        <v>1.8386671889843302</v>
      </c>
    </row>
  </sheetData>
  <mergeCells count="9">
    <mergeCell ref="G99:H99"/>
    <mergeCell ref="G62:H62"/>
    <mergeCell ref="G73:H73"/>
    <mergeCell ref="G85:H85"/>
    <mergeCell ref="G3:H3"/>
    <mergeCell ref="G16:H16"/>
    <mergeCell ref="G27:H27"/>
    <mergeCell ref="G39:H39"/>
    <mergeCell ref="G50:H50"/>
  </mergeCells>
  <conditionalFormatting sqref="H10">
    <cfRule type="cellIs" dxfId="121" priority="21" operator="lessThan">
      <formula>0.3</formula>
    </cfRule>
    <cfRule type="cellIs" dxfId="120" priority="22" operator="greaterThan">
      <formula>0.3</formula>
    </cfRule>
  </conditionalFormatting>
  <conditionalFormatting sqref="H23">
    <cfRule type="cellIs" dxfId="119" priority="19" operator="lessThan">
      <formula>0.3</formula>
    </cfRule>
    <cfRule type="cellIs" dxfId="118" priority="20" operator="greaterThan">
      <formula>0.3</formula>
    </cfRule>
  </conditionalFormatting>
  <conditionalFormatting sqref="H34">
    <cfRule type="cellIs" dxfId="117" priority="17" operator="lessThan">
      <formula>0.3</formula>
    </cfRule>
    <cfRule type="cellIs" dxfId="116" priority="18" operator="greaterThan">
      <formula>0.3</formula>
    </cfRule>
  </conditionalFormatting>
  <conditionalFormatting sqref="H46">
    <cfRule type="cellIs" dxfId="115" priority="15" operator="lessThan">
      <formula>0.3</formula>
    </cfRule>
    <cfRule type="cellIs" dxfId="114" priority="16" operator="greaterThan">
      <formula>0.3</formula>
    </cfRule>
  </conditionalFormatting>
  <conditionalFormatting sqref="H57">
    <cfRule type="cellIs" dxfId="113" priority="13" operator="lessThan">
      <formula>0.3</formula>
    </cfRule>
    <cfRule type="cellIs" dxfId="112" priority="14" operator="greaterThan">
      <formula>0.3</formula>
    </cfRule>
  </conditionalFormatting>
  <conditionalFormatting sqref="H69">
    <cfRule type="cellIs" dxfId="111" priority="11" operator="lessThan">
      <formula>0.3</formula>
    </cfRule>
    <cfRule type="cellIs" dxfId="110" priority="12" operator="greaterThan">
      <formula>0.3</formula>
    </cfRule>
  </conditionalFormatting>
  <conditionalFormatting sqref="H80">
    <cfRule type="cellIs" dxfId="109" priority="9" operator="lessThan">
      <formula>0.3</formula>
    </cfRule>
    <cfRule type="cellIs" dxfId="108" priority="10" operator="greaterThan">
      <formula>0.3</formula>
    </cfRule>
  </conditionalFormatting>
  <conditionalFormatting sqref="H92">
    <cfRule type="cellIs" dxfId="107" priority="7" operator="lessThan">
      <formula>0.3</formula>
    </cfRule>
    <cfRule type="cellIs" dxfId="106" priority="8" operator="greaterThan">
      <formula>0.3</formula>
    </cfRule>
  </conditionalFormatting>
  <conditionalFormatting sqref="H106">
    <cfRule type="cellIs" dxfId="105" priority="1" operator="lessThan">
      <formula>0.3</formula>
    </cfRule>
    <cfRule type="cellIs" dxfId="104" priority="2" operator="greaterThan">
      <formula>0.3</formula>
    </cfRule>
  </conditionalFormatting>
  <pageMargins left="0.7" right="0.7" top="0.75" bottom="0.75" header="0.3" footer="0.3"/>
  <pageSetup orientation="portrait" horizontalDpi="360" verticalDpi="360"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A89B1-637E-4F83-8394-8D05942D230F}">
  <dimension ref="A6:H112"/>
  <sheetViews>
    <sheetView showGridLines="0" workbookViewId="0">
      <selection activeCell="H71" sqref="H71"/>
    </sheetView>
  </sheetViews>
  <sheetFormatPr baseColWidth="10" defaultRowHeight="14.4" x14ac:dyDescent="0.3"/>
  <cols>
    <col min="1" max="1" width="39.33203125" bestFit="1" customWidth="1"/>
    <col min="2" max="2" width="9" bestFit="1" customWidth="1"/>
    <col min="6" max="6" width="4" customWidth="1"/>
    <col min="7" max="7" width="26.5546875" bestFit="1" customWidth="1"/>
  </cols>
  <sheetData>
    <row r="6" spans="1:8" x14ac:dyDescent="0.3">
      <c r="A6" s="1" t="s">
        <v>329</v>
      </c>
      <c r="B6" s="2"/>
      <c r="C6" s="2"/>
      <c r="D6" s="3"/>
      <c r="E6" s="3"/>
      <c r="F6" s="4"/>
      <c r="G6" s="277" t="s">
        <v>0</v>
      </c>
      <c r="H6" s="277"/>
    </row>
    <row r="7" spans="1:8" x14ac:dyDescent="0.3">
      <c r="A7" s="13" t="s">
        <v>1</v>
      </c>
      <c r="B7" s="14" t="s">
        <v>2</v>
      </c>
      <c r="C7" s="14" t="s">
        <v>3</v>
      </c>
      <c r="D7" s="28" t="s">
        <v>4</v>
      </c>
      <c r="E7" s="28" t="s">
        <v>5</v>
      </c>
      <c r="F7" s="4"/>
      <c r="G7" s="5" t="s">
        <v>6</v>
      </c>
      <c r="H7" s="6">
        <f>SUM(Tabla1103453454455456479108135149219379380381394[Total costo])</f>
        <v>48500</v>
      </c>
    </row>
    <row r="8" spans="1:8" x14ac:dyDescent="0.3">
      <c r="A8" s="7" t="s">
        <v>678</v>
      </c>
      <c r="B8" s="8" t="s">
        <v>570</v>
      </c>
      <c r="C8" s="9">
        <v>5</v>
      </c>
      <c r="D8" s="10">
        <f>+VLOOKUP(Tabla1103453454455456479108135149219379380381394[[#This Row],[Ingrediente]],Tabla34[#All],3,0)</f>
        <v>9700</v>
      </c>
      <c r="E8" s="11">
        <f>+Tabla1103453454455456479108135149219379380381394[[#This Row],[Costo]]*Tabla1103453454455456479108135149219379380381394[[#This Row],[Cant.]]</f>
        <v>48500</v>
      </c>
      <c r="F8" s="4"/>
      <c r="G8" s="5" t="s">
        <v>113</v>
      </c>
      <c r="H8" s="12"/>
    </row>
    <row r="9" spans="1:8" x14ac:dyDescent="0.3">
      <c r="A9" s="13"/>
      <c r="B9" s="14"/>
      <c r="C9" s="14"/>
      <c r="D9" s="15"/>
      <c r="E9" s="15">
        <f>SUBTOTAL(109,Tabla1103453454455456479108135149219379380381394[Total costo])</f>
        <v>48500</v>
      </c>
      <c r="F9" s="4"/>
      <c r="G9" s="5" t="s">
        <v>9</v>
      </c>
      <c r="H9" s="12">
        <f>+H7+H8</f>
        <v>48500</v>
      </c>
    </row>
    <row r="10" spans="1:8" x14ac:dyDescent="0.3">
      <c r="F10" s="4"/>
      <c r="G10" s="17" t="s">
        <v>10</v>
      </c>
      <c r="H10" s="18">
        <v>135000</v>
      </c>
    </row>
    <row r="11" spans="1:8" x14ac:dyDescent="0.3">
      <c r="F11" s="4"/>
      <c r="G11" s="5" t="s">
        <v>11</v>
      </c>
      <c r="H11" s="12">
        <f>+H10/1.08*0.08</f>
        <v>9999.9999999999982</v>
      </c>
    </row>
    <row r="12" spans="1:8" x14ac:dyDescent="0.3">
      <c r="F12" s="4"/>
      <c r="G12" s="5" t="s">
        <v>12</v>
      </c>
      <c r="H12" s="12">
        <f>+H10-H11</f>
        <v>125000</v>
      </c>
    </row>
    <row r="13" spans="1:8" x14ac:dyDescent="0.3">
      <c r="F13" s="4"/>
      <c r="G13" s="5" t="s">
        <v>13</v>
      </c>
      <c r="H13" s="19">
        <f>+H9/H12</f>
        <v>0.38800000000000001</v>
      </c>
    </row>
    <row r="14" spans="1:8" x14ac:dyDescent="0.3">
      <c r="F14" s="4"/>
      <c r="G14" s="5" t="s">
        <v>14</v>
      </c>
      <c r="H14" s="20">
        <f>+H12-H9</f>
        <v>76500</v>
      </c>
    </row>
    <row r="15" spans="1:8" x14ac:dyDescent="0.3">
      <c r="F15" s="4"/>
      <c r="G15" s="5" t="s">
        <v>15</v>
      </c>
      <c r="H15" s="22">
        <f>+H14/H9</f>
        <v>1.5773195876288659</v>
      </c>
    </row>
    <row r="18" spans="1:8" x14ac:dyDescent="0.3">
      <c r="A18" s="1" t="s">
        <v>330</v>
      </c>
      <c r="B18" s="2"/>
      <c r="C18" s="2"/>
      <c r="D18" s="3"/>
      <c r="E18" s="3"/>
      <c r="F18" s="4"/>
      <c r="G18" s="277" t="s">
        <v>0</v>
      </c>
      <c r="H18" s="277"/>
    </row>
    <row r="19" spans="1:8" x14ac:dyDescent="0.3">
      <c r="A19" s="13" t="s">
        <v>1</v>
      </c>
      <c r="B19" s="14" t="s">
        <v>2</v>
      </c>
      <c r="C19" s="14" t="s">
        <v>3</v>
      </c>
      <c r="D19" s="28" t="s">
        <v>4</v>
      </c>
      <c r="E19" s="28" t="s">
        <v>5</v>
      </c>
      <c r="F19" s="4"/>
      <c r="G19" s="5" t="s">
        <v>6</v>
      </c>
      <c r="H19" s="6">
        <f>SUM(Tabla1103453454455456479108135149219379380381394403[Total costo])</f>
        <v>45680.666666666664</v>
      </c>
    </row>
    <row r="20" spans="1:8" x14ac:dyDescent="0.3">
      <c r="A20" s="7" t="s">
        <v>677</v>
      </c>
      <c r="B20" s="8" t="s">
        <v>570</v>
      </c>
      <c r="C20" s="9">
        <v>5</v>
      </c>
      <c r="D20" s="10">
        <f>+VLOOKUP(Tabla1103453454455456479108135149219379380381394403[[#This Row],[Ingrediente]],Tabla34[#All],3,0)</f>
        <v>9136.1333333333332</v>
      </c>
      <c r="E20" s="11">
        <f>+Tabla1103453454455456479108135149219379380381394403[[#This Row],[Costo]]*Tabla1103453454455456479108135149219379380381394403[[#This Row],[Cant.]]</f>
        <v>45680.666666666664</v>
      </c>
      <c r="F20" s="4"/>
      <c r="G20" s="5" t="s">
        <v>113</v>
      </c>
      <c r="H20" s="12"/>
    </row>
    <row r="21" spans="1:8" x14ac:dyDescent="0.3">
      <c r="A21" s="13"/>
      <c r="B21" s="14"/>
      <c r="C21" s="14"/>
      <c r="D21" s="15"/>
      <c r="E21" s="15">
        <f>SUBTOTAL(109,Tabla1103453454455456479108135149219379380381394403[Total costo])</f>
        <v>45680.666666666664</v>
      </c>
      <c r="F21" s="4"/>
      <c r="G21" s="5" t="s">
        <v>9</v>
      </c>
      <c r="H21" s="12">
        <f>+H19+H20</f>
        <v>45680.666666666664</v>
      </c>
    </row>
    <row r="22" spans="1:8" x14ac:dyDescent="0.3">
      <c r="F22" s="4"/>
      <c r="G22" s="17" t="s">
        <v>10</v>
      </c>
      <c r="H22" s="18">
        <v>165900</v>
      </c>
    </row>
    <row r="23" spans="1:8" x14ac:dyDescent="0.3">
      <c r="F23" s="4"/>
      <c r="G23" s="5" t="s">
        <v>11</v>
      </c>
      <c r="H23" s="12">
        <f>+H22/1.08*0.08</f>
        <v>12288.888888888889</v>
      </c>
    </row>
    <row r="24" spans="1:8" x14ac:dyDescent="0.3">
      <c r="F24" s="4"/>
      <c r="G24" s="5" t="s">
        <v>12</v>
      </c>
      <c r="H24" s="12">
        <f>+H22-H23</f>
        <v>153611.11111111112</v>
      </c>
    </row>
    <row r="25" spans="1:8" x14ac:dyDescent="0.3">
      <c r="F25" s="4"/>
      <c r="G25" s="5" t="s">
        <v>13</v>
      </c>
      <c r="H25" s="19">
        <f>+H21/H24</f>
        <v>0.29737866184448458</v>
      </c>
    </row>
    <row r="26" spans="1:8" x14ac:dyDescent="0.3">
      <c r="F26" s="4"/>
      <c r="G26" s="5" t="s">
        <v>14</v>
      </c>
      <c r="H26" s="20">
        <f>+H24-H21</f>
        <v>107930.44444444447</v>
      </c>
    </row>
    <row r="27" spans="1:8" x14ac:dyDescent="0.3">
      <c r="F27" s="4"/>
      <c r="G27" s="5" t="s">
        <v>15</v>
      </c>
      <c r="H27" s="22">
        <f>+H26/H21</f>
        <v>2.3627160529861899</v>
      </c>
    </row>
    <row r="29" spans="1:8" x14ac:dyDescent="0.3">
      <c r="A29" s="1" t="s">
        <v>760</v>
      </c>
      <c r="B29" s="2"/>
      <c r="C29" s="2"/>
      <c r="D29" s="3"/>
      <c r="E29" s="3"/>
      <c r="F29" s="4"/>
      <c r="G29" s="277" t="s">
        <v>0</v>
      </c>
      <c r="H29" s="277"/>
    </row>
    <row r="30" spans="1:8" x14ac:dyDescent="0.3">
      <c r="A30" s="13" t="s">
        <v>1</v>
      </c>
      <c r="B30" s="14" t="s">
        <v>2</v>
      </c>
      <c r="C30" s="14" t="s">
        <v>3</v>
      </c>
      <c r="D30" s="28" t="s">
        <v>4</v>
      </c>
      <c r="E30" s="28" t="s">
        <v>5</v>
      </c>
      <c r="F30" s="4"/>
      <c r="G30" s="5" t="s">
        <v>6</v>
      </c>
      <c r="H30" s="6">
        <f>SUM(Tabla1103453454455456479108135149219379380381394404[Total costo])</f>
        <v>63887</v>
      </c>
    </row>
    <row r="31" spans="1:8" x14ac:dyDescent="0.3">
      <c r="A31" s="7" t="s">
        <v>675</v>
      </c>
      <c r="B31" s="8" t="s">
        <v>570</v>
      </c>
      <c r="C31" s="9">
        <v>1</v>
      </c>
      <c r="D31" s="10">
        <f>+VLOOKUP(Tabla1103453454455456479108135149219379380381394404[[#This Row],[Ingrediente]],Tabla34[#All],3,0)</f>
        <v>63887</v>
      </c>
      <c r="E31" s="11">
        <f>+Tabla1103453454455456479108135149219379380381394404[[#This Row],[Costo]]*Tabla1103453454455456479108135149219379380381394404[[#This Row],[Cant.]]</f>
        <v>63887</v>
      </c>
      <c r="F31" s="4"/>
      <c r="G31" s="5" t="s">
        <v>113</v>
      </c>
      <c r="H31" s="12"/>
    </row>
    <row r="32" spans="1:8" x14ac:dyDescent="0.3">
      <c r="A32" s="13"/>
      <c r="B32" s="14"/>
      <c r="C32" s="14"/>
      <c r="D32" s="15"/>
      <c r="E32" s="15">
        <f>SUBTOTAL(109,Tabla1103453454455456479108135149219379380381394404[Total costo])</f>
        <v>63887</v>
      </c>
      <c r="F32" s="4"/>
      <c r="G32" s="5" t="s">
        <v>9</v>
      </c>
      <c r="H32" s="12">
        <f>+H30+H31</f>
        <v>63887</v>
      </c>
    </row>
    <row r="33" spans="1:8" x14ac:dyDescent="0.3">
      <c r="F33" s="4"/>
      <c r="G33" s="17" t="s">
        <v>10</v>
      </c>
      <c r="H33" s="18">
        <v>159000</v>
      </c>
    </row>
    <row r="34" spans="1:8" x14ac:dyDescent="0.3">
      <c r="F34" s="4"/>
      <c r="G34" s="5" t="s">
        <v>11</v>
      </c>
      <c r="H34" s="12">
        <f>+H33/1.08*0.08</f>
        <v>11777.777777777777</v>
      </c>
    </row>
    <row r="35" spans="1:8" x14ac:dyDescent="0.3">
      <c r="F35" s="4"/>
      <c r="G35" s="5" t="s">
        <v>12</v>
      </c>
      <c r="H35" s="12">
        <f>+H33-H34</f>
        <v>147222.22222222222</v>
      </c>
    </row>
    <row r="36" spans="1:8" x14ac:dyDescent="0.3">
      <c r="F36" s="4"/>
      <c r="G36" s="5" t="s">
        <v>13</v>
      </c>
      <c r="H36" s="19">
        <f>+H32/H35</f>
        <v>0.43394943396226415</v>
      </c>
    </row>
    <row r="37" spans="1:8" x14ac:dyDescent="0.3">
      <c r="F37" s="4"/>
      <c r="G37" s="5" t="s">
        <v>14</v>
      </c>
      <c r="H37" s="20">
        <f>+H35-H32</f>
        <v>83335.222222222219</v>
      </c>
    </row>
    <row r="38" spans="1:8" x14ac:dyDescent="0.3">
      <c r="F38" s="4"/>
      <c r="G38" s="5" t="s">
        <v>15</v>
      </c>
      <c r="H38" s="22">
        <f>+H37/H32</f>
        <v>1.3044159566456748</v>
      </c>
    </row>
    <row r="41" spans="1:8" x14ac:dyDescent="0.3">
      <c r="A41" s="16" t="s">
        <v>759</v>
      </c>
      <c r="B41" s="2"/>
      <c r="C41" s="2"/>
      <c r="D41" s="3"/>
      <c r="E41" s="3"/>
      <c r="F41" s="4"/>
      <c r="G41" s="277" t="s">
        <v>0</v>
      </c>
      <c r="H41" s="277"/>
    </row>
    <row r="42" spans="1:8" x14ac:dyDescent="0.3">
      <c r="A42" s="13" t="s">
        <v>1</v>
      </c>
      <c r="B42" s="14" t="s">
        <v>2</v>
      </c>
      <c r="C42" s="14" t="s">
        <v>3</v>
      </c>
      <c r="D42" s="28" t="s">
        <v>4</v>
      </c>
      <c r="E42" s="28" t="s">
        <v>5</v>
      </c>
      <c r="F42" s="4"/>
      <c r="G42" s="5" t="s">
        <v>6</v>
      </c>
      <c r="H42" s="6">
        <f>SUM(Tabla1103453454455456479108135149219379380381394405[Total costo])</f>
        <v>49276</v>
      </c>
    </row>
    <row r="43" spans="1:8" x14ac:dyDescent="0.3">
      <c r="A43" s="7" t="s">
        <v>460</v>
      </c>
      <c r="B43" s="8" t="s">
        <v>570</v>
      </c>
      <c r="C43" s="9">
        <v>5</v>
      </c>
      <c r="D43" s="10">
        <f>+VLOOKUP(Tabla1103453454455456479108135149219379380381394405[[#This Row],[Ingrediente]],Tabla34[#All],3,0)</f>
        <v>9855.2000000000007</v>
      </c>
      <c r="E43" s="11">
        <f>+Tabla1103453454455456479108135149219379380381394405[[#This Row],[Costo]]*Tabla1103453454455456479108135149219379380381394405[[#This Row],[Cant.]]</f>
        <v>49276</v>
      </c>
      <c r="F43" s="4"/>
      <c r="G43" s="5" t="s">
        <v>113</v>
      </c>
      <c r="H43" s="12"/>
    </row>
    <row r="44" spans="1:8" x14ac:dyDescent="0.3">
      <c r="A44" s="13"/>
      <c r="B44" s="14"/>
      <c r="C44" s="14"/>
      <c r="D44" s="15"/>
      <c r="E44" s="15">
        <f>SUBTOTAL(109,Tabla1103453454455456479108135149219379380381394405[Total costo])</f>
        <v>49276</v>
      </c>
      <c r="F44" s="4"/>
      <c r="G44" s="5" t="s">
        <v>9</v>
      </c>
      <c r="H44" s="12">
        <f>+H42+H43</f>
        <v>49276</v>
      </c>
    </row>
    <row r="45" spans="1:8" x14ac:dyDescent="0.3">
      <c r="F45" s="4"/>
      <c r="G45" s="17" t="s">
        <v>10</v>
      </c>
      <c r="H45" s="18">
        <v>135000</v>
      </c>
    </row>
    <row r="46" spans="1:8" x14ac:dyDescent="0.3">
      <c r="F46" s="4"/>
      <c r="G46" s="5" t="s">
        <v>11</v>
      </c>
      <c r="H46" s="12">
        <f>+H45/1.08*0.08</f>
        <v>9999.9999999999982</v>
      </c>
    </row>
    <row r="47" spans="1:8" x14ac:dyDescent="0.3">
      <c r="F47" s="4"/>
      <c r="G47" s="5" t="s">
        <v>12</v>
      </c>
      <c r="H47" s="12">
        <f>+H45-H46</f>
        <v>125000</v>
      </c>
    </row>
    <row r="48" spans="1:8" x14ac:dyDescent="0.3">
      <c r="F48" s="4"/>
      <c r="G48" s="5" t="s">
        <v>13</v>
      </c>
      <c r="H48" s="19">
        <f>+H44/H47</f>
        <v>0.394208</v>
      </c>
    </row>
    <row r="49" spans="1:8" x14ac:dyDescent="0.3">
      <c r="F49" s="4"/>
      <c r="G49" s="5" t="s">
        <v>14</v>
      </c>
      <c r="H49" s="20">
        <f>+H47-H44</f>
        <v>75724</v>
      </c>
    </row>
    <row r="50" spans="1:8" x14ac:dyDescent="0.3">
      <c r="F50" s="4"/>
      <c r="G50" s="5" t="s">
        <v>15</v>
      </c>
      <c r="H50" s="22">
        <f>+H49/H44</f>
        <v>1.5367318775874665</v>
      </c>
    </row>
    <row r="53" spans="1:8" x14ac:dyDescent="0.3">
      <c r="A53" s="16" t="s">
        <v>761</v>
      </c>
      <c r="B53" s="2"/>
      <c r="C53" s="2"/>
      <c r="D53" s="3"/>
      <c r="E53" s="3"/>
      <c r="F53" s="4"/>
      <c r="G53" s="277" t="s">
        <v>0</v>
      </c>
      <c r="H53" s="277"/>
    </row>
    <row r="54" spans="1:8" x14ac:dyDescent="0.3">
      <c r="A54" s="13" t="s">
        <v>1</v>
      </c>
      <c r="B54" s="14" t="s">
        <v>2</v>
      </c>
      <c r="C54" s="14" t="s">
        <v>3</v>
      </c>
      <c r="D54" s="28" t="s">
        <v>4</v>
      </c>
      <c r="E54" s="28" t="s">
        <v>5</v>
      </c>
      <c r="F54" s="4"/>
      <c r="G54" s="5" t="s">
        <v>6</v>
      </c>
      <c r="H54" s="6">
        <f>SUM(Tabla1103453454455456479108135149219379380381394406[Total costo])</f>
        <v>79652</v>
      </c>
    </row>
    <row r="55" spans="1:8" x14ac:dyDescent="0.3">
      <c r="A55" s="7" t="s">
        <v>676</v>
      </c>
      <c r="B55" s="8" t="s">
        <v>570</v>
      </c>
      <c r="C55" s="9">
        <v>1</v>
      </c>
      <c r="D55" s="10">
        <f>+VLOOKUP(Tabla1103453454455456479108135149219379380381394406[[#This Row],[Ingrediente]],Tabla34[#All],3,0)</f>
        <v>79652</v>
      </c>
      <c r="E55" s="11">
        <f>+Tabla1103453454455456479108135149219379380381394406[[#This Row],[Costo]]*Tabla1103453454455456479108135149219379380381394406[[#This Row],[Cant.]]</f>
        <v>79652</v>
      </c>
      <c r="F55" s="4"/>
      <c r="G55" s="5" t="s">
        <v>113</v>
      </c>
      <c r="H55" s="12"/>
    </row>
    <row r="56" spans="1:8" x14ac:dyDescent="0.3">
      <c r="A56" s="13"/>
      <c r="B56" s="14"/>
      <c r="C56" s="14"/>
      <c r="D56" s="15"/>
      <c r="E56" s="15">
        <f>SUBTOTAL(109,Tabla1103453454455456479108135149219379380381394406[Total costo])</f>
        <v>79652</v>
      </c>
      <c r="F56" s="4"/>
      <c r="G56" s="5" t="s">
        <v>9</v>
      </c>
      <c r="H56" s="12">
        <f>+H54+H55</f>
        <v>79652</v>
      </c>
    </row>
    <row r="57" spans="1:8" x14ac:dyDescent="0.3">
      <c r="F57" s="4"/>
      <c r="G57" s="17" t="s">
        <v>10</v>
      </c>
      <c r="H57" s="18">
        <v>225000</v>
      </c>
    </row>
    <row r="58" spans="1:8" x14ac:dyDescent="0.3">
      <c r="F58" s="4"/>
      <c r="G58" s="5" t="s">
        <v>11</v>
      </c>
      <c r="H58" s="12">
        <f>+H57/1.08*0.08</f>
        <v>16666.666666666664</v>
      </c>
    </row>
    <row r="59" spans="1:8" x14ac:dyDescent="0.3">
      <c r="F59" s="4"/>
      <c r="G59" s="5" t="s">
        <v>12</v>
      </c>
      <c r="H59" s="12">
        <f>+H57-H58</f>
        <v>208333.33333333334</v>
      </c>
    </row>
    <row r="60" spans="1:8" x14ac:dyDescent="0.3">
      <c r="F60" s="4"/>
      <c r="G60" s="5" t="s">
        <v>13</v>
      </c>
      <c r="H60" s="19">
        <f>+H56/H59</f>
        <v>0.38232959999999999</v>
      </c>
    </row>
    <row r="61" spans="1:8" x14ac:dyDescent="0.3">
      <c r="F61" s="4"/>
      <c r="G61" s="5" t="s">
        <v>14</v>
      </c>
      <c r="H61" s="20">
        <f>+H59-H56</f>
        <v>128681.33333333334</v>
      </c>
    </row>
    <row r="62" spans="1:8" x14ac:dyDescent="0.3">
      <c r="F62" s="4"/>
      <c r="G62" s="5" t="s">
        <v>15</v>
      </c>
      <c r="H62" s="22">
        <f>+H61/H56</f>
        <v>1.6155442843033865</v>
      </c>
    </row>
    <row r="66" spans="1:8" x14ac:dyDescent="0.3">
      <c r="A66" s="16" t="s">
        <v>758</v>
      </c>
      <c r="B66" s="2"/>
      <c r="C66" s="2"/>
      <c r="D66" s="3"/>
      <c r="E66" s="3"/>
      <c r="F66" s="4"/>
      <c r="G66" s="277" t="s">
        <v>0</v>
      </c>
      <c r="H66" s="277"/>
    </row>
    <row r="67" spans="1:8" x14ac:dyDescent="0.3">
      <c r="A67" s="13" t="s">
        <v>1</v>
      </c>
      <c r="B67" s="14" t="s">
        <v>2</v>
      </c>
      <c r="C67" s="14" t="s">
        <v>3</v>
      </c>
      <c r="D67" s="28" t="s">
        <v>4</v>
      </c>
      <c r="E67" s="28" t="s">
        <v>5</v>
      </c>
      <c r="F67" s="4"/>
      <c r="G67" s="5" t="s">
        <v>6</v>
      </c>
      <c r="H67" s="6">
        <f>SUM(Tabla110345345445545647910813514921937938038139440666[Total costo])</f>
        <v>98175</v>
      </c>
    </row>
    <row r="68" spans="1:8" x14ac:dyDescent="0.3">
      <c r="A68" s="7" t="s">
        <v>693</v>
      </c>
      <c r="B68" s="8" t="s">
        <v>570</v>
      </c>
      <c r="C68" s="9">
        <v>1</v>
      </c>
      <c r="D68" s="10">
        <f>+VLOOKUP(Tabla110345345445545647910813514921937938038139440666[[#This Row],[Ingrediente]],Tabla34[#All],3,0)</f>
        <v>98175</v>
      </c>
      <c r="E68" s="11">
        <f>+Tabla110345345445545647910813514921937938038139440666[[#This Row],[Costo]]*Tabla110345345445545647910813514921937938038139440666[[#This Row],[Cant.]]</f>
        <v>98175</v>
      </c>
      <c r="F68" s="4"/>
      <c r="G68" s="5" t="s">
        <v>113</v>
      </c>
      <c r="H68" s="12"/>
    </row>
    <row r="69" spans="1:8" x14ac:dyDescent="0.3">
      <c r="A69" s="13"/>
      <c r="B69" s="14"/>
      <c r="C69" s="14"/>
      <c r="D69" s="15"/>
      <c r="E69" s="15">
        <f>SUBTOTAL(109,Tabla110345345445545647910813514921937938038139440666[Total costo])</f>
        <v>98175</v>
      </c>
      <c r="F69" s="4"/>
      <c r="G69" s="5" t="s">
        <v>9</v>
      </c>
      <c r="H69" s="12">
        <f>+H67+H68</f>
        <v>98175</v>
      </c>
    </row>
    <row r="70" spans="1:8" x14ac:dyDescent="0.3">
      <c r="F70" s="4"/>
      <c r="G70" s="17" t="s">
        <v>10</v>
      </c>
      <c r="H70" s="18">
        <v>257000</v>
      </c>
    </row>
    <row r="71" spans="1:8" x14ac:dyDescent="0.3">
      <c r="F71" s="4"/>
      <c r="G71" s="5" t="s">
        <v>11</v>
      </c>
      <c r="H71" s="12">
        <f>+H70/1.08*0.08</f>
        <v>19037.037037037036</v>
      </c>
    </row>
    <row r="72" spans="1:8" x14ac:dyDescent="0.3">
      <c r="F72" s="4"/>
      <c r="G72" s="5" t="s">
        <v>12</v>
      </c>
      <c r="H72" s="12">
        <f>+H70-H71</f>
        <v>237962.96296296298</v>
      </c>
    </row>
    <row r="73" spans="1:8" x14ac:dyDescent="0.3">
      <c r="F73" s="4"/>
      <c r="G73" s="5" t="s">
        <v>13</v>
      </c>
      <c r="H73" s="19">
        <f>+H69/H72</f>
        <v>0.41256420233463031</v>
      </c>
    </row>
    <row r="74" spans="1:8" x14ac:dyDescent="0.3">
      <c r="F74" s="4"/>
      <c r="G74" s="5" t="s">
        <v>14</v>
      </c>
      <c r="H74" s="20">
        <f>+H72-H69</f>
        <v>139787.96296296298</v>
      </c>
    </row>
    <row r="75" spans="1:8" x14ac:dyDescent="0.3">
      <c r="F75" s="4"/>
      <c r="G75" s="5" t="s">
        <v>15</v>
      </c>
      <c r="H75" s="22">
        <f>+H74/H69</f>
        <v>1.4238651689632082</v>
      </c>
    </row>
    <row r="77" spans="1:8" x14ac:dyDescent="0.3">
      <c r="A77" s="16" t="s">
        <v>762</v>
      </c>
      <c r="B77" s="2"/>
      <c r="C77" s="2"/>
      <c r="D77" s="3"/>
      <c r="E77" s="3"/>
      <c r="F77" s="4"/>
      <c r="G77" s="277" t="s">
        <v>0</v>
      </c>
      <c r="H77" s="277"/>
    </row>
    <row r="78" spans="1:8" x14ac:dyDescent="0.3">
      <c r="A78" s="13" t="s">
        <v>1</v>
      </c>
      <c r="B78" s="14" t="s">
        <v>2</v>
      </c>
      <c r="C78" s="14" t="s">
        <v>3</v>
      </c>
      <c r="D78" s="28" t="s">
        <v>4</v>
      </c>
      <c r="E78" s="28" t="s">
        <v>5</v>
      </c>
      <c r="F78" s="4"/>
      <c r="G78" s="5" t="s">
        <v>6</v>
      </c>
      <c r="H78" s="6">
        <f>SUM(Tabla11034534544554564791081351492193793803813944066667[Total costo])</f>
        <v>0</v>
      </c>
    </row>
    <row r="79" spans="1:8" x14ac:dyDescent="0.3">
      <c r="A79" s="7" t="s">
        <v>763</v>
      </c>
      <c r="B79" s="8" t="s">
        <v>570</v>
      </c>
      <c r="C79" s="9">
        <v>5</v>
      </c>
      <c r="D79" s="10">
        <f>+VLOOKUP(Tabla11034534544554564791081351492193793803813944066667[[#This Row],[Ingrediente]],Tabla34[#All],3,0)</f>
        <v>0</v>
      </c>
      <c r="E79" s="11">
        <f>+Tabla11034534544554564791081351492193793803813944066667[[#This Row],[Costo]]*Tabla11034534544554564791081351492193793803813944066667[[#This Row],[Cant.]]</f>
        <v>0</v>
      </c>
      <c r="F79" s="4"/>
      <c r="G79" s="5" t="s">
        <v>113</v>
      </c>
      <c r="H79" s="12"/>
    </row>
    <row r="80" spans="1:8" x14ac:dyDescent="0.3">
      <c r="A80" s="13"/>
      <c r="B80" s="14"/>
      <c r="C80" s="14"/>
      <c r="D80" s="15"/>
      <c r="E80" s="15">
        <f>SUBTOTAL(109,Tabla11034534544554564791081351492193793803813944066667[Total costo])</f>
        <v>0</v>
      </c>
      <c r="F80" s="4"/>
      <c r="G80" s="5" t="s">
        <v>9</v>
      </c>
      <c r="H80" s="12">
        <f>+H78+H79</f>
        <v>0</v>
      </c>
    </row>
    <row r="81" spans="1:8" x14ac:dyDescent="0.3">
      <c r="F81" s="4"/>
      <c r="G81" s="17" t="s">
        <v>10</v>
      </c>
      <c r="H81" s="18">
        <v>135000</v>
      </c>
    </row>
    <row r="82" spans="1:8" x14ac:dyDescent="0.3">
      <c r="F82" s="4"/>
      <c r="G82" s="5" t="s">
        <v>11</v>
      </c>
      <c r="H82" s="12">
        <f>+H81/1.08*0.08</f>
        <v>9999.9999999999982</v>
      </c>
    </row>
    <row r="83" spans="1:8" x14ac:dyDescent="0.3">
      <c r="F83" s="4"/>
      <c r="G83" s="5" t="s">
        <v>12</v>
      </c>
      <c r="H83" s="12">
        <f>+H81-H82</f>
        <v>125000</v>
      </c>
    </row>
    <row r="84" spans="1:8" x14ac:dyDescent="0.3">
      <c r="F84" s="4"/>
      <c r="G84" s="5" t="s">
        <v>13</v>
      </c>
      <c r="H84" s="19">
        <f>+H80/H83</f>
        <v>0</v>
      </c>
    </row>
    <row r="85" spans="1:8" x14ac:dyDescent="0.3">
      <c r="F85" s="4"/>
      <c r="G85" s="5" t="s">
        <v>14</v>
      </c>
      <c r="H85" s="20">
        <f>+H83-H80</f>
        <v>125000</v>
      </c>
    </row>
    <row r="86" spans="1:8" x14ac:dyDescent="0.3">
      <c r="F86" s="4"/>
      <c r="G86" s="5" t="s">
        <v>15</v>
      </c>
      <c r="H86" s="22" t="e">
        <f>+H85/H80</f>
        <v>#DIV/0!</v>
      </c>
    </row>
    <row r="92" spans="1:8" x14ac:dyDescent="0.3">
      <c r="A92" s="16" t="s">
        <v>764</v>
      </c>
      <c r="B92" s="2"/>
      <c r="C92" s="2"/>
      <c r="D92" s="3"/>
      <c r="E92" s="3"/>
      <c r="F92" s="4"/>
      <c r="G92" s="277" t="s">
        <v>0</v>
      </c>
      <c r="H92" s="277"/>
    </row>
    <row r="93" spans="1:8" x14ac:dyDescent="0.3">
      <c r="A93" s="13" t="s">
        <v>1</v>
      </c>
      <c r="B93" s="14" t="s">
        <v>2</v>
      </c>
      <c r="C93" s="14" t="s">
        <v>3</v>
      </c>
      <c r="D93" s="28" t="s">
        <v>4</v>
      </c>
      <c r="E93" s="28" t="s">
        <v>5</v>
      </c>
      <c r="F93" s="4"/>
      <c r="G93" s="5" t="s">
        <v>6</v>
      </c>
      <c r="H93" s="6" t="e">
        <f>SUM(Tabla1103453454455456479108135149219379380381394406666768[Total costo])</f>
        <v>#N/A</v>
      </c>
    </row>
    <row r="94" spans="1:8" x14ac:dyDescent="0.3">
      <c r="A94" s="7" t="s">
        <v>673</v>
      </c>
      <c r="B94" s="8" t="s">
        <v>570</v>
      </c>
      <c r="C94" s="9">
        <v>5</v>
      </c>
      <c r="D94" s="10" t="e">
        <f>+VLOOKUP(Tabla1103453454455456479108135149219379380381394406666768[[#This Row],[Ingrediente]],Tabla34[#All],3,0)</f>
        <v>#N/A</v>
      </c>
      <c r="E94" s="11" t="e">
        <f>+Tabla1103453454455456479108135149219379380381394406666768[[#This Row],[Costo]]*Tabla1103453454455456479108135149219379380381394406666768[[#This Row],[Cant.]]</f>
        <v>#N/A</v>
      </c>
      <c r="F94" s="4"/>
      <c r="G94" s="5" t="s">
        <v>113</v>
      </c>
      <c r="H94" s="12"/>
    </row>
    <row r="95" spans="1:8" x14ac:dyDescent="0.3">
      <c r="A95" s="13"/>
      <c r="B95" s="14"/>
      <c r="C95" s="14"/>
      <c r="D95" s="15"/>
      <c r="E95" s="15" t="e">
        <f>SUBTOTAL(109,Tabla1103453454455456479108135149219379380381394406666768[Total costo])</f>
        <v>#N/A</v>
      </c>
      <c r="F95" s="4"/>
      <c r="G95" s="5" t="s">
        <v>9</v>
      </c>
      <c r="H95" s="12" t="e">
        <f>+H93+H94</f>
        <v>#N/A</v>
      </c>
    </row>
    <row r="96" spans="1:8" x14ac:dyDescent="0.3">
      <c r="F96" s="4"/>
      <c r="G96" s="17" t="s">
        <v>10</v>
      </c>
      <c r="H96" s="18">
        <v>135000</v>
      </c>
    </row>
    <row r="97" spans="1:8" x14ac:dyDescent="0.3">
      <c r="F97" s="4"/>
      <c r="G97" s="5" t="s">
        <v>11</v>
      </c>
      <c r="H97" s="12">
        <f>+H96/1.08*0.08</f>
        <v>9999.9999999999982</v>
      </c>
    </row>
    <row r="98" spans="1:8" x14ac:dyDescent="0.3">
      <c r="F98" s="4"/>
      <c r="G98" s="5" t="s">
        <v>12</v>
      </c>
      <c r="H98" s="12">
        <f>+H96-H97</f>
        <v>125000</v>
      </c>
    </row>
    <row r="99" spans="1:8" x14ac:dyDescent="0.3">
      <c r="F99" s="4"/>
      <c r="G99" s="5" t="s">
        <v>13</v>
      </c>
      <c r="H99" s="19" t="e">
        <f>+H95/H98</f>
        <v>#N/A</v>
      </c>
    </row>
    <row r="100" spans="1:8" x14ac:dyDescent="0.3">
      <c r="F100" s="4"/>
      <c r="G100" s="5" t="s">
        <v>14</v>
      </c>
      <c r="H100" s="20" t="e">
        <f>+H98-H95</f>
        <v>#N/A</v>
      </c>
    </row>
    <row r="101" spans="1:8" x14ac:dyDescent="0.3">
      <c r="F101" s="4"/>
      <c r="G101" s="5" t="s">
        <v>15</v>
      </c>
      <c r="H101" s="22" t="e">
        <f>+H100/H95</f>
        <v>#N/A</v>
      </c>
    </row>
    <row r="103" spans="1:8" x14ac:dyDescent="0.3">
      <c r="A103" s="16" t="s">
        <v>765</v>
      </c>
      <c r="B103" s="2"/>
      <c r="C103" s="2"/>
      <c r="D103" s="3"/>
      <c r="E103" s="3"/>
      <c r="F103" s="4"/>
      <c r="G103" s="277" t="s">
        <v>0</v>
      </c>
      <c r="H103" s="277"/>
    </row>
    <row r="104" spans="1:8" x14ac:dyDescent="0.3">
      <c r="A104" s="13" t="s">
        <v>1</v>
      </c>
      <c r="B104" s="14" t="s">
        <v>2</v>
      </c>
      <c r="C104" s="14" t="s">
        <v>3</v>
      </c>
      <c r="D104" s="28" t="s">
        <v>4</v>
      </c>
      <c r="E104" s="28" t="s">
        <v>5</v>
      </c>
      <c r="F104" s="4"/>
      <c r="G104" s="5" t="s">
        <v>6</v>
      </c>
      <c r="H104" s="6">
        <f>SUM(Tabla1103453454455456479108135149219379380381394406666769[Total costo])</f>
        <v>48500</v>
      </c>
    </row>
    <row r="105" spans="1:8" x14ac:dyDescent="0.3">
      <c r="A105" s="7" t="s">
        <v>678</v>
      </c>
      <c r="B105" s="8" t="s">
        <v>570</v>
      </c>
      <c r="C105" s="9">
        <v>5</v>
      </c>
      <c r="D105" s="10">
        <f>+VLOOKUP(Tabla1103453454455456479108135149219379380381394406666769[[#This Row],[Ingrediente]],Tabla34[#All],3,0)</f>
        <v>9700</v>
      </c>
      <c r="E105" s="11">
        <f>+Tabla1103453454455456479108135149219379380381394406666769[[#This Row],[Costo]]*Tabla1103453454455456479108135149219379380381394406666769[[#This Row],[Cant.]]</f>
        <v>48500</v>
      </c>
      <c r="F105" s="4"/>
      <c r="G105" s="5" t="s">
        <v>113</v>
      </c>
      <c r="H105" s="12"/>
    </row>
    <row r="106" spans="1:8" x14ac:dyDescent="0.3">
      <c r="A106" s="13"/>
      <c r="B106" s="14"/>
      <c r="C106" s="14"/>
      <c r="D106" s="15"/>
      <c r="E106" s="15">
        <f>SUBTOTAL(109,Tabla1103453454455456479108135149219379380381394406666769[Total costo])</f>
        <v>48500</v>
      </c>
      <c r="F106" s="4"/>
      <c r="G106" s="5" t="s">
        <v>9</v>
      </c>
      <c r="H106" s="12">
        <f>+H104+H105</f>
        <v>48500</v>
      </c>
    </row>
    <row r="107" spans="1:8" x14ac:dyDescent="0.3">
      <c r="F107" s="4"/>
      <c r="G107" s="17" t="s">
        <v>10</v>
      </c>
      <c r="H107" s="18">
        <v>135000</v>
      </c>
    </row>
    <row r="108" spans="1:8" x14ac:dyDescent="0.3">
      <c r="F108" s="4"/>
      <c r="G108" s="5" t="s">
        <v>11</v>
      </c>
      <c r="H108" s="12">
        <f>+H107/1.08*0.08</f>
        <v>9999.9999999999982</v>
      </c>
    </row>
    <row r="109" spans="1:8" x14ac:dyDescent="0.3">
      <c r="F109" s="4"/>
      <c r="G109" s="5" t="s">
        <v>12</v>
      </c>
      <c r="H109" s="12">
        <f>+H107-H108</f>
        <v>125000</v>
      </c>
    </row>
    <row r="110" spans="1:8" x14ac:dyDescent="0.3">
      <c r="F110" s="4"/>
      <c r="G110" s="5" t="s">
        <v>13</v>
      </c>
      <c r="H110" s="19">
        <f>+H106/H109</f>
        <v>0.38800000000000001</v>
      </c>
    </row>
    <row r="111" spans="1:8" x14ac:dyDescent="0.3">
      <c r="F111" s="4"/>
      <c r="G111" s="5" t="s">
        <v>14</v>
      </c>
      <c r="H111" s="20">
        <f>+H109-H106</f>
        <v>76500</v>
      </c>
    </row>
    <row r="112" spans="1:8" x14ac:dyDescent="0.3">
      <c r="F112" s="4"/>
      <c r="G112" s="5" t="s">
        <v>15</v>
      </c>
      <c r="H112" s="22">
        <f>+H111/H106</f>
        <v>1.5773195876288659</v>
      </c>
    </row>
  </sheetData>
  <mergeCells count="9">
    <mergeCell ref="G66:H66"/>
    <mergeCell ref="G77:H77"/>
    <mergeCell ref="G92:H92"/>
    <mergeCell ref="G103:H103"/>
    <mergeCell ref="G6:H6"/>
    <mergeCell ref="G18:H18"/>
    <mergeCell ref="G29:H29"/>
    <mergeCell ref="G41:H41"/>
    <mergeCell ref="G53:H53"/>
  </mergeCells>
  <phoneticPr fontId="20" type="noConversion"/>
  <conditionalFormatting sqref="H13">
    <cfRule type="cellIs" dxfId="103" priority="19" operator="lessThan">
      <formula>0.3</formula>
    </cfRule>
    <cfRule type="cellIs" dxfId="102" priority="20" operator="greaterThan">
      <formula>0.3</formula>
    </cfRule>
  </conditionalFormatting>
  <conditionalFormatting sqref="H25">
    <cfRule type="cellIs" dxfId="101" priority="17" operator="lessThan">
      <formula>0.3</formula>
    </cfRule>
    <cfRule type="cellIs" dxfId="100" priority="18" operator="greaterThan">
      <formula>0.3</formula>
    </cfRule>
  </conditionalFormatting>
  <conditionalFormatting sqref="H36">
    <cfRule type="cellIs" dxfId="99" priority="15" operator="lessThan">
      <formula>0.3</formula>
    </cfRule>
    <cfRule type="cellIs" dxfId="98" priority="16" operator="greaterThan">
      <formula>0.3</formula>
    </cfRule>
  </conditionalFormatting>
  <conditionalFormatting sqref="H48">
    <cfRule type="cellIs" dxfId="97" priority="13" operator="lessThan">
      <formula>0.3</formula>
    </cfRule>
    <cfRule type="cellIs" dxfId="96" priority="14" operator="greaterThan">
      <formula>0.3</formula>
    </cfRule>
  </conditionalFormatting>
  <conditionalFormatting sqref="H60">
    <cfRule type="cellIs" dxfId="95" priority="11" operator="lessThan">
      <formula>0.3</formula>
    </cfRule>
    <cfRule type="cellIs" dxfId="94" priority="12" operator="greaterThan">
      <formula>0.3</formula>
    </cfRule>
  </conditionalFormatting>
  <conditionalFormatting sqref="H73">
    <cfRule type="cellIs" dxfId="93" priority="7" operator="lessThan">
      <formula>0.3</formula>
    </cfRule>
    <cfRule type="cellIs" dxfId="92" priority="8" operator="greaterThan">
      <formula>0.3</formula>
    </cfRule>
  </conditionalFormatting>
  <conditionalFormatting sqref="H84">
    <cfRule type="cellIs" dxfId="91" priority="5" operator="lessThan">
      <formula>0.3</formula>
    </cfRule>
    <cfRule type="cellIs" dxfId="90" priority="6" operator="greaterThan">
      <formula>0.3</formula>
    </cfRule>
  </conditionalFormatting>
  <conditionalFormatting sqref="H99">
    <cfRule type="cellIs" dxfId="89" priority="3" operator="lessThan">
      <formula>0.3</formula>
    </cfRule>
    <cfRule type="cellIs" dxfId="88" priority="4" operator="greaterThan">
      <formula>0.3</formula>
    </cfRule>
  </conditionalFormatting>
  <conditionalFormatting sqref="H110">
    <cfRule type="cellIs" dxfId="87" priority="1" operator="lessThan">
      <formula>0.3</formula>
    </cfRule>
    <cfRule type="cellIs" dxfId="86" priority="2" operator="greaterThan">
      <formula>0.3</formula>
    </cfRule>
  </conditionalFormatting>
  <pageMargins left="0.7" right="0.7" top="0.75" bottom="0.75" header="0.3" footer="0.3"/>
  <drawing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8F75A-84D5-4453-AE9D-2A2963AD4D95}">
  <dimension ref="B6:I88"/>
  <sheetViews>
    <sheetView showGridLines="0" topLeftCell="A49" zoomScale="107" zoomScaleNormal="107" workbookViewId="0">
      <selection activeCell="C65" sqref="C65"/>
    </sheetView>
  </sheetViews>
  <sheetFormatPr baseColWidth="10" defaultRowHeight="14.4" x14ac:dyDescent="0.3"/>
  <cols>
    <col min="1" max="1" width="3.88671875" customWidth="1"/>
    <col min="2" max="2" width="46.6640625" bestFit="1" customWidth="1"/>
    <col min="5" max="5" width="12.33203125" bestFit="1" customWidth="1"/>
    <col min="7" max="7" width="5.44140625" customWidth="1"/>
    <col min="8" max="8" width="26.109375" bestFit="1" customWidth="1"/>
  </cols>
  <sheetData>
    <row r="6" spans="2:9" x14ac:dyDescent="0.3">
      <c r="B6" s="1" t="s">
        <v>864</v>
      </c>
      <c r="C6" s="2"/>
      <c r="D6" s="2"/>
      <c r="E6" s="3"/>
      <c r="F6" s="3"/>
      <c r="G6" s="4"/>
      <c r="H6" s="277" t="s">
        <v>0</v>
      </c>
      <c r="I6" s="277"/>
    </row>
    <row r="7" spans="2:9" x14ac:dyDescent="0.3">
      <c r="B7" s="13" t="s">
        <v>1</v>
      </c>
      <c r="C7" s="14" t="s">
        <v>2</v>
      </c>
      <c r="D7" s="14" t="s">
        <v>3</v>
      </c>
      <c r="E7" s="28" t="s">
        <v>4</v>
      </c>
      <c r="F7" s="28" t="s">
        <v>5</v>
      </c>
      <c r="G7" s="4"/>
      <c r="H7" s="5" t="s">
        <v>6</v>
      </c>
      <c r="I7" s="6">
        <f>SUM(Tabla110345345445545647910813113816290[Total costo])</f>
        <v>125043.5</v>
      </c>
    </row>
    <row r="8" spans="2:9" x14ac:dyDescent="0.3">
      <c r="B8" s="21" t="s">
        <v>614</v>
      </c>
      <c r="C8" s="8" t="s">
        <v>570</v>
      </c>
      <c r="D8" s="9">
        <v>1</v>
      </c>
      <c r="E8" s="10">
        <f>+VLOOKUP(Tabla110345345445545647910813113816290[[#This Row],[Ingrediente]],INSUMOS!A31:C424,3,0)</f>
        <v>125043.5</v>
      </c>
      <c r="F8" s="11">
        <f>+Tabla110345345445545647910813113816290[[#This Row],[Costo]]*Tabla110345345445545647910813113816290[[#This Row],[Cant.]]</f>
        <v>125043.5</v>
      </c>
      <c r="G8" s="4"/>
      <c r="H8" s="5" t="s">
        <v>113</v>
      </c>
      <c r="I8" s="12"/>
    </row>
    <row r="9" spans="2:9" x14ac:dyDescent="0.3">
      <c r="B9" s="13"/>
      <c r="C9" s="14"/>
      <c r="D9" s="14"/>
      <c r="E9" s="15"/>
      <c r="F9" s="15">
        <f>SUBTOTAL(109,Tabla110345345445545647910813113816290[Total costo])</f>
        <v>125043.5</v>
      </c>
      <c r="G9" s="4"/>
      <c r="H9" s="5" t="s">
        <v>9</v>
      </c>
      <c r="I9" s="12">
        <f>+I7+I8</f>
        <v>125043.5</v>
      </c>
    </row>
    <row r="10" spans="2:9" x14ac:dyDescent="0.3">
      <c r="G10" s="4"/>
      <c r="H10" s="17" t="s">
        <v>10</v>
      </c>
      <c r="I10" s="18">
        <v>273000</v>
      </c>
    </row>
    <row r="11" spans="2:9" x14ac:dyDescent="0.3">
      <c r="G11" s="4"/>
      <c r="H11" s="5" t="s">
        <v>11</v>
      </c>
      <c r="I11" s="12">
        <f>+I10/1.08*0.08</f>
        <v>20222.222222222219</v>
      </c>
    </row>
    <row r="12" spans="2:9" x14ac:dyDescent="0.3">
      <c r="G12" s="4"/>
      <c r="H12" s="5" t="s">
        <v>12</v>
      </c>
      <c r="I12" s="12">
        <f>+I10-I11</f>
        <v>252777.77777777778</v>
      </c>
    </row>
    <row r="13" spans="2:9" x14ac:dyDescent="0.3">
      <c r="G13" s="4"/>
      <c r="H13" s="5" t="s">
        <v>13</v>
      </c>
      <c r="I13" s="19">
        <f>+I9/I12</f>
        <v>0.49467758241758242</v>
      </c>
    </row>
    <row r="14" spans="2:9" x14ac:dyDescent="0.3">
      <c r="G14" s="4"/>
      <c r="H14" s="5" t="s">
        <v>14</v>
      </c>
      <c r="I14" s="20">
        <f>+I12-I9</f>
        <v>127734.27777777778</v>
      </c>
    </row>
    <row r="15" spans="2:9" x14ac:dyDescent="0.3">
      <c r="G15" s="4"/>
      <c r="H15" s="5" t="s">
        <v>15</v>
      </c>
      <c r="I15" s="22">
        <f>+I14/I9</f>
        <v>1.0215187337028937</v>
      </c>
    </row>
    <row r="16" spans="2:9" x14ac:dyDescent="0.3">
      <c r="G16" s="4"/>
      <c r="H16" s="4"/>
      <c r="I16" s="23"/>
    </row>
    <row r="17" spans="2:9" x14ac:dyDescent="0.3">
      <c r="G17" s="4"/>
      <c r="H17" s="4"/>
      <c r="I17" s="23"/>
    </row>
    <row r="18" spans="2:9" x14ac:dyDescent="0.3">
      <c r="G18" s="24"/>
      <c r="H18" s="24"/>
      <c r="I18" s="24"/>
    </row>
    <row r="19" spans="2:9" x14ac:dyDescent="0.3">
      <c r="B19" s="1" t="s">
        <v>780</v>
      </c>
      <c r="C19" s="2"/>
      <c r="D19" s="2"/>
      <c r="E19" s="3"/>
      <c r="F19" s="3"/>
      <c r="G19" s="4"/>
      <c r="H19" s="277" t="s">
        <v>0</v>
      </c>
      <c r="I19" s="277"/>
    </row>
    <row r="20" spans="2:9" x14ac:dyDescent="0.3">
      <c r="B20" s="13" t="s">
        <v>1</v>
      </c>
      <c r="C20" s="14" t="s">
        <v>2</v>
      </c>
      <c r="D20" s="14" t="s">
        <v>3</v>
      </c>
      <c r="E20" s="28" t="s">
        <v>4</v>
      </c>
      <c r="F20" s="28" t="s">
        <v>5</v>
      </c>
      <c r="G20" s="4"/>
      <c r="H20" s="5" t="s">
        <v>6</v>
      </c>
      <c r="I20" s="6">
        <f>SUM(Tabla11034534544554564791081311381629091[Total costo])</f>
        <v>79309.523809499995</v>
      </c>
    </row>
    <row r="21" spans="2:9" x14ac:dyDescent="0.3">
      <c r="B21" s="21" t="s">
        <v>696</v>
      </c>
      <c r="C21" s="8" t="s">
        <v>570</v>
      </c>
      <c r="D21" s="9">
        <v>1</v>
      </c>
      <c r="E21" s="10">
        <f>+VLOOKUP(Tabla11034534544554564791081311381629091[[#This Row],[Ingrediente]],INSUMOS!A31:C424,3,0)</f>
        <v>79309.523809499995</v>
      </c>
      <c r="F21" s="11">
        <f>+Tabla11034534544554564791081311381629091[[#This Row],[Costo]]*Tabla11034534544554564791081311381629091[[#This Row],[Cant.]]</f>
        <v>79309.523809499995</v>
      </c>
      <c r="G21" s="4"/>
      <c r="H21" s="5" t="s">
        <v>113</v>
      </c>
      <c r="I21" s="12"/>
    </row>
    <row r="22" spans="2:9" x14ac:dyDescent="0.3">
      <c r="B22" s="13"/>
      <c r="C22" s="14"/>
      <c r="D22" s="14"/>
      <c r="E22" s="15"/>
      <c r="F22" s="15">
        <f>SUBTOTAL(109,Tabla11034534544554564791081311381629091[Total costo])</f>
        <v>79309.523809499995</v>
      </c>
      <c r="G22" s="4"/>
      <c r="H22" s="5" t="s">
        <v>9</v>
      </c>
      <c r="I22" s="12">
        <f>+I20+I21</f>
        <v>79309.523809499995</v>
      </c>
    </row>
    <row r="23" spans="2:9" x14ac:dyDescent="0.3">
      <c r="G23" s="4"/>
      <c r="H23" s="17" t="s">
        <v>10</v>
      </c>
      <c r="I23" s="18">
        <v>189000</v>
      </c>
    </row>
    <row r="24" spans="2:9" x14ac:dyDescent="0.3">
      <c r="G24" s="4"/>
      <c r="H24" s="5" t="s">
        <v>11</v>
      </c>
      <c r="I24" s="12">
        <f>+I23/1.08*0.08</f>
        <v>14000</v>
      </c>
    </row>
    <row r="25" spans="2:9" x14ac:dyDescent="0.3">
      <c r="G25" s="4"/>
      <c r="H25" s="5" t="s">
        <v>12</v>
      </c>
      <c r="I25" s="12">
        <f>+I23-I24</f>
        <v>175000</v>
      </c>
    </row>
    <row r="26" spans="2:9" x14ac:dyDescent="0.3">
      <c r="G26" s="4"/>
      <c r="H26" s="5" t="s">
        <v>13</v>
      </c>
      <c r="I26" s="19">
        <f>+I22/I25</f>
        <v>0.45319727891142852</v>
      </c>
    </row>
    <row r="27" spans="2:9" x14ac:dyDescent="0.3">
      <c r="G27" s="4"/>
      <c r="H27" s="5" t="s">
        <v>14</v>
      </c>
      <c r="I27" s="20">
        <f>+I25-I22</f>
        <v>95690.476190500005</v>
      </c>
    </row>
    <row r="28" spans="2:9" x14ac:dyDescent="0.3">
      <c r="G28" s="4"/>
      <c r="H28" s="5" t="s">
        <v>15</v>
      </c>
      <c r="I28" s="22">
        <f>+I27/I22</f>
        <v>1.2065445812075073</v>
      </c>
    </row>
    <row r="32" spans="2:9" x14ac:dyDescent="0.3">
      <c r="B32" s="1" t="s">
        <v>278</v>
      </c>
      <c r="C32" s="2"/>
      <c r="D32" s="2"/>
      <c r="E32" s="3"/>
      <c r="F32" s="3"/>
      <c r="G32" s="4"/>
      <c r="H32" s="277" t="s">
        <v>0</v>
      </c>
      <c r="I32" s="277"/>
    </row>
    <row r="33" spans="2:9" x14ac:dyDescent="0.3">
      <c r="B33" s="13" t="s">
        <v>1</v>
      </c>
      <c r="C33" s="14" t="s">
        <v>2</v>
      </c>
      <c r="D33" s="14" t="s">
        <v>3</v>
      </c>
      <c r="E33" s="28" t="s">
        <v>4</v>
      </c>
      <c r="F33" s="28" t="s">
        <v>5</v>
      </c>
      <c r="G33" s="4"/>
      <c r="H33" s="5" t="s">
        <v>6</v>
      </c>
      <c r="I33" s="6">
        <f>SUM(Tabla1103453454455456479108131138162909194[Total costo])</f>
        <v>83261</v>
      </c>
    </row>
    <row r="34" spans="2:9" x14ac:dyDescent="0.3">
      <c r="B34" s="21" t="s">
        <v>645</v>
      </c>
      <c r="C34" s="8" t="s">
        <v>570</v>
      </c>
      <c r="D34" s="9">
        <v>1</v>
      </c>
      <c r="E34" s="10">
        <f>+VLOOKUP(Tabla1103453454455456479108131138162909194[[#This Row],[Ingrediente]],INSUMOS!A31:C424,3,0)</f>
        <v>83261</v>
      </c>
      <c r="F34" s="11">
        <f>+Tabla1103453454455456479108131138162909194[[#This Row],[Costo]]*Tabla1103453454455456479108131138162909194[[#This Row],[Cant.]]</f>
        <v>83261</v>
      </c>
      <c r="G34" s="4"/>
      <c r="H34" s="5" t="s">
        <v>113</v>
      </c>
      <c r="I34" s="12"/>
    </row>
    <row r="35" spans="2:9" x14ac:dyDescent="0.3">
      <c r="B35" s="13"/>
      <c r="C35" s="14"/>
      <c r="D35" s="14"/>
      <c r="E35" s="15"/>
      <c r="F35" s="15">
        <f>SUBTOTAL(109,Tabla1103453454455456479108131138162909194[Total costo])</f>
        <v>83261</v>
      </c>
      <c r="G35" s="4"/>
      <c r="H35" s="5" t="s">
        <v>9</v>
      </c>
      <c r="I35" s="12">
        <f>+I33+I34</f>
        <v>83261</v>
      </c>
    </row>
    <row r="36" spans="2:9" x14ac:dyDescent="0.3">
      <c r="G36" s="4"/>
      <c r="H36" s="17" t="s">
        <v>10</v>
      </c>
      <c r="I36" s="18">
        <v>189000</v>
      </c>
    </row>
    <row r="37" spans="2:9" x14ac:dyDescent="0.3">
      <c r="G37" s="4"/>
      <c r="H37" s="5" t="s">
        <v>11</v>
      </c>
      <c r="I37" s="12">
        <f>+I36/1.08*0.08</f>
        <v>14000</v>
      </c>
    </row>
    <row r="38" spans="2:9" x14ac:dyDescent="0.3">
      <c r="G38" s="4"/>
      <c r="H38" s="5" t="s">
        <v>12</v>
      </c>
      <c r="I38" s="12">
        <f>+I36-I37</f>
        <v>175000</v>
      </c>
    </row>
    <row r="39" spans="2:9" x14ac:dyDescent="0.3">
      <c r="G39" s="4"/>
      <c r="H39" s="5" t="s">
        <v>13</v>
      </c>
      <c r="I39" s="19">
        <f>+I35/I38</f>
        <v>0.47577714285714284</v>
      </c>
    </row>
    <row r="40" spans="2:9" x14ac:dyDescent="0.3">
      <c r="G40" s="4"/>
      <c r="H40" s="5" t="s">
        <v>14</v>
      </c>
      <c r="I40" s="20">
        <f>+I38-I35</f>
        <v>91739</v>
      </c>
    </row>
    <row r="41" spans="2:9" x14ac:dyDescent="0.3">
      <c r="G41" s="4"/>
      <c r="H41" s="5" t="s">
        <v>15</v>
      </c>
      <c r="I41" s="22">
        <f>+I40/I35</f>
        <v>1.1018243835649344</v>
      </c>
    </row>
    <row r="44" spans="2:9" x14ac:dyDescent="0.3">
      <c r="B44" s="1" t="s">
        <v>274</v>
      </c>
      <c r="C44" s="2"/>
      <c r="D44" s="2"/>
      <c r="E44" s="3"/>
      <c r="F44" s="3"/>
      <c r="G44" s="4"/>
      <c r="H44" s="277" t="s">
        <v>0</v>
      </c>
      <c r="I44" s="277"/>
    </row>
    <row r="45" spans="2:9" x14ac:dyDescent="0.3">
      <c r="B45" s="13" t="s">
        <v>1</v>
      </c>
      <c r="C45" s="14" t="s">
        <v>2</v>
      </c>
      <c r="D45" s="14" t="s">
        <v>3</v>
      </c>
      <c r="E45" s="28" t="s">
        <v>4</v>
      </c>
      <c r="F45" s="28" t="s">
        <v>5</v>
      </c>
      <c r="G45" s="4"/>
      <c r="H45" s="5" t="s">
        <v>6</v>
      </c>
      <c r="I45" s="6">
        <f>SUM(Tabla1103453454455456479108131138162909195[Total costo])</f>
        <v>68523</v>
      </c>
    </row>
    <row r="46" spans="2:9" x14ac:dyDescent="0.3">
      <c r="B46" s="21" t="s">
        <v>81</v>
      </c>
      <c r="C46" s="8" t="s">
        <v>570</v>
      </c>
      <c r="D46" s="9">
        <v>5</v>
      </c>
      <c r="E46" s="10">
        <f>+VLOOKUP(Tabla1103453454455456479108131138162909195[[#This Row],[Ingrediente]],Tabla34[#All],3,0)</f>
        <v>13704.6</v>
      </c>
      <c r="F46" s="11">
        <f>+Tabla1103453454455456479108131138162909195[[#This Row],[Costo]]*Tabla1103453454455456479108131138162909195[[#This Row],[Cant.]]</f>
        <v>68523</v>
      </c>
      <c r="G46" s="4"/>
      <c r="H46" s="5" t="s">
        <v>113</v>
      </c>
      <c r="I46" s="12"/>
    </row>
    <row r="47" spans="2:9" x14ac:dyDescent="0.3">
      <c r="B47" s="13"/>
      <c r="C47" s="14"/>
      <c r="D47" s="14"/>
      <c r="E47" s="15"/>
      <c r="F47" s="15">
        <f>SUBTOTAL(109,Tabla1103453454455456479108131138162909195[Total costo])</f>
        <v>68523</v>
      </c>
      <c r="G47" s="4"/>
      <c r="H47" s="5" t="s">
        <v>9</v>
      </c>
      <c r="I47" s="12">
        <f>+I45+I46</f>
        <v>68523</v>
      </c>
    </row>
    <row r="48" spans="2:9" x14ac:dyDescent="0.3">
      <c r="G48" s="4"/>
      <c r="H48" s="17" t="s">
        <v>10</v>
      </c>
      <c r="I48" s="18">
        <v>165900</v>
      </c>
    </row>
    <row r="49" spans="2:9" x14ac:dyDescent="0.3">
      <c r="G49" s="4"/>
      <c r="H49" s="5" t="s">
        <v>11</v>
      </c>
      <c r="I49" s="12">
        <f>+I48/1.08*0.08</f>
        <v>12288.888888888889</v>
      </c>
    </row>
    <row r="50" spans="2:9" x14ac:dyDescent="0.3">
      <c r="G50" s="4"/>
      <c r="H50" s="5" t="s">
        <v>12</v>
      </c>
      <c r="I50" s="12">
        <f>+I48-I49</f>
        <v>153611.11111111112</v>
      </c>
    </row>
    <row r="51" spans="2:9" x14ac:dyDescent="0.3">
      <c r="G51" s="4"/>
      <c r="H51" s="5" t="s">
        <v>13</v>
      </c>
      <c r="I51" s="19">
        <f>+I47/I50</f>
        <v>0.4460810126582278</v>
      </c>
    </row>
    <row r="52" spans="2:9" x14ac:dyDescent="0.3">
      <c r="G52" s="4"/>
      <c r="H52" s="5" t="s">
        <v>14</v>
      </c>
      <c r="I52" s="20">
        <f>+I50-I47</f>
        <v>85088.111111111124</v>
      </c>
    </row>
    <row r="53" spans="2:9" x14ac:dyDescent="0.3">
      <c r="G53" s="4"/>
      <c r="H53" s="5" t="s">
        <v>15</v>
      </c>
      <c r="I53" s="22">
        <f>+I52/I47</f>
        <v>1.2417452696337161</v>
      </c>
    </row>
    <row r="57" spans="2:9" x14ac:dyDescent="0.3">
      <c r="B57" s="1" t="s">
        <v>862</v>
      </c>
      <c r="C57" s="2"/>
      <c r="D57" s="2"/>
      <c r="E57" s="3"/>
      <c r="F57" s="3"/>
      <c r="G57" s="4"/>
      <c r="H57" s="277" t="s">
        <v>0</v>
      </c>
      <c r="I57" s="277"/>
    </row>
    <row r="58" spans="2:9" x14ac:dyDescent="0.3">
      <c r="B58" s="13" t="s">
        <v>1</v>
      </c>
      <c r="C58" s="14" t="s">
        <v>2</v>
      </c>
      <c r="D58" s="14" t="s">
        <v>3</v>
      </c>
      <c r="E58" s="28" t="s">
        <v>4</v>
      </c>
      <c r="F58" s="28" t="s">
        <v>5</v>
      </c>
      <c r="G58" s="4"/>
      <c r="H58" s="5" t="s">
        <v>6</v>
      </c>
      <c r="I58" s="6">
        <f>SUM(Tabla11034534544554564791081311381629091115[Total costo])</f>
        <v>42598.666666666664</v>
      </c>
    </row>
    <row r="59" spans="2:9" x14ac:dyDescent="0.3">
      <c r="B59" s="21" t="s">
        <v>639</v>
      </c>
      <c r="C59" s="8" t="s">
        <v>570</v>
      </c>
      <c r="D59" s="9">
        <v>1</v>
      </c>
      <c r="E59" s="10">
        <f>+VLOOKUP(Tabla11034534544554564791081311381629091115[[#This Row],[Ingrediente]],INSUMOS!A31:C424,3,0)</f>
        <v>42598.666666666664</v>
      </c>
      <c r="F59" s="11">
        <f>+Tabla11034534544554564791081311381629091115[[#This Row],[Costo]]*Tabla11034534544554564791081311381629091115[[#This Row],[Cant.]]</f>
        <v>42598.666666666664</v>
      </c>
      <c r="G59" s="4"/>
      <c r="H59" s="5" t="s">
        <v>113</v>
      </c>
      <c r="I59" s="12"/>
    </row>
    <row r="60" spans="2:9" x14ac:dyDescent="0.3">
      <c r="B60" s="13"/>
      <c r="C60" s="14"/>
      <c r="D60" s="14"/>
      <c r="E60" s="15"/>
      <c r="F60" s="15">
        <f>SUBTOTAL(109,Tabla11034534544554564791081311381629091115[Total costo])</f>
        <v>42598.666666666664</v>
      </c>
      <c r="G60" s="4"/>
      <c r="H60" s="5" t="s">
        <v>9</v>
      </c>
      <c r="I60" s="12">
        <f>+I58+I59</f>
        <v>42598.666666666664</v>
      </c>
    </row>
    <row r="61" spans="2:9" x14ac:dyDescent="0.3">
      <c r="G61" s="4"/>
      <c r="H61" s="17" t="s">
        <v>10</v>
      </c>
      <c r="I61" s="18">
        <v>159900</v>
      </c>
    </row>
    <row r="62" spans="2:9" x14ac:dyDescent="0.3">
      <c r="G62" s="4"/>
      <c r="H62" s="5" t="s">
        <v>11</v>
      </c>
      <c r="I62" s="12">
        <f>+I61/1.08*0.08</f>
        <v>11844.444444444443</v>
      </c>
    </row>
    <row r="63" spans="2:9" x14ac:dyDescent="0.3">
      <c r="G63" s="4"/>
      <c r="H63" s="5" t="s">
        <v>12</v>
      </c>
      <c r="I63" s="12">
        <f>+I61-I62</f>
        <v>148055.55555555556</v>
      </c>
    </row>
    <row r="64" spans="2:9" x14ac:dyDescent="0.3">
      <c r="G64" s="4"/>
      <c r="H64" s="5" t="s">
        <v>13</v>
      </c>
      <c r="I64" s="19">
        <f>+I60/I63</f>
        <v>0.28772082551594746</v>
      </c>
    </row>
    <row r="65" spans="2:9" x14ac:dyDescent="0.3">
      <c r="G65" s="4"/>
      <c r="H65" s="5" t="s">
        <v>14</v>
      </c>
      <c r="I65" s="20">
        <f>+I63-I60</f>
        <v>105456.88888888891</v>
      </c>
    </row>
    <row r="66" spans="2:9" x14ac:dyDescent="0.3">
      <c r="G66" s="4"/>
      <c r="H66" s="5" t="s">
        <v>15</v>
      </c>
      <c r="I66" s="22">
        <f>+I65/I60</f>
        <v>2.4755913069788313</v>
      </c>
    </row>
    <row r="68" spans="2:9" x14ac:dyDescent="0.3">
      <c r="B68" s="1" t="s">
        <v>817</v>
      </c>
      <c r="C68" s="2"/>
      <c r="D68" s="2"/>
      <c r="E68" s="3"/>
      <c r="F68" s="3"/>
      <c r="G68" s="4"/>
      <c r="H68" s="277" t="s">
        <v>0</v>
      </c>
      <c r="I68" s="277"/>
    </row>
    <row r="69" spans="2:9" x14ac:dyDescent="0.3">
      <c r="B69" s="13" t="s">
        <v>1</v>
      </c>
      <c r="C69" s="14" t="s">
        <v>2</v>
      </c>
      <c r="D69" s="14" t="s">
        <v>3</v>
      </c>
      <c r="E69" s="28" t="s">
        <v>4</v>
      </c>
      <c r="F69" s="28" t="s">
        <v>5</v>
      </c>
      <c r="G69" s="4"/>
      <c r="H69" s="5" t="s">
        <v>6</v>
      </c>
      <c r="I69" s="6">
        <f>SUM(Tabla11034534544554564791081311381629091121[Total costo])</f>
        <v>57372</v>
      </c>
    </row>
    <row r="70" spans="2:9" x14ac:dyDescent="0.3">
      <c r="B70" s="21" t="s">
        <v>418</v>
      </c>
      <c r="C70" s="8" t="s">
        <v>570</v>
      </c>
      <c r="D70" s="9">
        <v>1</v>
      </c>
      <c r="E70" s="10">
        <f>+VLOOKUP(Tabla11034534544554564791081311381629091121[[#This Row],[Ingrediente]],Tabla34[#All],3,0)</f>
        <v>57372</v>
      </c>
      <c r="F70" s="11">
        <f>+Tabla11034534544554564791081311381629091121[[#This Row],[Costo]]*Tabla11034534544554564791081311381629091121[[#This Row],[Cant.]]</f>
        <v>57372</v>
      </c>
      <c r="G70" s="4"/>
      <c r="H70" s="5" t="s">
        <v>113</v>
      </c>
      <c r="I70" s="12"/>
    </row>
    <row r="71" spans="2:9" x14ac:dyDescent="0.3">
      <c r="B71" s="13"/>
      <c r="C71" s="14"/>
      <c r="D71" s="14"/>
      <c r="E71" s="15"/>
      <c r="F71" s="15">
        <f>SUBTOTAL(109,Tabla11034534544554564791081311381629091121[Total costo])</f>
        <v>57372</v>
      </c>
      <c r="G71" s="4"/>
      <c r="H71" s="5" t="s">
        <v>9</v>
      </c>
      <c r="I71" s="12">
        <f>+I69+I70</f>
        <v>57372</v>
      </c>
    </row>
    <row r="72" spans="2:9" x14ac:dyDescent="0.3">
      <c r="G72" s="4"/>
      <c r="H72" s="17" t="s">
        <v>10</v>
      </c>
      <c r="I72" s="18">
        <v>139000</v>
      </c>
    </row>
    <row r="73" spans="2:9" x14ac:dyDescent="0.3">
      <c r="G73" s="4"/>
      <c r="H73" s="5" t="s">
        <v>11</v>
      </c>
      <c r="I73" s="12">
        <f>+I72/1.08*0.08</f>
        <v>10296.296296296296</v>
      </c>
    </row>
    <row r="74" spans="2:9" x14ac:dyDescent="0.3">
      <c r="G74" s="4"/>
      <c r="H74" s="5" t="s">
        <v>12</v>
      </c>
      <c r="I74" s="12">
        <f>+I72-I73</f>
        <v>128703.70370370371</v>
      </c>
    </row>
    <row r="75" spans="2:9" x14ac:dyDescent="0.3">
      <c r="G75" s="4"/>
      <c r="H75" s="5" t="s">
        <v>13</v>
      </c>
      <c r="I75" s="19">
        <f>+I71/I74</f>
        <v>0.44576805755395682</v>
      </c>
    </row>
    <row r="76" spans="2:9" x14ac:dyDescent="0.3">
      <c r="G76" s="4"/>
      <c r="H76" s="5" t="s">
        <v>14</v>
      </c>
      <c r="I76" s="20">
        <f>+I74-I71</f>
        <v>71331.703703703708</v>
      </c>
    </row>
    <row r="77" spans="2:9" x14ac:dyDescent="0.3">
      <c r="G77" s="4"/>
      <c r="H77" s="5" t="s">
        <v>15</v>
      </c>
      <c r="I77" s="22">
        <f>+I76/I71</f>
        <v>1.2433191052029511</v>
      </c>
    </row>
    <row r="79" spans="2:9" x14ac:dyDescent="0.3">
      <c r="B79" s="1" t="s">
        <v>781</v>
      </c>
      <c r="C79" s="2"/>
      <c r="D79" s="2"/>
      <c r="E79" s="3"/>
      <c r="F79" s="3"/>
      <c r="G79" s="4"/>
      <c r="H79" s="277" t="s">
        <v>0</v>
      </c>
      <c r="I79" s="277"/>
    </row>
    <row r="80" spans="2:9" x14ac:dyDescent="0.3">
      <c r="B80" s="13" t="s">
        <v>1</v>
      </c>
      <c r="C80" s="14" t="s">
        <v>2</v>
      </c>
      <c r="D80" s="14" t="s">
        <v>3</v>
      </c>
      <c r="E80" s="28" t="s">
        <v>4</v>
      </c>
      <c r="F80" s="28" t="s">
        <v>5</v>
      </c>
      <c r="G80" s="4"/>
      <c r="H80" s="5" t="s">
        <v>6</v>
      </c>
      <c r="I80" s="6">
        <f>SUM(Tabla11034534544554564791081311381629091206[Total costo])</f>
        <v>48505.666666650002</v>
      </c>
    </row>
    <row r="81" spans="2:9" x14ac:dyDescent="0.3">
      <c r="B81" s="21" t="s">
        <v>42</v>
      </c>
      <c r="C81" s="8" t="s">
        <v>570</v>
      </c>
      <c r="D81" s="9">
        <v>5</v>
      </c>
      <c r="E81" s="10">
        <f>+VLOOKUP(Tabla11034534544554564791081311381629091206[[#This Row],[Ingrediente]],Tabla34[#All],3,0)</f>
        <v>9701.1333333300008</v>
      </c>
      <c r="F81" s="11">
        <f>+Tabla11034534544554564791081311381629091206[[#This Row],[Costo]]*Tabla11034534544554564791081311381629091206[[#This Row],[Cant.]]</f>
        <v>48505.666666650002</v>
      </c>
      <c r="G81" s="4"/>
      <c r="H81" s="5" t="s">
        <v>113</v>
      </c>
      <c r="I81" s="12"/>
    </row>
    <row r="82" spans="2:9" x14ac:dyDescent="0.3">
      <c r="B82" s="13"/>
      <c r="C82" s="14"/>
      <c r="D82" s="14"/>
      <c r="E82" s="15"/>
      <c r="F82" s="15">
        <f>SUBTOTAL(109,Tabla11034534544554564791081311381629091206[Total costo])</f>
        <v>48505.666666650002</v>
      </c>
      <c r="G82" s="4"/>
      <c r="H82" s="5" t="s">
        <v>9</v>
      </c>
      <c r="I82" s="12">
        <f>+I80+I81</f>
        <v>48505.666666650002</v>
      </c>
    </row>
    <row r="83" spans="2:9" x14ac:dyDescent="0.3">
      <c r="G83" s="4"/>
      <c r="H83" s="17" t="s">
        <v>10</v>
      </c>
      <c r="I83" s="18">
        <v>135000</v>
      </c>
    </row>
    <row r="84" spans="2:9" x14ac:dyDescent="0.3">
      <c r="G84" s="4"/>
      <c r="H84" s="5" t="s">
        <v>11</v>
      </c>
      <c r="I84" s="12">
        <f>+I83/1.08*0.08</f>
        <v>9999.9999999999982</v>
      </c>
    </row>
    <row r="85" spans="2:9" x14ac:dyDescent="0.3">
      <c r="G85" s="4"/>
      <c r="H85" s="5" t="s">
        <v>12</v>
      </c>
      <c r="I85" s="12">
        <f>+I83-I84</f>
        <v>125000</v>
      </c>
    </row>
    <row r="86" spans="2:9" x14ac:dyDescent="0.3">
      <c r="G86" s="4"/>
      <c r="H86" s="5" t="s">
        <v>13</v>
      </c>
      <c r="I86" s="19">
        <f>+I82/I85</f>
        <v>0.38804533333320002</v>
      </c>
    </row>
    <row r="87" spans="2:9" x14ac:dyDescent="0.3">
      <c r="G87" s="4"/>
      <c r="H87" s="5" t="s">
        <v>14</v>
      </c>
      <c r="I87" s="20">
        <f>+I85-I82</f>
        <v>76494.33333334999</v>
      </c>
    </row>
    <row r="88" spans="2:9" x14ac:dyDescent="0.3">
      <c r="G88" s="4"/>
      <c r="H88" s="5" t="s">
        <v>15</v>
      </c>
      <c r="I88" s="22">
        <f>+I87/I82</f>
        <v>1.5770184926855888</v>
      </c>
    </row>
  </sheetData>
  <mergeCells count="7">
    <mergeCell ref="H68:I68"/>
    <mergeCell ref="H79:I79"/>
    <mergeCell ref="H6:I6"/>
    <mergeCell ref="H19:I19"/>
    <mergeCell ref="H32:I32"/>
    <mergeCell ref="H44:I44"/>
    <mergeCell ref="H57:I57"/>
  </mergeCells>
  <conditionalFormatting sqref="I13">
    <cfRule type="cellIs" dxfId="85" priority="13" operator="lessThan">
      <formula>0.3</formula>
    </cfRule>
    <cfRule type="cellIs" dxfId="84" priority="14" operator="greaterThan">
      <formula>0.3</formula>
    </cfRule>
  </conditionalFormatting>
  <conditionalFormatting sqref="I26">
    <cfRule type="cellIs" dxfId="83" priority="11" operator="lessThan">
      <formula>0.3</formula>
    </cfRule>
    <cfRule type="cellIs" dxfId="82" priority="12" operator="greaterThan">
      <formula>0.3</formula>
    </cfRule>
  </conditionalFormatting>
  <conditionalFormatting sqref="I39">
    <cfRule type="cellIs" dxfId="81" priority="9" operator="lessThan">
      <formula>0.3</formula>
    </cfRule>
    <cfRule type="cellIs" dxfId="80" priority="10" operator="greaterThan">
      <formula>0.3</formula>
    </cfRule>
  </conditionalFormatting>
  <conditionalFormatting sqref="I51">
    <cfRule type="cellIs" dxfId="79" priority="7" operator="lessThan">
      <formula>0.3</formula>
    </cfRule>
    <cfRule type="cellIs" dxfId="78" priority="8" operator="greaterThan">
      <formula>0.3</formula>
    </cfRule>
  </conditionalFormatting>
  <conditionalFormatting sqref="I64">
    <cfRule type="cellIs" dxfId="77" priority="5" operator="lessThan">
      <formula>0.3</formula>
    </cfRule>
    <cfRule type="cellIs" dxfId="76" priority="6" operator="greaterThan">
      <formula>0.3</formula>
    </cfRule>
  </conditionalFormatting>
  <conditionalFormatting sqref="I75">
    <cfRule type="cellIs" dxfId="75" priority="3" operator="lessThan">
      <formula>0.3</formula>
    </cfRule>
    <cfRule type="cellIs" dxfId="74" priority="4" operator="greaterThan">
      <formula>0.3</formula>
    </cfRule>
  </conditionalFormatting>
  <conditionalFormatting sqref="I86">
    <cfRule type="cellIs" dxfId="73" priority="1" operator="lessThan">
      <formula>0.3</formula>
    </cfRule>
    <cfRule type="cellIs" dxfId="72" priority="2" operator="greaterThan">
      <formula>0.3</formula>
    </cfRule>
  </conditionalFormatting>
  <pageMargins left="0.7" right="0.7" top="0.75" bottom="0.75" header="0.3" footer="0.3"/>
  <drawing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28E24-2C6C-4813-8C92-4BBBB1CEF3B0}">
  <dimension ref="B6:I78"/>
  <sheetViews>
    <sheetView showGridLines="0" topLeftCell="A10" workbookViewId="0">
      <selection activeCell="B35" sqref="B35"/>
    </sheetView>
  </sheetViews>
  <sheetFormatPr baseColWidth="10" defaultRowHeight="14.4" x14ac:dyDescent="0.3"/>
  <cols>
    <col min="1" max="1" width="6.33203125" customWidth="1"/>
    <col min="2" max="2" width="40.109375" bestFit="1" customWidth="1"/>
    <col min="7" max="7" width="3.5546875" customWidth="1"/>
    <col min="8" max="8" width="27.33203125" bestFit="1" customWidth="1"/>
  </cols>
  <sheetData>
    <row r="6" spans="2:9" x14ac:dyDescent="0.3">
      <c r="B6" s="1" t="s">
        <v>842</v>
      </c>
      <c r="C6" s="2"/>
      <c r="D6" s="2"/>
      <c r="E6" s="3"/>
      <c r="F6" s="3"/>
      <c r="G6" s="4"/>
      <c r="H6" s="277" t="s">
        <v>0</v>
      </c>
      <c r="I6" s="277"/>
    </row>
    <row r="7" spans="2:9" x14ac:dyDescent="0.3">
      <c r="B7" s="13" t="s">
        <v>1</v>
      </c>
      <c r="C7" s="14" t="s">
        <v>2</v>
      </c>
      <c r="D7" s="14" t="s">
        <v>3</v>
      </c>
      <c r="E7" s="28" t="s">
        <v>4</v>
      </c>
      <c r="F7" s="28" t="s">
        <v>5</v>
      </c>
      <c r="G7" s="4"/>
      <c r="H7" s="5" t="s">
        <v>6</v>
      </c>
      <c r="I7" s="6">
        <f>SUM(Tabla11034534544554564791081351121722993063164246[Total costo])</f>
        <v>13705.200000000003</v>
      </c>
    </row>
    <row r="8" spans="2:9" x14ac:dyDescent="0.3">
      <c r="B8" s="7" t="s">
        <v>275</v>
      </c>
      <c r="C8" s="8" t="s">
        <v>570</v>
      </c>
      <c r="D8" s="9">
        <v>1</v>
      </c>
      <c r="E8" s="10">
        <f>+VLOOKUP(Tabla11034534544554564791081351121722993063164246[[#This Row],[Ingrediente]],Tabla34[#All],3,0)</f>
        <v>13705.200000000003</v>
      </c>
      <c r="F8" s="11">
        <f>+Tabla11034534544554564791081351121722993063164246[[#This Row],[Costo]]*Tabla11034534544554564791081351121722993063164246[[#This Row],[Cant.]]</f>
        <v>13705.200000000003</v>
      </c>
      <c r="G8" s="4"/>
      <c r="H8" s="5" t="s">
        <v>113</v>
      </c>
      <c r="I8" s="12">
        <f>+I7*5%</f>
        <v>685.26000000000022</v>
      </c>
    </row>
    <row r="9" spans="2:9" x14ac:dyDescent="0.3">
      <c r="B9" s="13"/>
      <c r="C9" s="14"/>
      <c r="D9" s="14"/>
      <c r="E9" s="15"/>
      <c r="F9" s="15">
        <f>SUBTOTAL(109,Tabla11034534544554564791081351121722993063164246[Total costo])</f>
        <v>13705.200000000003</v>
      </c>
      <c r="G9" s="4"/>
      <c r="H9" s="5" t="s">
        <v>9</v>
      </c>
      <c r="I9" s="12">
        <f>+I7+I8</f>
        <v>14390.460000000003</v>
      </c>
    </row>
    <row r="10" spans="2:9" x14ac:dyDescent="0.3">
      <c r="G10" s="4"/>
      <c r="H10" s="17" t="s">
        <v>10</v>
      </c>
      <c r="I10" s="18">
        <v>35000</v>
      </c>
    </row>
    <row r="11" spans="2:9" x14ac:dyDescent="0.3">
      <c r="G11" s="4"/>
      <c r="H11" s="5" t="s">
        <v>11</v>
      </c>
      <c r="I11" s="12">
        <f>+I10/1.08*0.08</f>
        <v>2592.5925925925926</v>
      </c>
    </row>
    <row r="12" spans="2:9" x14ac:dyDescent="0.3">
      <c r="G12" s="4"/>
      <c r="H12" s="5" t="s">
        <v>12</v>
      </c>
      <c r="I12" s="12">
        <f>+I10-I11</f>
        <v>32407.407407407409</v>
      </c>
    </row>
    <row r="13" spans="2:9" x14ac:dyDescent="0.3">
      <c r="G13" s="4"/>
      <c r="H13" s="5" t="s">
        <v>13</v>
      </c>
      <c r="I13" s="19">
        <f>+I9/I12</f>
        <v>0.44404848000000008</v>
      </c>
    </row>
    <row r="14" spans="2:9" x14ac:dyDescent="0.3">
      <c r="G14" s="4"/>
      <c r="H14" s="5" t="s">
        <v>14</v>
      </c>
      <c r="I14" s="20">
        <f>+I12-I9</f>
        <v>18016.947407407406</v>
      </c>
    </row>
    <row r="15" spans="2:9" x14ac:dyDescent="0.3">
      <c r="G15" s="4"/>
      <c r="H15" s="5" t="s">
        <v>15</v>
      </c>
      <c r="I15" s="22">
        <f>+I14/I9</f>
        <v>1.2520063575040272</v>
      </c>
    </row>
    <row r="16" spans="2:9" x14ac:dyDescent="0.3">
      <c r="G16" s="4"/>
      <c r="H16" s="4"/>
      <c r="I16" s="23"/>
    </row>
    <row r="17" spans="2:9" x14ac:dyDescent="0.3">
      <c r="G17" s="4"/>
      <c r="H17" s="4"/>
      <c r="I17" s="23"/>
    </row>
    <row r="18" spans="2:9" x14ac:dyDescent="0.3">
      <c r="B18" s="1" t="s">
        <v>840</v>
      </c>
      <c r="C18" s="2"/>
      <c r="D18" s="2"/>
      <c r="E18" s="3"/>
      <c r="F18" s="3"/>
      <c r="G18" s="4"/>
      <c r="H18" s="277" t="s">
        <v>0</v>
      </c>
      <c r="I18" s="277"/>
    </row>
    <row r="19" spans="2:9" x14ac:dyDescent="0.3">
      <c r="B19" s="13" t="s">
        <v>1</v>
      </c>
      <c r="C19" s="14" t="s">
        <v>2</v>
      </c>
      <c r="D19" s="14" t="s">
        <v>3</v>
      </c>
      <c r="E19" s="28" t="s">
        <v>4</v>
      </c>
      <c r="F19" s="28" t="s">
        <v>5</v>
      </c>
      <c r="G19" s="4"/>
      <c r="H19" s="5" t="s">
        <v>6</v>
      </c>
      <c r="I19" s="6">
        <f>SUM(Tabla1103453454455456479108135112172299306316424661[Total costo])</f>
        <v>9136.1333333333332</v>
      </c>
    </row>
    <row r="20" spans="2:9" x14ac:dyDescent="0.3">
      <c r="B20" s="7" t="s">
        <v>677</v>
      </c>
      <c r="C20" s="8" t="s">
        <v>570</v>
      </c>
      <c r="D20" s="9">
        <v>1</v>
      </c>
      <c r="E20" s="10">
        <f>+VLOOKUP(Tabla1103453454455456479108135112172299306316424661[[#This Row],[Ingrediente]],Tabla34[#All],3,0)</f>
        <v>9136.1333333333332</v>
      </c>
      <c r="F20" s="11">
        <f>+Tabla1103453454455456479108135112172299306316424661[[#This Row],[Costo]]*Tabla1103453454455456479108135112172299306316424661[[#This Row],[Cant.]]</f>
        <v>9136.1333333333332</v>
      </c>
      <c r="G20" s="4"/>
      <c r="H20" s="5" t="s">
        <v>113</v>
      </c>
      <c r="I20" s="12">
        <f>+I19*5%</f>
        <v>456.80666666666667</v>
      </c>
    </row>
    <row r="21" spans="2:9" x14ac:dyDescent="0.3">
      <c r="B21" s="13"/>
      <c r="C21" s="14"/>
      <c r="D21" s="14"/>
      <c r="E21" s="15"/>
      <c r="F21" s="15">
        <f>SUBTOTAL(109,Tabla1103453454455456479108135112172299306316424661[Total costo])</f>
        <v>9136.1333333333332</v>
      </c>
      <c r="G21" s="4"/>
      <c r="H21" s="5" t="s">
        <v>9</v>
      </c>
      <c r="I21" s="12">
        <f>+I19+I20</f>
        <v>9592.94</v>
      </c>
    </row>
    <row r="22" spans="2:9" x14ac:dyDescent="0.3">
      <c r="G22" s="4"/>
      <c r="H22" s="17" t="s">
        <v>10</v>
      </c>
      <c r="I22" s="18">
        <v>35000</v>
      </c>
    </row>
    <row r="23" spans="2:9" x14ac:dyDescent="0.3">
      <c r="G23" s="4"/>
      <c r="H23" s="5" t="s">
        <v>11</v>
      </c>
      <c r="I23" s="12">
        <f>+I22/1.08*0.08</f>
        <v>2592.5925925925926</v>
      </c>
    </row>
    <row r="24" spans="2:9" x14ac:dyDescent="0.3">
      <c r="G24" s="4"/>
      <c r="H24" s="5" t="s">
        <v>12</v>
      </c>
      <c r="I24" s="12">
        <f>+I22-I23</f>
        <v>32407.407407407409</v>
      </c>
    </row>
    <row r="25" spans="2:9" x14ac:dyDescent="0.3">
      <c r="G25" s="4"/>
      <c r="H25" s="5" t="s">
        <v>13</v>
      </c>
      <c r="I25" s="19">
        <f>+I21/I24</f>
        <v>0.29601072</v>
      </c>
    </row>
    <row r="26" spans="2:9" x14ac:dyDescent="0.3">
      <c r="G26" s="4"/>
      <c r="H26" s="5" t="s">
        <v>14</v>
      </c>
      <c r="I26" s="20">
        <f>+I24-I21</f>
        <v>22814.467407407406</v>
      </c>
    </row>
    <row r="27" spans="2:9" x14ac:dyDescent="0.3">
      <c r="G27" s="4"/>
      <c r="H27" s="5" t="s">
        <v>15</v>
      </c>
      <c r="I27" s="22">
        <f>+I26/I21</f>
        <v>2.3782560307275356</v>
      </c>
    </row>
    <row r="30" spans="2:9" x14ac:dyDescent="0.3">
      <c r="B30" s="1" t="s">
        <v>841</v>
      </c>
      <c r="C30" s="2"/>
      <c r="D30" s="2"/>
      <c r="E30" s="3"/>
      <c r="F30" s="3"/>
      <c r="G30" s="4"/>
      <c r="H30" s="277" t="s">
        <v>0</v>
      </c>
      <c r="I30" s="277"/>
    </row>
    <row r="31" spans="2:9" x14ac:dyDescent="0.3">
      <c r="B31" s="13" t="s">
        <v>1</v>
      </c>
      <c r="C31" s="14" t="s">
        <v>2</v>
      </c>
      <c r="D31" s="14" t="s">
        <v>3</v>
      </c>
      <c r="E31" s="28" t="s">
        <v>4</v>
      </c>
      <c r="F31" s="28" t="s">
        <v>5</v>
      </c>
      <c r="G31" s="4"/>
      <c r="H31" s="5" t="s">
        <v>6</v>
      </c>
      <c r="I31" s="6">
        <f>SUM(Tabla1103453454455456479108135112172299306316424662[Total costo])</f>
        <v>13705.200000000003</v>
      </c>
    </row>
    <row r="32" spans="2:9" x14ac:dyDescent="0.3">
      <c r="B32" s="7" t="s">
        <v>275</v>
      </c>
      <c r="C32" s="8" t="s">
        <v>570</v>
      </c>
      <c r="D32" s="9">
        <v>1</v>
      </c>
      <c r="E32" s="10">
        <f>+VLOOKUP(Tabla1103453454455456479108135112172299306316424662[[#This Row],[Ingrediente]],Tabla34[#All],3,0)</f>
        <v>13705.200000000003</v>
      </c>
      <c r="F32" s="11">
        <f>+Tabla1103453454455456479108135112172299306316424662[[#This Row],[Costo]]*Tabla1103453454455456479108135112172299306316424662[[#This Row],[Cant.]]</f>
        <v>13705.200000000003</v>
      </c>
      <c r="G32" s="4"/>
      <c r="H32" s="5" t="s">
        <v>113</v>
      </c>
      <c r="I32" s="12">
        <f>+I31*5%</f>
        <v>685.26000000000022</v>
      </c>
    </row>
    <row r="33" spans="2:9" x14ac:dyDescent="0.3">
      <c r="B33" s="13"/>
      <c r="C33" s="14"/>
      <c r="D33" s="14"/>
      <c r="E33" s="15"/>
      <c r="F33" s="15">
        <f>SUBTOTAL(109,Tabla1103453454455456479108135112172299306316424662[Total costo])</f>
        <v>13705.200000000003</v>
      </c>
      <c r="G33" s="4"/>
      <c r="H33" s="5" t="s">
        <v>9</v>
      </c>
      <c r="I33" s="12">
        <f>+I31+I32</f>
        <v>14390.460000000003</v>
      </c>
    </row>
    <row r="34" spans="2:9" x14ac:dyDescent="0.3">
      <c r="G34" s="4"/>
      <c r="H34" s="17" t="s">
        <v>10</v>
      </c>
      <c r="I34" s="18">
        <v>35000</v>
      </c>
    </row>
    <row r="35" spans="2:9" x14ac:dyDescent="0.3">
      <c r="G35" s="4"/>
      <c r="H35" s="5" t="s">
        <v>11</v>
      </c>
      <c r="I35" s="12">
        <f>+I34/1.08*0.08</f>
        <v>2592.5925925925926</v>
      </c>
    </row>
    <row r="36" spans="2:9" x14ac:dyDescent="0.3">
      <c r="G36" s="4"/>
      <c r="H36" s="5" t="s">
        <v>12</v>
      </c>
      <c r="I36" s="12">
        <f>+I34-I35</f>
        <v>32407.407407407409</v>
      </c>
    </row>
    <row r="37" spans="2:9" x14ac:dyDescent="0.3">
      <c r="G37" s="4"/>
      <c r="H37" s="5" t="s">
        <v>13</v>
      </c>
      <c r="I37" s="19">
        <f>+I33/I36</f>
        <v>0.44404848000000008</v>
      </c>
    </row>
    <row r="38" spans="2:9" x14ac:dyDescent="0.3">
      <c r="G38" s="4"/>
      <c r="H38" s="5" t="s">
        <v>14</v>
      </c>
      <c r="I38" s="20">
        <f>+I36-I33</f>
        <v>18016.947407407406</v>
      </c>
    </row>
    <row r="39" spans="2:9" x14ac:dyDescent="0.3">
      <c r="G39" s="4"/>
      <c r="H39" s="5" t="s">
        <v>15</v>
      </c>
      <c r="I39" s="22">
        <f>+I38/I33</f>
        <v>1.2520063575040272</v>
      </c>
    </row>
    <row r="43" spans="2:9" x14ac:dyDescent="0.3">
      <c r="B43" s="1" t="s">
        <v>782</v>
      </c>
      <c r="C43" s="2"/>
      <c r="D43" s="2"/>
      <c r="E43" s="3"/>
      <c r="F43" s="3"/>
      <c r="G43" s="4"/>
      <c r="H43" s="277" t="s">
        <v>0</v>
      </c>
      <c r="I43" s="277"/>
    </row>
    <row r="44" spans="2:9" x14ac:dyDescent="0.3">
      <c r="B44" s="13" t="s">
        <v>1</v>
      </c>
      <c r="C44" s="14" t="s">
        <v>2</v>
      </c>
      <c r="D44" s="14" t="s">
        <v>3</v>
      </c>
      <c r="E44" s="28" t="s">
        <v>4</v>
      </c>
      <c r="F44" s="28" t="s">
        <v>5</v>
      </c>
      <c r="G44" s="4"/>
      <c r="H44" s="5" t="s">
        <v>6</v>
      </c>
      <c r="I44" s="6">
        <f>SUM(Tabla1103453454455456479108135112172299306316424673[Total costo])</f>
        <v>9700</v>
      </c>
    </row>
    <row r="45" spans="2:9" x14ac:dyDescent="0.3">
      <c r="B45" s="7" t="s">
        <v>678</v>
      </c>
      <c r="C45" s="8" t="s">
        <v>570</v>
      </c>
      <c r="D45" s="9">
        <v>1</v>
      </c>
      <c r="E45" s="10">
        <f>+VLOOKUP(Tabla1103453454455456479108135112172299306316424673[[#This Row],[Ingrediente]],Tabla34[#All],3,0)</f>
        <v>9700</v>
      </c>
      <c r="F45" s="11">
        <f>+Tabla1103453454455456479108135112172299306316424673[[#This Row],[Costo]]*Tabla1103453454455456479108135112172299306316424673[[#This Row],[Cant.]]</f>
        <v>9700</v>
      </c>
      <c r="G45" s="4"/>
      <c r="H45" s="5" t="s">
        <v>113</v>
      </c>
      <c r="I45" s="12">
        <f>+I44*5%</f>
        <v>485</v>
      </c>
    </row>
    <row r="46" spans="2:9" x14ac:dyDescent="0.3">
      <c r="B46" s="13"/>
      <c r="C46" s="14"/>
      <c r="D46" s="14"/>
      <c r="E46" s="15"/>
      <c r="F46" s="15">
        <f>SUBTOTAL(109,Tabla1103453454455456479108135112172299306316424673[Total costo])</f>
        <v>9700</v>
      </c>
      <c r="G46" s="4"/>
      <c r="H46" s="5" t="s">
        <v>9</v>
      </c>
      <c r="I46" s="12">
        <f>+I44+I45</f>
        <v>10185</v>
      </c>
    </row>
    <row r="47" spans="2:9" x14ac:dyDescent="0.3">
      <c r="G47" s="4"/>
      <c r="H47" s="17" t="s">
        <v>10</v>
      </c>
      <c r="I47" s="18">
        <v>28000</v>
      </c>
    </row>
    <row r="48" spans="2:9" x14ac:dyDescent="0.3">
      <c r="G48" s="4"/>
      <c r="H48" s="5" t="s">
        <v>11</v>
      </c>
      <c r="I48" s="12">
        <f>+I47/1.08*0.08</f>
        <v>2074.0740740740739</v>
      </c>
    </row>
    <row r="49" spans="2:9" x14ac:dyDescent="0.3">
      <c r="G49" s="4"/>
      <c r="H49" s="5" t="s">
        <v>12</v>
      </c>
      <c r="I49" s="12">
        <f>+I47-I48</f>
        <v>25925.925925925927</v>
      </c>
    </row>
    <row r="50" spans="2:9" x14ac:dyDescent="0.3">
      <c r="G50" s="4"/>
      <c r="H50" s="5" t="s">
        <v>13</v>
      </c>
      <c r="I50" s="19">
        <f>+I46/I49</f>
        <v>0.39284999999999998</v>
      </c>
    </row>
    <row r="51" spans="2:9" x14ac:dyDescent="0.3">
      <c r="G51" s="4"/>
      <c r="H51" s="5" t="s">
        <v>14</v>
      </c>
      <c r="I51" s="20">
        <f>+I49-I46</f>
        <v>15740.925925925927</v>
      </c>
    </row>
    <row r="52" spans="2:9" x14ac:dyDescent="0.3">
      <c r="G52" s="4"/>
      <c r="H52" s="5" t="s">
        <v>15</v>
      </c>
      <c r="I52" s="22">
        <f>+I51/I46</f>
        <v>1.5455008272877691</v>
      </c>
    </row>
    <row r="56" spans="2:9" x14ac:dyDescent="0.3">
      <c r="B56" s="1" t="s">
        <v>276</v>
      </c>
      <c r="C56" s="2"/>
      <c r="D56" s="2"/>
      <c r="E56" s="3"/>
      <c r="F56" s="3"/>
      <c r="G56" s="4"/>
      <c r="H56" s="277" t="s">
        <v>0</v>
      </c>
      <c r="I56" s="277"/>
    </row>
    <row r="57" spans="2:9" x14ac:dyDescent="0.3">
      <c r="B57" s="13" t="s">
        <v>1</v>
      </c>
      <c r="C57" s="14" t="s">
        <v>2</v>
      </c>
      <c r="D57" s="14" t="s">
        <v>3</v>
      </c>
      <c r="E57" s="28" t="s">
        <v>4</v>
      </c>
      <c r="F57" s="28" t="s">
        <v>5</v>
      </c>
      <c r="G57" s="4"/>
      <c r="H57" s="5" t="s">
        <v>6</v>
      </c>
      <c r="I57" s="6">
        <f>SUM(Tabla1103453454455456479108135112172299306316424674[Total costo])</f>
        <v>6467.9333333333334</v>
      </c>
    </row>
    <row r="58" spans="2:9" x14ac:dyDescent="0.3">
      <c r="B58" s="7" t="s">
        <v>674</v>
      </c>
      <c r="C58" s="8" t="s">
        <v>570</v>
      </c>
      <c r="D58" s="9">
        <v>1</v>
      </c>
      <c r="E58" s="10">
        <f>+VLOOKUP(Tabla1103453454455456479108135112172299306316424674[[#This Row],[Ingrediente]],Tabla34[#All],3,0)</f>
        <v>6467.9333333333334</v>
      </c>
      <c r="F58" s="11">
        <f>+Tabla1103453454455456479108135112172299306316424674[[#This Row],[Costo]]*Tabla1103453454455456479108135112172299306316424674[[#This Row],[Cant.]]</f>
        <v>6467.9333333333334</v>
      </c>
      <c r="G58" s="4"/>
      <c r="H58" s="5" t="s">
        <v>113</v>
      </c>
      <c r="I58" s="12">
        <f>+I57*5%</f>
        <v>323.3966666666667</v>
      </c>
    </row>
    <row r="59" spans="2:9" x14ac:dyDescent="0.3">
      <c r="B59" s="13"/>
      <c r="C59" s="14"/>
      <c r="D59" s="14"/>
      <c r="E59" s="15"/>
      <c r="F59" s="15">
        <f>SUBTOTAL(109,Tabla1103453454455456479108135112172299306316424674[Total costo])</f>
        <v>6467.9333333333334</v>
      </c>
      <c r="G59" s="4"/>
      <c r="H59" s="5" t="s">
        <v>9</v>
      </c>
      <c r="I59" s="12">
        <f>+I57+I58</f>
        <v>6791.33</v>
      </c>
    </row>
    <row r="60" spans="2:9" x14ac:dyDescent="0.3">
      <c r="G60" s="4"/>
      <c r="H60" s="17" t="s">
        <v>10</v>
      </c>
      <c r="I60" s="18">
        <v>28000</v>
      </c>
    </row>
    <row r="61" spans="2:9" x14ac:dyDescent="0.3">
      <c r="G61" s="4"/>
      <c r="H61" s="5" t="s">
        <v>11</v>
      </c>
      <c r="I61" s="12">
        <f>+I60/1.08*0.08</f>
        <v>2074.0740740740739</v>
      </c>
    </row>
    <row r="62" spans="2:9" x14ac:dyDescent="0.3">
      <c r="G62" s="4"/>
      <c r="H62" s="5" t="s">
        <v>12</v>
      </c>
      <c r="I62" s="12">
        <f>+I60-I61</f>
        <v>25925.925925925927</v>
      </c>
    </row>
    <row r="63" spans="2:9" x14ac:dyDescent="0.3">
      <c r="G63" s="4"/>
      <c r="H63" s="5" t="s">
        <v>13</v>
      </c>
      <c r="I63" s="19">
        <f>+I59/I62</f>
        <v>0.2619513</v>
      </c>
    </row>
    <row r="64" spans="2:9" x14ac:dyDescent="0.3">
      <c r="G64" s="4"/>
      <c r="H64" s="5" t="s">
        <v>14</v>
      </c>
      <c r="I64" s="20">
        <f>+I62-I59</f>
        <v>19134.595925925925</v>
      </c>
    </row>
    <row r="65" spans="2:9" x14ac:dyDescent="0.3">
      <c r="G65" s="4"/>
      <c r="H65" s="5" t="s">
        <v>15</v>
      </c>
      <c r="I65" s="22">
        <f>+I64/I59</f>
        <v>2.817503482517552</v>
      </c>
    </row>
    <row r="69" spans="2:9" x14ac:dyDescent="0.3">
      <c r="B69" s="1" t="s">
        <v>837</v>
      </c>
      <c r="C69" s="2"/>
      <c r="D69" s="2"/>
      <c r="E69" s="3"/>
      <c r="F69" s="3"/>
      <c r="G69" s="4"/>
      <c r="H69" s="277" t="s">
        <v>0</v>
      </c>
      <c r="I69" s="277"/>
    </row>
    <row r="70" spans="2:9" x14ac:dyDescent="0.3">
      <c r="B70" s="13" t="s">
        <v>1</v>
      </c>
      <c r="C70" s="14" t="s">
        <v>2</v>
      </c>
      <c r="D70" s="14" t="s">
        <v>3</v>
      </c>
      <c r="E70" s="28" t="s">
        <v>4</v>
      </c>
      <c r="F70" s="28" t="s">
        <v>5</v>
      </c>
      <c r="G70" s="4"/>
      <c r="H70" s="5" t="s">
        <v>6</v>
      </c>
      <c r="I70" s="6">
        <f>SUM(Tabla1103453454455456479108135112172299306316424684[Total costo])</f>
        <v>9701.1333333300008</v>
      </c>
    </row>
    <row r="71" spans="2:9" x14ac:dyDescent="0.3">
      <c r="B71" s="7" t="s">
        <v>42</v>
      </c>
      <c r="C71" s="8" t="s">
        <v>570</v>
      </c>
      <c r="D71" s="9">
        <v>1</v>
      </c>
      <c r="E71" s="10">
        <f>+VLOOKUP(Tabla1103453454455456479108135112172299306316424684[[#This Row],[Ingrediente]],Tabla34[#All],3,0)</f>
        <v>9701.1333333300008</v>
      </c>
      <c r="F71" s="11">
        <f>+Tabla1103453454455456479108135112172299306316424684[[#This Row],[Costo]]*Tabla1103453454455456479108135112172299306316424684[[#This Row],[Cant.]]</f>
        <v>9701.1333333300008</v>
      </c>
      <c r="G71" s="4"/>
      <c r="H71" s="5" t="s">
        <v>113</v>
      </c>
      <c r="I71" s="12">
        <f>+I70*5%</f>
        <v>485.05666666650006</v>
      </c>
    </row>
    <row r="72" spans="2:9" x14ac:dyDescent="0.3">
      <c r="B72" s="13"/>
      <c r="C72" s="14"/>
      <c r="D72" s="14"/>
      <c r="E72" s="15"/>
      <c r="F72" s="15">
        <f>SUBTOTAL(109,Tabla1103453454455456479108135112172299306316424684[Total costo])</f>
        <v>9701.1333333300008</v>
      </c>
      <c r="G72" s="4"/>
      <c r="H72" s="5" t="s">
        <v>9</v>
      </c>
      <c r="I72" s="12">
        <f>+I70+I71</f>
        <v>10186.189999996501</v>
      </c>
    </row>
    <row r="73" spans="2:9" x14ac:dyDescent="0.3">
      <c r="G73" s="4"/>
      <c r="H73" s="17" t="s">
        <v>10</v>
      </c>
      <c r="I73" s="18">
        <v>28000</v>
      </c>
    </row>
    <row r="74" spans="2:9" x14ac:dyDescent="0.3">
      <c r="G74" s="4"/>
      <c r="H74" s="5" t="s">
        <v>11</v>
      </c>
      <c r="I74" s="12">
        <f>+I73/1.08*0.08</f>
        <v>2074.0740740740739</v>
      </c>
    </row>
    <row r="75" spans="2:9" x14ac:dyDescent="0.3">
      <c r="G75" s="4"/>
      <c r="H75" s="5" t="s">
        <v>12</v>
      </c>
      <c r="I75" s="12">
        <f>+I73-I74</f>
        <v>25925.925925925927</v>
      </c>
    </row>
    <row r="76" spans="2:9" x14ac:dyDescent="0.3">
      <c r="G76" s="4"/>
      <c r="H76" s="5" t="s">
        <v>13</v>
      </c>
      <c r="I76" s="19">
        <f>+I72/I75</f>
        <v>0.39289589999986502</v>
      </c>
    </row>
    <row r="77" spans="2:9" x14ac:dyDescent="0.3">
      <c r="G77" s="4"/>
      <c r="H77" s="5" t="s">
        <v>14</v>
      </c>
      <c r="I77" s="20">
        <f>+I75-I72</f>
        <v>15739.735925929426</v>
      </c>
    </row>
    <row r="78" spans="2:9" x14ac:dyDescent="0.3">
      <c r="G78" s="4"/>
      <c r="H78" s="5" t="s">
        <v>15</v>
      </c>
      <c r="I78" s="22">
        <f>+I77/I72</f>
        <v>1.5452034495660136</v>
      </c>
    </row>
  </sheetData>
  <mergeCells count="6">
    <mergeCell ref="H69:I69"/>
    <mergeCell ref="H6:I6"/>
    <mergeCell ref="H18:I18"/>
    <mergeCell ref="H30:I30"/>
    <mergeCell ref="H43:I43"/>
    <mergeCell ref="H56:I56"/>
  </mergeCells>
  <conditionalFormatting sqref="I13">
    <cfRule type="cellIs" dxfId="71" priority="23" operator="lessThan">
      <formula>0.3</formula>
    </cfRule>
    <cfRule type="cellIs" dxfId="70" priority="24" operator="greaterThan">
      <formula>0.3</formula>
    </cfRule>
  </conditionalFormatting>
  <conditionalFormatting sqref="I25">
    <cfRule type="cellIs" dxfId="69" priority="9" operator="lessThan">
      <formula>0.3</formula>
    </cfRule>
    <cfRule type="cellIs" dxfId="68" priority="10" operator="greaterThan">
      <formula>0.3</formula>
    </cfRule>
  </conditionalFormatting>
  <conditionalFormatting sqref="I37">
    <cfRule type="cellIs" dxfId="67" priority="7" operator="lessThan">
      <formula>0.3</formula>
    </cfRule>
    <cfRule type="cellIs" dxfId="66" priority="8" operator="greaterThan">
      <formula>0.3</formula>
    </cfRule>
  </conditionalFormatting>
  <conditionalFormatting sqref="I50">
    <cfRule type="cellIs" dxfId="65" priority="5" operator="lessThan">
      <formula>0.3</formula>
    </cfRule>
    <cfRule type="cellIs" dxfId="64" priority="6" operator="greaterThan">
      <formula>0.3</formula>
    </cfRule>
  </conditionalFormatting>
  <conditionalFormatting sqref="I63">
    <cfRule type="cellIs" dxfId="63" priority="3" operator="lessThan">
      <formula>0.3</formula>
    </cfRule>
    <cfRule type="cellIs" dxfId="62" priority="4" operator="greaterThan">
      <formula>0.3</formula>
    </cfRule>
  </conditionalFormatting>
  <conditionalFormatting sqref="I76">
    <cfRule type="cellIs" dxfId="61" priority="1" operator="lessThan">
      <formula>0.3</formula>
    </cfRule>
    <cfRule type="cellIs" dxfId="60" priority="2" operator="greaterThan">
      <formula>0.3</formula>
    </cfRule>
  </conditionalFormatting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65863-9273-48B4-B38A-2CB74259A70F}">
  <dimension ref="B6:K84"/>
  <sheetViews>
    <sheetView showGridLines="0" topLeftCell="A73" zoomScale="90" zoomScaleNormal="90" workbookViewId="0">
      <selection activeCell="B13" sqref="B13"/>
    </sheetView>
  </sheetViews>
  <sheetFormatPr baseColWidth="10" defaultRowHeight="14.4" x14ac:dyDescent="0.3"/>
  <cols>
    <col min="1" max="1" width="6.33203125" customWidth="1"/>
    <col min="2" max="2" width="40.109375" bestFit="1" customWidth="1"/>
    <col min="3" max="6" width="7.77734375" customWidth="1"/>
    <col min="7" max="8" width="10.77734375" customWidth="1"/>
    <col min="9" max="9" width="3.77734375" customWidth="1"/>
    <col min="10" max="10" width="37.33203125" bestFit="1" customWidth="1"/>
  </cols>
  <sheetData>
    <row r="6" spans="2:11" x14ac:dyDescent="0.3">
      <c r="I6" s="4"/>
    </row>
    <row r="7" spans="2:11" x14ac:dyDescent="0.3">
      <c r="B7" s="1" t="s">
        <v>123</v>
      </c>
      <c r="C7" s="2"/>
      <c r="D7" s="2"/>
      <c r="E7" s="3"/>
      <c r="F7" s="3"/>
      <c r="G7" s="99"/>
      <c r="H7" s="99"/>
      <c r="I7" s="4"/>
      <c r="J7" s="277" t="s">
        <v>0</v>
      </c>
      <c r="K7" s="277"/>
    </row>
    <row r="8" spans="2:11" ht="39.6" x14ac:dyDescent="0.3">
      <c r="B8" s="91" t="s">
        <v>1</v>
      </c>
      <c r="C8" s="14" t="s">
        <v>2</v>
      </c>
      <c r="D8" s="87" t="s">
        <v>571</v>
      </c>
      <c r="E8" s="87" t="s">
        <v>572</v>
      </c>
      <c r="F8" s="87" t="s">
        <v>573</v>
      </c>
      <c r="G8" s="92" t="s">
        <v>4</v>
      </c>
      <c r="H8" s="92" t="s">
        <v>5</v>
      </c>
      <c r="I8" s="4"/>
      <c r="J8" s="5" t="s">
        <v>6</v>
      </c>
      <c r="K8" s="6">
        <f>SUM(Tabla1103453454455456479108130137161[Total costo])</f>
        <v>84415.20636478001</v>
      </c>
    </row>
    <row r="9" spans="2:11" x14ac:dyDescent="0.3">
      <c r="B9" s="21" t="s">
        <v>38</v>
      </c>
      <c r="C9" s="8" t="s">
        <v>188</v>
      </c>
      <c r="D9" s="9">
        <v>50</v>
      </c>
      <c r="E9" s="9">
        <v>0</v>
      </c>
      <c r="F9" s="9">
        <v>50</v>
      </c>
      <c r="G9" s="10">
        <f>+VLOOKUP(Tabla1103453454455456479108130137161[[#This Row],[Ingrediente]],Tabla34[#All],3,0)</f>
        <v>18.859000000000002</v>
      </c>
      <c r="H9" s="11">
        <f>+Tabla1103453454455456479108130137161[[#This Row],[Costo]]*Tabla1103453454455456479108130137161[[#This Row],[Unidades]]</f>
        <v>942.95</v>
      </c>
      <c r="I9" s="4"/>
      <c r="J9" s="5" t="s">
        <v>113</v>
      </c>
      <c r="K9" s="12">
        <f>+K8*5%</f>
        <v>4220.7603182390003</v>
      </c>
    </row>
    <row r="10" spans="2:11" x14ac:dyDescent="0.3">
      <c r="B10" s="21" t="s">
        <v>480</v>
      </c>
      <c r="C10" s="8" t="s">
        <v>188</v>
      </c>
      <c r="D10" s="9">
        <v>1</v>
      </c>
      <c r="E10" s="9">
        <v>0</v>
      </c>
      <c r="F10" s="9">
        <v>1</v>
      </c>
      <c r="G10" s="10">
        <f>+VLOOKUP(Tabla1103453454455456479108130137161[[#This Row],[Ingrediente]],Tabla34[#All],3,0)</f>
        <v>328.34</v>
      </c>
      <c r="H10" s="11">
        <f>+Tabla1103453454455456479108130137161[[#This Row],[Costo]]*Tabla1103453454455456479108130137161[[#This Row],[Unidades]]</f>
        <v>328.34</v>
      </c>
      <c r="I10" s="4"/>
      <c r="J10" s="5" t="s">
        <v>9</v>
      </c>
      <c r="K10" s="12">
        <f>+K8+K9</f>
        <v>88635.966683019011</v>
      </c>
    </row>
    <row r="11" spans="2:11" x14ac:dyDescent="0.3">
      <c r="B11" s="21" t="s">
        <v>370</v>
      </c>
      <c r="C11" s="8" t="s">
        <v>570</v>
      </c>
      <c r="D11" s="9">
        <v>2</v>
      </c>
      <c r="E11" s="9">
        <v>0</v>
      </c>
      <c r="F11" s="9">
        <v>2</v>
      </c>
      <c r="G11" s="10">
        <f>+VLOOKUP(Tabla1103453454455456479108130137161[[#This Row],[Ingrediente]],Tabla34[#All],3,0)</f>
        <v>17250</v>
      </c>
      <c r="H11" s="11">
        <f>+Tabla1103453454455456479108130137161[[#This Row],[Costo]]*Tabla1103453454455456479108130137161[[#This Row],[Unidades]]</f>
        <v>34500</v>
      </c>
      <c r="I11" s="4"/>
      <c r="J11" s="17" t="s">
        <v>10</v>
      </c>
      <c r="K11" s="18">
        <v>299000</v>
      </c>
    </row>
    <row r="12" spans="2:11" x14ac:dyDescent="0.3">
      <c r="B12" s="7" t="s">
        <v>388</v>
      </c>
      <c r="C12" s="8" t="s">
        <v>570</v>
      </c>
      <c r="D12" s="9">
        <v>5</v>
      </c>
      <c r="E12" s="9">
        <v>0</v>
      </c>
      <c r="F12" s="9">
        <v>5</v>
      </c>
      <c r="G12" s="10">
        <f>+VLOOKUP(Tabla1103453454455456479108130137161[[#This Row],[Ingrediente]],Tabla34[#All],3,0)</f>
        <v>1300</v>
      </c>
      <c r="H12" s="11">
        <f>+Tabla1103453454455456479108130137161[[#This Row],[Costo]]*Tabla1103453454455456479108130137161[[#This Row],[Unidades]]</f>
        <v>6500</v>
      </c>
      <c r="I12" s="4"/>
      <c r="J12" s="5" t="s">
        <v>11</v>
      </c>
      <c r="K12" s="12">
        <f>+K11/1.08*0.08</f>
        <v>22148.14814814815</v>
      </c>
    </row>
    <row r="13" spans="2:11" x14ac:dyDescent="0.3">
      <c r="B13" s="7" t="s">
        <v>514</v>
      </c>
      <c r="C13" s="8" t="s">
        <v>188</v>
      </c>
      <c r="D13" s="9">
        <v>80</v>
      </c>
      <c r="E13" s="9">
        <v>0</v>
      </c>
      <c r="F13" s="9">
        <v>80</v>
      </c>
      <c r="G13" s="10">
        <f>+VLOOKUP(Tabla1103453454455456479108130137161[[#This Row],[Ingrediente]],Tabla34[#All],3,0)</f>
        <v>7.5</v>
      </c>
      <c r="H13" s="11">
        <f>+Tabla1103453454455456479108130137161[[#This Row],[Costo]]*Tabla1103453454455456479108130137161[[#This Row],[Unidades]]</f>
        <v>600</v>
      </c>
      <c r="I13" s="4"/>
      <c r="J13" s="5" t="s">
        <v>12</v>
      </c>
      <c r="K13" s="12">
        <f>+K11-K12</f>
        <v>276851.85185185185</v>
      </c>
    </row>
    <row r="14" spans="2:11" x14ac:dyDescent="0.3">
      <c r="B14" s="21" t="s">
        <v>384</v>
      </c>
      <c r="C14" s="8" t="s">
        <v>188</v>
      </c>
      <c r="D14" s="9">
        <v>79.999996499999995</v>
      </c>
      <c r="E14" s="9">
        <v>10</v>
      </c>
      <c r="F14" s="9">
        <v>88.888885000000002</v>
      </c>
      <c r="G14" s="10">
        <f>+VLOOKUP(Tabla1103453454455456479108130137161[[#This Row],[Ingrediente]],Tabla34[#All],3,0)</f>
        <v>4.5</v>
      </c>
      <c r="H14" s="11">
        <f>+Tabla1103453454455456479108130137161[[#This Row],[Costo]]*Tabla1103453454455456479108130137161[[#This Row],[Unidades]]</f>
        <v>399.99998249999999</v>
      </c>
      <c r="I14" s="4"/>
      <c r="J14" s="5" t="s">
        <v>13</v>
      </c>
      <c r="K14" s="19">
        <f>+K10/K13</f>
        <v>0.32015666895538641</v>
      </c>
    </row>
    <row r="15" spans="2:11" x14ac:dyDescent="0.3">
      <c r="B15" s="21" t="s">
        <v>420</v>
      </c>
      <c r="C15" s="8" t="s">
        <v>188</v>
      </c>
      <c r="D15" s="9">
        <v>40</v>
      </c>
      <c r="E15" s="9">
        <v>0</v>
      </c>
      <c r="F15" s="9">
        <v>40</v>
      </c>
      <c r="G15" s="10">
        <f>+VLOOKUP(Tabla1103453454455456479108130137161[[#This Row],[Ingrediente]],Tabla34[#All],3,0)</f>
        <v>8.9250000000000007</v>
      </c>
      <c r="H15" s="11">
        <f>+Tabla1103453454455456479108130137161[[#This Row],[Costo]]*Tabla1103453454455456479108130137161[[#This Row],[Unidades]]</f>
        <v>357</v>
      </c>
      <c r="I15" s="4"/>
      <c r="J15" s="5" t="s">
        <v>14</v>
      </c>
      <c r="K15" s="20">
        <f>+K13-K10</f>
        <v>188215.88516883284</v>
      </c>
    </row>
    <row r="16" spans="2:11" x14ac:dyDescent="0.3">
      <c r="B16" s="7" t="s">
        <v>366</v>
      </c>
      <c r="C16" s="8" t="s">
        <v>570</v>
      </c>
      <c r="D16" s="9">
        <v>1</v>
      </c>
      <c r="E16" s="9">
        <v>0</v>
      </c>
      <c r="F16" s="9">
        <v>1</v>
      </c>
      <c r="G16" s="10">
        <f>+VLOOKUP(Tabla1103453454455456479108130137161[[#This Row],[Ingrediente]],Tabla34[#All],3,0)</f>
        <v>12280</v>
      </c>
      <c r="H16" s="11">
        <f>+Tabla1103453454455456479108130137161[[#This Row],[Costo]]*Tabla1103453454455456479108130137161[[#This Row],[Unidades]]</f>
        <v>12280</v>
      </c>
      <c r="I16" s="4"/>
      <c r="J16" s="5" t="s">
        <v>15</v>
      </c>
      <c r="K16" s="22">
        <f>+K15/K10</f>
        <v>2.1234707784248883</v>
      </c>
    </row>
    <row r="17" spans="2:11" x14ac:dyDescent="0.3">
      <c r="B17" s="7" t="s">
        <v>228</v>
      </c>
      <c r="C17" s="8" t="s">
        <v>188</v>
      </c>
      <c r="D17" s="9">
        <v>1</v>
      </c>
      <c r="E17" s="9">
        <v>0</v>
      </c>
      <c r="F17" s="9">
        <v>1</v>
      </c>
      <c r="G17" s="10">
        <f>+VLOOKUP(Tabla1103453454455456479108130137161[[#This Row],[Ingrediente]],Tabla34[#All],3,0)</f>
        <v>16.11097131</v>
      </c>
      <c r="H17" s="11">
        <f>+Tabla1103453454455456479108130137161[[#This Row],[Costo]]*Tabla1103453454455456479108130137161[[#This Row],[Unidades]]</f>
        <v>16.11097131</v>
      </c>
      <c r="I17" s="4"/>
      <c r="J17" s="4"/>
      <c r="K17" s="23"/>
    </row>
    <row r="18" spans="2:11" x14ac:dyDescent="0.3">
      <c r="B18" s="21" t="s">
        <v>137</v>
      </c>
      <c r="C18" s="8" t="s">
        <v>188</v>
      </c>
      <c r="D18" s="9">
        <v>80</v>
      </c>
      <c r="E18" s="9">
        <v>0</v>
      </c>
      <c r="F18" s="9">
        <v>80</v>
      </c>
      <c r="G18" s="10">
        <f>+VLOOKUP(Tabla1103453454455456479108130137161[[#This Row],[Ingrediente]],Tabla34[#All],3,0)</f>
        <v>11.13267572</v>
      </c>
      <c r="H18" s="11">
        <f>+Tabla1103453454455456479108130137161[[#This Row],[Costo]]*Tabla1103453454455456479108130137161[[#This Row],[Unidades]]</f>
        <v>890.61405760000002</v>
      </c>
      <c r="I18" s="24"/>
      <c r="J18" s="4"/>
      <c r="K18" s="23"/>
    </row>
    <row r="19" spans="2:11" x14ac:dyDescent="0.3">
      <c r="B19" s="7" t="s">
        <v>565</v>
      </c>
      <c r="C19" s="8" t="s">
        <v>188</v>
      </c>
      <c r="D19" s="9">
        <v>50</v>
      </c>
      <c r="E19" s="9">
        <v>0</v>
      </c>
      <c r="F19" s="9">
        <v>50</v>
      </c>
      <c r="G19" s="10">
        <f>+VLOOKUP(Tabla1103453454455456479108130137161[[#This Row],[Ingrediente]],Tabla34[#All],3,0)</f>
        <v>64.196281729999995</v>
      </c>
      <c r="H19" s="11">
        <f>+Tabla1103453454455456479108130137161[[#This Row],[Costo]]*Tabla1103453454455456479108130137161[[#This Row],[Unidades]]</f>
        <v>3209.8140864999996</v>
      </c>
      <c r="J19" s="24"/>
      <c r="K19" s="24"/>
    </row>
    <row r="20" spans="2:11" x14ac:dyDescent="0.3">
      <c r="B20" s="7" t="s">
        <v>74</v>
      </c>
      <c r="C20" s="8" t="s">
        <v>188</v>
      </c>
      <c r="D20" s="9">
        <v>60</v>
      </c>
      <c r="E20" s="9">
        <v>0</v>
      </c>
      <c r="F20" s="9">
        <v>60</v>
      </c>
      <c r="G20" s="10">
        <f>+VLOOKUP(Tabla1103453454455456479108130137161[[#This Row],[Ingrediente]],Tabla34[#All],3,0)</f>
        <v>12.25316591</v>
      </c>
      <c r="H20" s="11">
        <f>+Tabla1103453454455456479108130137161[[#This Row],[Costo]]*Tabla1103453454455456479108130137161[[#This Row],[Unidades]]</f>
        <v>735.18995459999996</v>
      </c>
    </row>
    <row r="21" spans="2:11" x14ac:dyDescent="0.3">
      <c r="B21" s="7" t="s">
        <v>363</v>
      </c>
      <c r="C21" s="8" t="s">
        <v>570</v>
      </c>
      <c r="D21" s="9">
        <v>1</v>
      </c>
      <c r="E21" s="9">
        <v>0</v>
      </c>
      <c r="F21" s="9">
        <v>1</v>
      </c>
      <c r="G21" s="10">
        <f>+VLOOKUP(Tabla1103453454455456479108130137161[[#This Row],[Ingrediente]],Tabla34[#All],3,0)</f>
        <v>20955.187312270002</v>
      </c>
      <c r="H21" s="11">
        <f>+Tabla1103453454455456479108130137161[[#This Row],[Costo]]*Tabla1103453454455456479108130137161[[#This Row],[Unidades]]</f>
        <v>20955.187312270002</v>
      </c>
    </row>
    <row r="22" spans="2:11" x14ac:dyDescent="0.3">
      <c r="B22" s="7" t="s">
        <v>80</v>
      </c>
      <c r="C22" s="8" t="s">
        <v>188</v>
      </c>
      <c r="D22" s="9">
        <v>150</v>
      </c>
      <c r="E22" s="9">
        <v>0</v>
      </c>
      <c r="F22" s="9">
        <v>150</v>
      </c>
      <c r="G22" s="10">
        <f>+VLOOKUP(Tabla1103453454455456479108130137161[[#This Row],[Ingrediente]],Tabla34[#All],3,0)</f>
        <v>18</v>
      </c>
      <c r="H22" s="11">
        <f>+Tabla1103453454455456479108130137161[[#This Row],[Costo]]*Tabla1103453454455456479108130137161[[#This Row],[Unidades]]</f>
        <v>2700</v>
      </c>
    </row>
    <row r="23" spans="2:11" x14ac:dyDescent="0.3">
      <c r="B23" s="13"/>
      <c r="C23" s="14"/>
      <c r="D23" s="14"/>
      <c r="E23" s="14"/>
      <c r="F23" s="14"/>
      <c r="G23" s="15"/>
      <c r="H23" s="15">
        <f>SUBTOTAL(109,Tabla1103453454455456479108130137161[Total costo])</f>
        <v>84415.20636478001</v>
      </c>
    </row>
    <row r="24" spans="2:11" x14ac:dyDescent="0.3">
      <c r="I24" s="4"/>
    </row>
    <row r="25" spans="2:11" x14ac:dyDescent="0.3">
      <c r="B25" s="1" t="s">
        <v>124</v>
      </c>
      <c r="C25" s="2"/>
      <c r="D25" s="2"/>
      <c r="E25" s="3"/>
      <c r="F25" s="3"/>
      <c r="G25" s="99"/>
      <c r="H25" s="99"/>
      <c r="I25" s="4"/>
      <c r="J25" s="277" t="s">
        <v>0</v>
      </c>
      <c r="K25" s="277"/>
    </row>
    <row r="26" spans="2:11" ht="39.6" x14ac:dyDescent="0.3">
      <c r="B26" s="91" t="s">
        <v>1</v>
      </c>
      <c r="C26" s="14" t="s">
        <v>2</v>
      </c>
      <c r="D26" s="87" t="s">
        <v>571</v>
      </c>
      <c r="E26" s="87" t="s">
        <v>572</v>
      </c>
      <c r="F26" s="87" t="s">
        <v>573</v>
      </c>
      <c r="G26" s="92" t="s">
        <v>4</v>
      </c>
      <c r="H26" s="92" t="s">
        <v>5</v>
      </c>
      <c r="I26" s="4"/>
      <c r="J26" s="5" t="s">
        <v>6</v>
      </c>
      <c r="K26" s="6">
        <f>SUM(Tabla1103453454455456479108131138162[Total costo])</f>
        <v>14789.1479175</v>
      </c>
    </row>
    <row r="27" spans="2:11" x14ac:dyDescent="0.3">
      <c r="B27" s="21" t="s">
        <v>470</v>
      </c>
      <c r="C27" s="8" t="s">
        <v>188</v>
      </c>
      <c r="D27" s="9">
        <v>8.0000000999999994</v>
      </c>
      <c r="E27" s="9">
        <v>10</v>
      </c>
      <c r="F27" s="9">
        <v>8.8888890000000007</v>
      </c>
      <c r="G27" s="10">
        <f>+VLOOKUP(Tabla1103453454455456479108131138162[[#This Row],[Ingrediente]],Tabla34[#All],3,0)</f>
        <v>8</v>
      </c>
      <c r="H27" s="11">
        <f>+Tabla1103453454455456479108131138162[[#This Row],[Costo]]*Tabla1103453454455456479108131138162[[#This Row],[Unidades]]</f>
        <v>71.111112000000006</v>
      </c>
      <c r="I27" s="4"/>
      <c r="J27" s="5" t="s">
        <v>113</v>
      </c>
      <c r="K27" s="12">
        <f>+K26*5%</f>
        <v>739.45739587500009</v>
      </c>
    </row>
    <row r="28" spans="2:11" x14ac:dyDescent="0.3">
      <c r="B28" s="7" t="s">
        <v>373</v>
      </c>
      <c r="C28" s="8" t="s">
        <v>570</v>
      </c>
      <c r="D28" s="9">
        <v>3</v>
      </c>
      <c r="E28" s="9">
        <v>0</v>
      </c>
      <c r="F28" s="9">
        <v>3</v>
      </c>
      <c r="G28" s="10">
        <f>+VLOOKUP(Tabla1103453454455456479108131138162[[#This Row],[Ingrediente]],Tabla34[#All],3,0)</f>
        <v>485.71428571000001</v>
      </c>
      <c r="H28" s="11">
        <f>+Tabla1103453454455456479108131138162[[#This Row],[Costo]]*Tabla1103453454455456479108131138162[[#This Row],[Unidades]]</f>
        <v>1457.14285713</v>
      </c>
      <c r="I28" s="4"/>
      <c r="J28" s="5" t="s">
        <v>9</v>
      </c>
      <c r="K28" s="12">
        <f>+K26+K27</f>
        <v>15528.605313375001</v>
      </c>
    </row>
    <row r="29" spans="2:11" x14ac:dyDescent="0.3">
      <c r="B29" s="7" t="s">
        <v>398</v>
      </c>
      <c r="C29" s="8" t="s">
        <v>188</v>
      </c>
      <c r="D29" s="9">
        <v>19.999999800000001</v>
      </c>
      <c r="E29" s="9">
        <v>27</v>
      </c>
      <c r="F29" s="9">
        <v>27.397259999999999</v>
      </c>
      <c r="G29" s="10">
        <f>+VLOOKUP(Tabla1103453454455456479108131138162[[#This Row],[Ingrediente]],Tabla34[#All],3,0)</f>
        <v>3.7999999999999994</v>
      </c>
      <c r="H29" s="11">
        <f>+Tabla1103453454455456479108131138162[[#This Row],[Costo]]*Tabla1103453454455456479108131138162[[#This Row],[Unidades]]</f>
        <v>104.10958799999997</v>
      </c>
      <c r="I29" s="4"/>
      <c r="J29" s="17" t="s">
        <v>10</v>
      </c>
      <c r="K29" s="18">
        <v>48000</v>
      </c>
    </row>
    <row r="30" spans="2:11" x14ac:dyDescent="0.3">
      <c r="B30" s="21" t="s">
        <v>490</v>
      </c>
      <c r="C30" s="8" t="s">
        <v>188</v>
      </c>
      <c r="D30" s="9">
        <v>11.999999900000001</v>
      </c>
      <c r="E30" s="9">
        <v>30</v>
      </c>
      <c r="F30" s="9">
        <v>17.142856999999999</v>
      </c>
      <c r="G30" s="10">
        <f>+VLOOKUP(Tabla1103453454455456479108131138162[[#This Row],[Ingrediente]],Tabla34[#All],3,0)</f>
        <v>5</v>
      </c>
      <c r="H30" s="11">
        <f>+Tabla1103453454455456479108131138162[[#This Row],[Costo]]*Tabla1103453454455456479108131138162[[#This Row],[Unidades]]</f>
        <v>85.71428499999999</v>
      </c>
      <c r="I30" s="4"/>
      <c r="J30" s="5" t="s">
        <v>11</v>
      </c>
      <c r="K30" s="12">
        <f>+K29/1.08*0.08</f>
        <v>3555.5555555555552</v>
      </c>
    </row>
    <row r="31" spans="2:11" x14ac:dyDescent="0.3">
      <c r="B31" s="21" t="s">
        <v>446</v>
      </c>
      <c r="C31" s="8" t="s">
        <v>188</v>
      </c>
      <c r="D31" s="9">
        <v>3.9999999000000002</v>
      </c>
      <c r="E31" s="9">
        <v>40</v>
      </c>
      <c r="F31" s="9">
        <v>6.6666664999999998</v>
      </c>
      <c r="G31" s="10">
        <f>+VLOOKUP(Tabla1103453454455456479108131138162[[#This Row],[Ingrediente]],Tabla34[#All],3,0)</f>
        <v>5.5</v>
      </c>
      <c r="H31" s="11">
        <f>+Tabla1103453454455456479108131138162[[#This Row],[Costo]]*Tabla1103453454455456479108131138162[[#This Row],[Unidades]]</f>
        <v>36.66666575</v>
      </c>
      <c r="I31" s="4"/>
      <c r="J31" s="5" t="s">
        <v>12</v>
      </c>
      <c r="K31" s="12">
        <f>+K29-K30</f>
        <v>44444.444444444445</v>
      </c>
    </row>
    <row r="32" spans="2:11" x14ac:dyDescent="0.3">
      <c r="B32" s="7" t="s">
        <v>459</v>
      </c>
      <c r="C32" s="8" t="s">
        <v>188</v>
      </c>
      <c r="D32" s="9">
        <v>1</v>
      </c>
      <c r="E32" s="9">
        <v>0</v>
      </c>
      <c r="F32" s="9">
        <v>1</v>
      </c>
      <c r="G32" s="10">
        <f>+VLOOKUP(Tabla1103453454455456479108131138162[[#This Row],[Ingrediente]],Tabla34[#All],3,0)</f>
        <v>58.140352939999993</v>
      </c>
      <c r="H32" s="11">
        <f>+Tabla1103453454455456479108131138162[[#This Row],[Costo]]*Tabla1103453454455456479108131138162[[#This Row],[Unidades]]</f>
        <v>58.140352939999993</v>
      </c>
      <c r="I32" s="4"/>
      <c r="J32" s="5" t="s">
        <v>13</v>
      </c>
      <c r="K32" s="19">
        <f>+K28/K31</f>
        <v>0.34939361955093751</v>
      </c>
    </row>
    <row r="33" spans="2:11" x14ac:dyDescent="0.3">
      <c r="B33" s="21" t="s">
        <v>368</v>
      </c>
      <c r="C33" s="8" t="s">
        <v>188</v>
      </c>
      <c r="D33" s="9">
        <v>59.9999976</v>
      </c>
      <c r="E33" s="9">
        <v>10</v>
      </c>
      <c r="F33" s="9">
        <v>66.666663999999997</v>
      </c>
      <c r="G33" s="10">
        <f>+VLOOKUP(Tabla1103453454455456479108131138162[[#This Row],[Ingrediente]],Tabla34[#All],3,0)</f>
        <v>37</v>
      </c>
      <c r="H33" s="11">
        <f>+Tabla1103453454455456479108131138162[[#This Row],[Costo]]*Tabla1103453454455456479108131138162[[#This Row],[Unidades]]</f>
        <v>2466.6665680000001</v>
      </c>
      <c r="I33" s="4"/>
      <c r="J33" s="5" t="s">
        <v>14</v>
      </c>
      <c r="K33" s="20">
        <f>+K31-K28</f>
        <v>28915.839131069442</v>
      </c>
    </row>
    <row r="34" spans="2:11" x14ac:dyDescent="0.3">
      <c r="B34" s="7" t="s">
        <v>394</v>
      </c>
      <c r="C34" s="8" t="s">
        <v>188</v>
      </c>
      <c r="D34" s="48">
        <v>39.999999600000002</v>
      </c>
      <c r="E34" s="48">
        <v>78</v>
      </c>
      <c r="F34" s="48">
        <v>181.81818000000001</v>
      </c>
      <c r="G34" s="10">
        <f>+VLOOKUP(Tabla1103453454455456479108131138162[[#This Row],[Ingrediente]],Tabla34[#All],3,0)</f>
        <v>4.5</v>
      </c>
      <c r="H34" s="11">
        <f>+Tabla1103453454455456479108131138162[[#This Row],[Costo]]*Tabla1103453454455456479108131138162[[#This Row],[Unidades]]</f>
        <v>818.18181000000004</v>
      </c>
      <c r="I34" s="4"/>
      <c r="J34" s="5" t="s">
        <v>15</v>
      </c>
      <c r="K34" s="22">
        <f>+K33/K28</f>
        <v>1.8621014925380217</v>
      </c>
    </row>
    <row r="35" spans="2:11" x14ac:dyDescent="0.3">
      <c r="B35" s="21" t="s">
        <v>376</v>
      </c>
      <c r="C35" s="8" t="s">
        <v>188</v>
      </c>
      <c r="D35" s="9">
        <v>20</v>
      </c>
      <c r="E35" s="9">
        <v>0</v>
      </c>
      <c r="F35" s="9">
        <v>20</v>
      </c>
      <c r="G35" s="10">
        <f>+VLOOKUP(Tabla1103453454455456479108131138162[[#This Row],[Ingrediente]],Tabla34[#All],3,0)</f>
        <v>60.98749999999999</v>
      </c>
      <c r="H35" s="11">
        <f>+Tabla1103453454455456479108131138162[[#This Row],[Costo]]*Tabla1103453454455456479108131138162[[#This Row],[Unidades]]</f>
        <v>1219.7499999999998</v>
      </c>
      <c r="I35" s="4"/>
      <c r="J35" s="4"/>
      <c r="K35" s="23"/>
    </row>
    <row r="36" spans="2:11" x14ac:dyDescent="0.3">
      <c r="B36" s="7" t="s">
        <v>482</v>
      </c>
      <c r="C36" s="8" t="s">
        <v>188</v>
      </c>
      <c r="D36" s="9">
        <v>3</v>
      </c>
      <c r="E36" s="9">
        <v>0</v>
      </c>
      <c r="F36" s="9">
        <v>3</v>
      </c>
      <c r="G36" s="10">
        <f>+VLOOKUP(Tabla1103453454455456479108131138162[[#This Row],[Ingrediente]],Tabla34[#All],3,0)</f>
        <v>2.6999075600000002</v>
      </c>
      <c r="H36" s="11">
        <f>+Tabla1103453454455456479108131138162[[#This Row],[Costo]]*Tabla1103453454455456479108131138162[[#This Row],[Unidades]]</f>
        <v>8.0997226800000011</v>
      </c>
      <c r="J36" s="24"/>
      <c r="K36" s="24"/>
    </row>
    <row r="37" spans="2:11" x14ac:dyDescent="0.3">
      <c r="B37" s="7" t="s">
        <v>420</v>
      </c>
      <c r="C37" s="8" t="s">
        <v>188</v>
      </c>
      <c r="D37" s="9">
        <v>20</v>
      </c>
      <c r="E37" s="9">
        <v>0</v>
      </c>
      <c r="F37" s="9">
        <v>20</v>
      </c>
      <c r="G37" s="10">
        <f>+VLOOKUP(Tabla1103453454455456479108131138162[[#This Row],[Ingrediente]],Tabla34[#All],3,0)</f>
        <v>8.9250000000000007</v>
      </c>
      <c r="H37" s="11">
        <f>+Tabla1103453454455456479108131138162[[#This Row],[Costo]]*Tabla1103453454455456479108131138162[[#This Row],[Unidades]]</f>
        <v>178.5</v>
      </c>
    </row>
    <row r="38" spans="2:11" x14ac:dyDescent="0.3">
      <c r="B38" s="21" t="s">
        <v>341</v>
      </c>
      <c r="C38" s="8" t="s">
        <v>188</v>
      </c>
      <c r="D38" s="48">
        <v>10</v>
      </c>
      <c r="E38" s="48">
        <v>0</v>
      </c>
      <c r="F38" s="48">
        <v>10</v>
      </c>
      <c r="G38" s="10">
        <f>+VLOOKUP(Tabla1103453454455456479108131138162[[#This Row],[Ingrediente]],Tabla34[#All],3,0)</f>
        <v>12.80723817</v>
      </c>
      <c r="H38" s="11">
        <f>+Tabla1103453454455456479108131138162[[#This Row],[Costo]]*Tabla1103453454455456479108131138162[[#This Row],[Unidades]]</f>
        <v>128.07238169999999</v>
      </c>
    </row>
    <row r="39" spans="2:11" x14ac:dyDescent="0.3">
      <c r="B39" s="21" t="s">
        <v>528</v>
      </c>
      <c r="C39" s="8" t="s">
        <v>188</v>
      </c>
      <c r="D39" s="9">
        <v>100</v>
      </c>
      <c r="E39" s="9">
        <v>0</v>
      </c>
      <c r="F39" s="9">
        <v>100</v>
      </c>
      <c r="G39" s="10">
        <f>+VLOOKUP(Tabla1103453454455456479108131138162[[#This Row],[Ingrediente]],Tabla34[#All],3,0)</f>
        <v>4.8201292200000001</v>
      </c>
      <c r="H39" s="11">
        <f>+Tabla1103453454455456479108131138162[[#This Row],[Costo]]*Tabla1103453454455456479108131138162[[#This Row],[Unidades]]</f>
        <v>482.012922</v>
      </c>
    </row>
    <row r="40" spans="2:11" x14ac:dyDescent="0.3">
      <c r="B40" s="21" t="s">
        <v>74</v>
      </c>
      <c r="C40" s="8" t="s">
        <v>188</v>
      </c>
      <c r="D40" s="9">
        <v>30</v>
      </c>
      <c r="E40" s="9">
        <v>0</v>
      </c>
      <c r="F40" s="9">
        <v>30</v>
      </c>
      <c r="G40" s="10">
        <f>+VLOOKUP(Tabla1103453454455456479108131138162[[#This Row],[Ingrediente]],Tabla34[#All],3,0)</f>
        <v>12.25316591</v>
      </c>
      <c r="H40" s="11">
        <f>+Tabla1103453454455456479108131138162[[#This Row],[Costo]]*Tabla1103453454455456479108131138162[[#This Row],[Unidades]]</f>
        <v>367.59497729999998</v>
      </c>
    </row>
    <row r="41" spans="2:11" x14ac:dyDescent="0.3">
      <c r="B41" s="7" t="s">
        <v>96</v>
      </c>
      <c r="C41" s="8" t="s">
        <v>188</v>
      </c>
      <c r="D41" s="9">
        <v>50</v>
      </c>
      <c r="E41" s="9">
        <v>0</v>
      </c>
      <c r="F41" s="9">
        <v>50</v>
      </c>
      <c r="G41" s="10">
        <f>+VLOOKUP(Tabla1103453454455456479108131138162[[#This Row],[Ingrediente]],Tabla34[#All],3,0)</f>
        <v>28.798282929999999</v>
      </c>
      <c r="H41" s="11">
        <f>+Tabla1103453454455456479108131138162[[#This Row],[Costo]]*Tabla1103453454455456479108131138162[[#This Row],[Unidades]]</f>
        <v>1439.9141465</v>
      </c>
    </row>
    <row r="42" spans="2:11" x14ac:dyDescent="0.3">
      <c r="B42" s="7" t="s">
        <v>449</v>
      </c>
      <c r="C42" s="8" t="s">
        <v>188</v>
      </c>
      <c r="D42" s="9">
        <v>80</v>
      </c>
      <c r="E42" s="9">
        <v>0</v>
      </c>
      <c r="F42" s="9">
        <v>80</v>
      </c>
      <c r="G42" s="10">
        <f>+VLOOKUP(Tabla1103453454455456479108131138162[[#This Row],[Ingrediente]],Tabla34[#All],3,0)</f>
        <v>23.317903900000001</v>
      </c>
      <c r="H42" s="11">
        <f>+Tabla1103453454455456479108131138162[[#This Row],[Costo]]*Tabla1103453454455456479108131138162[[#This Row],[Unidades]]</f>
        <v>1865.4323120000001</v>
      </c>
    </row>
    <row r="43" spans="2:11" x14ac:dyDescent="0.3">
      <c r="B43" s="7" t="s">
        <v>533</v>
      </c>
      <c r="C43" s="8" t="s">
        <v>570</v>
      </c>
      <c r="D43" s="9">
        <v>1</v>
      </c>
      <c r="E43" s="9">
        <v>0</v>
      </c>
      <c r="F43" s="9">
        <v>1</v>
      </c>
      <c r="G43" s="10">
        <f>+VLOOKUP(Tabla1103453454455456479108131138162[[#This Row],[Ingrediente]],Tabla34[#All],3,0)</f>
        <v>4002.0382164999996</v>
      </c>
      <c r="H43" s="11">
        <f>+Tabla1103453454455456479108131138162[[#This Row],[Costo]]*Tabla1103453454455456479108131138162[[#This Row],[Unidades]]</f>
        <v>4002.0382164999996</v>
      </c>
    </row>
    <row r="44" spans="2:11" x14ac:dyDescent="0.3">
      <c r="B44" s="13"/>
      <c r="C44" s="14"/>
      <c r="D44" s="14"/>
      <c r="E44" s="14"/>
      <c r="F44" s="14"/>
      <c r="G44" s="15"/>
      <c r="H44" s="15">
        <f>SUBTOTAL(109,Tabla1103453454455456479108131138162[Total costo])</f>
        <v>14789.1479175</v>
      </c>
    </row>
    <row r="49" spans="2:11" x14ac:dyDescent="0.3">
      <c r="B49" s="1" t="s">
        <v>598</v>
      </c>
      <c r="C49" s="2"/>
      <c r="D49" s="2"/>
      <c r="E49" s="3"/>
      <c r="F49" s="3"/>
      <c r="G49" s="99"/>
      <c r="H49" s="99"/>
      <c r="I49" s="4"/>
      <c r="J49" s="277" t="s">
        <v>0</v>
      </c>
      <c r="K49" s="277"/>
    </row>
    <row r="50" spans="2:11" ht="39.6" x14ac:dyDescent="0.3">
      <c r="B50" s="91" t="s">
        <v>1</v>
      </c>
      <c r="C50" s="14" t="s">
        <v>2</v>
      </c>
      <c r="D50" s="87" t="s">
        <v>571</v>
      </c>
      <c r="E50" s="87" t="s">
        <v>572</v>
      </c>
      <c r="F50" s="87" t="s">
        <v>573</v>
      </c>
      <c r="G50" s="92" t="s">
        <v>4</v>
      </c>
      <c r="H50" s="92" t="s">
        <v>5</v>
      </c>
      <c r="I50" s="4"/>
      <c r="J50" s="5" t="s">
        <v>6</v>
      </c>
      <c r="K50" s="6">
        <f>+Tabla1103453454455456479108131138162426[[#Totals],[Total costo]]</f>
        <v>7118</v>
      </c>
    </row>
    <row r="51" spans="2:11" x14ac:dyDescent="0.3">
      <c r="B51" s="21" t="s">
        <v>594</v>
      </c>
      <c r="C51" s="8" t="s">
        <v>570</v>
      </c>
      <c r="D51" s="9">
        <v>1</v>
      </c>
      <c r="E51" s="9">
        <v>0</v>
      </c>
      <c r="F51" s="9">
        <v>1</v>
      </c>
      <c r="G51" s="10">
        <f>+VLOOKUP(Tabla1103453454455456479108131138162426[[#This Row],[Ingrediente]],Tabla34[#All],3,0)</f>
        <v>0</v>
      </c>
      <c r="H51" s="11">
        <f>+Tabla1103453454455456479108131138162426[[#This Row],[Costo]]*Tabla1103453454455456479108131138162426[[#This Row],[Unidades]]</f>
        <v>0</v>
      </c>
      <c r="I51" s="4"/>
      <c r="J51" s="5" t="s">
        <v>113</v>
      </c>
      <c r="K51" s="12">
        <f>+K50*5%</f>
        <v>355.90000000000003</v>
      </c>
    </row>
    <row r="52" spans="2:11" x14ac:dyDescent="0.3">
      <c r="B52" s="7" t="s">
        <v>597</v>
      </c>
      <c r="C52" s="8" t="s">
        <v>188</v>
      </c>
      <c r="D52" s="9">
        <v>120</v>
      </c>
      <c r="E52" s="9">
        <v>0</v>
      </c>
      <c r="F52" s="9">
        <v>120</v>
      </c>
      <c r="G52" s="10" t="e">
        <f>+VLOOKUP(Tabla1103453454455456479108131138162426[[#This Row],[Ingrediente]],Tabla34[#All],3,0)</f>
        <v>#N/A</v>
      </c>
      <c r="H52" s="11" t="e">
        <f>+Tabla1103453454455456479108131138162426[[#This Row],[Costo]]*Tabla1103453454455456479108131138162426[[#This Row],[Unidades]]</f>
        <v>#N/A</v>
      </c>
      <c r="I52" s="4"/>
      <c r="J52" s="5" t="s">
        <v>9</v>
      </c>
      <c r="K52" s="12">
        <f>+K50+K51</f>
        <v>7473.9</v>
      </c>
    </row>
    <row r="53" spans="2:11" x14ac:dyDescent="0.3">
      <c r="B53" s="7" t="s">
        <v>528</v>
      </c>
      <c r="C53" s="8" t="s">
        <v>188</v>
      </c>
      <c r="D53" s="9">
        <v>80</v>
      </c>
      <c r="E53" s="9">
        <v>0</v>
      </c>
      <c r="F53" s="9">
        <v>80</v>
      </c>
      <c r="G53" s="10">
        <f>+VLOOKUP(Tabla1103453454455456479108131138162426[[#This Row],[Ingrediente]],Tabla34[#All],3,0)</f>
        <v>4.8201292200000001</v>
      </c>
      <c r="H53" s="11">
        <f>+Tabla1103453454455456479108131138162426[[#This Row],[Costo]]*Tabla1103453454455456479108131138162426[[#This Row],[Unidades]]</f>
        <v>385.61033759999998</v>
      </c>
      <c r="I53" s="4"/>
      <c r="J53" s="17" t="s">
        <v>10</v>
      </c>
      <c r="K53" s="18">
        <v>48000</v>
      </c>
    </row>
    <row r="54" spans="2:11" x14ac:dyDescent="0.3">
      <c r="B54" s="21" t="s">
        <v>558</v>
      </c>
      <c r="C54" s="8" t="s">
        <v>570</v>
      </c>
      <c r="D54" s="9">
        <v>2</v>
      </c>
      <c r="E54" s="9">
        <v>0</v>
      </c>
      <c r="F54" s="9">
        <v>2</v>
      </c>
      <c r="G54" s="10">
        <f>+VLOOKUP(Tabla1103453454455456479108131138162426[[#This Row],[Ingrediente]],Tabla34[#All],3,0)</f>
        <v>354.16666666999998</v>
      </c>
      <c r="H54" s="11">
        <f>+Tabla1103453454455456479108131138162426[[#This Row],[Costo]]*Tabla1103453454455456479108131138162426[[#This Row],[Unidades]]</f>
        <v>708.33333333999997</v>
      </c>
      <c r="I54" s="4"/>
      <c r="J54" s="5" t="s">
        <v>11</v>
      </c>
      <c r="K54" s="12">
        <f>+K53/1.08*0.08</f>
        <v>3555.5555555555552</v>
      </c>
    </row>
    <row r="55" spans="2:11" x14ac:dyDescent="0.3">
      <c r="B55" s="21" t="s">
        <v>480</v>
      </c>
      <c r="C55" s="8" t="s">
        <v>188</v>
      </c>
      <c r="D55" s="9">
        <v>1</v>
      </c>
      <c r="E55" s="9">
        <v>0</v>
      </c>
      <c r="F55" s="9">
        <v>1</v>
      </c>
      <c r="G55" s="10">
        <f>+VLOOKUP(Tabla1103453454455456479108131138162426[[#This Row],[Ingrediente]],Tabla34[#All],3,0)</f>
        <v>328.34</v>
      </c>
      <c r="H55" s="11">
        <f>+Tabla1103453454455456479108131138162426[[#This Row],[Costo]]*Tabla1103453454455456479108131138162426[[#This Row],[Unidades]]</f>
        <v>328.34</v>
      </c>
      <c r="I55" s="4"/>
      <c r="J55" s="5" t="s">
        <v>12</v>
      </c>
      <c r="K55" s="12">
        <f>+K53-K54</f>
        <v>44444.444444444445</v>
      </c>
    </row>
    <row r="56" spans="2:11" x14ac:dyDescent="0.3">
      <c r="B56" s="7" t="s">
        <v>74</v>
      </c>
      <c r="C56" s="8" t="s">
        <v>188</v>
      </c>
      <c r="D56" s="9">
        <v>10</v>
      </c>
      <c r="E56" s="9">
        <v>0</v>
      </c>
      <c r="F56" s="9">
        <v>10</v>
      </c>
      <c r="G56" s="10">
        <f>+VLOOKUP(Tabla1103453454455456479108131138162426[[#This Row],[Ingrediente]],Tabla34[#All],3,0)</f>
        <v>12.25316591</v>
      </c>
      <c r="H56" s="11">
        <f>+Tabla1103453454455456479108131138162426[[#This Row],[Costo]]*Tabla1103453454455456479108131138162426[[#This Row],[Unidades]]</f>
        <v>122.5316591</v>
      </c>
      <c r="I56" s="4"/>
      <c r="J56" s="5" t="s">
        <v>13</v>
      </c>
      <c r="K56" s="19">
        <f>+K52/K55</f>
        <v>0.16816275</v>
      </c>
    </row>
    <row r="57" spans="2:11" x14ac:dyDescent="0.3">
      <c r="B57" s="21" t="s">
        <v>380</v>
      </c>
      <c r="C57" s="8" t="s">
        <v>188</v>
      </c>
      <c r="D57" s="9">
        <v>10</v>
      </c>
      <c r="E57" s="9">
        <v>0</v>
      </c>
      <c r="F57" s="9">
        <v>10</v>
      </c>
      <c r="G57" s="10">
        <f>+VLOOKUP(Tabla1103453454455456479108131138162426[[#This Row],[Ingrediente]],Tabla34[#All],3,0)</f>
        <v>22.30079576</v>
      </c>
      <c r="H57" s="11">
        <f>+Tabla1103453454455456479108131138162426[[#This Row],[Costo]]*Tabla1103453454455456479108131138162426[[#This Row],[Unidades]]</f>
        <v>223.0079576</v>
      </c>
      <c r="I57" s="4"/>
      <c r="J57" s="5" t="s">
        <v>14</v>
      </c>
      <c r="K57" s="20">
        <f>+K55-K52</f>
        <v>36970.544444444444</v>
      </c>
    </row>
    <row r="58" spans="2:11" x14ac:dyDescent="0.3">
      <c r="B58" s="7" t="s">
        <v>446</v>
      </c>
      <c r="C58" s="8" t="s">
        <v>188</v>
      </c>
      <c r="D58" s="48">
        <v>1.9999999799999999</v>
      </c>
      <c r="E58" s="48">
        <v>40</v>
      </c>
      <c r="F58" s="48">
        <v>3.3333333000000001</v>
      </c>
      <c r="G58" s="10">
        <f>+VLOOKUP(Tabla1103453454455456479108131138162426[[#This Row],[Ingrediente]],Tabla34[#All],3,0)</f>
        <v>5.5</v>
      </c>
      <c r="H58" s="11">
        <f>+Tabla1103453454455456479108131138162426[[#This Row],[Costo]]*Tabla1103453454455456479108131138162426[[#This Row],[Unidades]]</f>
        <v>18.333333150000001</v>
      </c>
      <c r="I58" s="4"/>
      <c r="J58" s="5" t="s">
        <v>15</v>
      </c>
      <c r="K58" s="22">
        <f>+K57/K52</f>
        <v>4.9466201640969834</v>
      </c>
    </row>
    <row r="59" spans="2:11" x14ac:dyDescent="0.3">
      <c r="B59" s="13"/>
      <c r="C59" s="14"/>
      <c r="D59" s="14"/>
      <c r="E59" s="14"/>
      <c r="F59" s="14"/>
      <c r="G59" s="15"/>
      <c r="H59" s="15">
        <f>4518+2600</f>
        <v>7118</v>
      </c>
      <c r="I59" s="4"/>
      <c r="J59" s="4"/>
      <c r="K59" s="23"/>
    </row>
    <row r="60" spans="2:11" x14ac:dyDescent="0.3">
      <c r="J60" s="24"/>
      <c r="K60" s="24"/>
    </row>
    <row r="63" spans="2:11" x14ac:dyDescent="0.3">
      <c r="B63" s="1" t="s">
        <v>600</v>
      </c>
      <c r="C63" s="2"/>
      <c r="D63" s="2"/>
      <c r="E63" s="3"/>
      <c r="F63" s="3"/>
      <c r="G63" s="99"/>
      <c r="H63" s="99"/>
      <c r="I63" s="4"/>
      <c r="J63" s="277" t="s">
        <v>0</v>
      </c>
      <c r="K63" s="277"/>
    </row>
    <row r="64" spans="2:11" ht="39.6" x14ac:dyDescent="0.3">
      <c r="B64" s="91" t="s">
        <v>1</v>
      </c>
      <c r="C64" s="14" t="s">
        <v>2</v>
      </c>
      <c r="D64" s="87" t="s">
        <v>571</v>
      </c>
      <c r="E64" s="87" t="s">
        <v>572</v>
      </c>
      <c r="F64" s="87" t="s">
        <v>573</v>
      </c>
      <c r="G64" s="92" t="s">
        <v>4</v>
      </c>
      <c r="H64" s="92" t="s">
        <v>5</v>
      </c>
      <c r="I64" s="4"/>
      <c r="J64" s="5" t="s">
        <v>6</v>
      </c>
      <c r="K64" s="6" t="str">
        <f>+Tabla1103453454455456479108131138162426427[[#Totals],[Total costo]]</f>
        <v xml:space="preserve"> $ 3.916 </v>
      </c>
    </row>
    <row r="65" spans="2:11" x14ac:dyDescent="0.3">
      <c r="B65" s="21" t="s">
        <v>462</v>
      </c>
      <c r="C65" s="8" t="s">
        <v>188</v>
      </c>
      <c r="D65" s="9">
        <v>150</v>
      </c>
      <c r="E65" s="9">
        <v>0</v>
      </c>
      <c r="F65" s="9">
        <v>150</v>
      </c>
      <c r="G65" s="10">
        <f>+VLOOKUP(Tabla1103453454455456479108131138162426427[[#This Row],[Ingrediente]],Tabla34[#All],3,0)</f>
        <v>4</v>
      </c>
      <c r="H65" s="11">
        <f>+Tabla1103453454455456479108131138162426427[[#This Row],[Costo]]*Tabla1103453454455456479108131138162426427[[#This Row],[Unidades]]</f>
        <v>600</v>
      </c>
      <c r="I65" s="4"/>
      <c r="J65" s="5" t="s">
        <v>113</v>
      </c>
      <c r="K65" s="12">
        <f>+K64*5%</f>
        <v>195.8</v>
      </c>
    </row>
    <row r="66" spans="2:11" x14ac:dyDescent="0.3">
      <c r="B66" s="7" t="s">
        <v>599</v>
      </c>
      <c r="C66" s="8" t="s">
        <v>188</v>
      </c>
      <c r="D66" s="9">
        <v>90</v>
      </c>
      <c r="E66" s="9">
        <v>0</v>
      </c>
      <c r="F66" s="9">
        <v>90</v>
      </c>
      <c r="G66" s="10" t="e">
        <f>+VLOOKUP(Tabla1103453454455456479108131138162426427[[#This Row],[Ingrediente]],Tabla34[#All],3,0)</f>
        <v>#N/A</v>
      </c>
      <c r="H66" s="11" t="e">
        <f>+Tabla1103453454455456479108131138162426427[[#This Row],[Costo]]*Tabla1103453454455456479108131138162426427[[#This Row],[Unidades]]</f>
        <v>#N/A</v>
      </c>
      <c r="I66" s="4"/>
      <c r="J66" s="5" t="s">
        <v>9</v>
      </c>
      <c r="K66" s="12">
        <f>+K64+K65</f>
        <v>4111.8</v>
      </c>
    </row>
    <row r="67" spans="2:11" x14ac:dyDescent="0.3">
      <c r="B67" s="7" t="s">
        <v>558</v>
      </c>
      <c r="C67" s="8" t="s">
        <v>570</v>
      </c>
      <c r="D67" s="9">
        <v>2</v>
      </c>
      <c r="E67" s="9">
        <v>0</v>
      </c>
      <c r="F67" s="9">
        <v>2</v>
      </c>
      <c r="G67" s="10">
        <f>+VLOOKUP(Tabla1103453454455456479108131138162426427[[#This Row],[Ingrediente]],Tabla34[#All],3,0)</f>
        <v>354.16666666999998</v>
      </c>
      <c r="H67" s="11">
        <f>+Tabla1103453454455456479108131138162426427[[#This Row],[Costo]]*Tabla1103453454455456479108131138162426427[[#This Row],[Unidades]]</f>
        <v>708.33333333999997</v>
      </c>
      <c r="I67" s="4"/>
      <c r="J67" s="17" t="s">
        <v>10</v>
      </c>
      <c r="K67" s="18">
        <v>48000</v>
      </c>
    </row>
    <row r="68" spans="2:11" x14ac:dyDescent="0.3">
      <c r="B68" s="21" t="s">
        <v>456</v>
      </c>
      <c r="C68" s="8" t="s">
        <v>188</v>
      </c>
      <c r="D68" s="9">
        <v>10</v>
      </c>
      <c r="E68" s="9">
        <v>0</v>
      </c>
      <c r="F68" s="9">
        <v>10</v>
      </c>
      <c r="G68" s="10">
        <f>+VLOOKUP(Tabla1103453454455456479108131138162426427[[#This Row],[Ingrediente]],Tabla34[#All],3,0)</f>
        <v>24</v>
      </c>
      <c r="H68" s="11">
        <f>+Tabla1103453454455456479108131138162426427[[#This Row],[Costo]]*Tabla1103453454455456479108131138162426427[[#This Row],[Unidades]]</f>
        <v>240</v>
      </c>
      <c r="I68" s="4"/>
      <c r="J68" s="5" t="s">
        <v>11</v>
      </c>
      <c r="K68" s="12">
        <f>+K67/1.08*0.08</f>
        <v>3555.5555555555552</v>
      </c>
    </row>
    <row r="69" spans="2:11" x14ac:dyDescent="0.3">
      <c r="B69" s="21" t="s">
        <v>445</v>
      </c>
      <c r="C69" s="8" t="s">
        <v>188</v>
      </c>
      <c r="D69" s="9">
        <v>5</v>
      </c>
      <c r="E69" s="9">
        <v>0</v>
      </c>
      <c r="F69" s="9">
        <v>5</v>
      </c>
      <c r="G69" s="10">
        <f>+VLOOKUP(Tabla1103453454455456479108131138162426427[[#This Row],[Ingrediente]],Tabla34[#All],3,0)</f>
        <v>39.472999999999999</v>
      </c>
      <c r="H69" s="11">
        <f>+Tabla1103453454455456479108131138162426427[[#This Row],[Costo]]*Tabla1103453454455456479108131138162426427[[#This Row],[Unidades]]</f>
        <v>197.36500000000001</v>
      </c>
      <c r="I69" s="4"/>
      <c r="J69" s="5" t="s">
        <v>12</v>
      </c>
      <c r="K69" s="12">
        <f>+K67-K68</f>
        <v>44444.444444444445</v>
      </c>
    </row>
    <row r="70" spans="2:11" x14ac:dyDescent="0.3">
      <c r="B70" s="13"/>
      <c r="C70" s="14"/>
      <c r="D70" s="14"/>
      <c r="E70" s="14"/>
      <c r="F70" s="14"/>
      <c r="G70" s="15"/>
      <c r="H70" s="15" t="s">
        <v>601</v>
      </c>
      <c r="I70" s="4"/>
      <c r="J70" s="5" t="s">
        <v>13</v>
      </c>
      <c r="K70" s="19">
        <f>+K66/K69</f>
        <v>9.2515500000000001E-2</v>
      </c>
    </row>
    <row r="71" spans="2:11" x14ac:dyDescent="0.3">
      <c r="I71" s="4"/>
      <c r="J71" s="5" t="s">
        <v>14</v>
      </c>
      <c r="K71" s="20">
        <f>+K69-K66</f>
        <v>40332.644444444442</v>
      </c>
    </row>
    <row r="72" spans="2:11" x14ac:dyDescent="0.3">
      <c r="I72" s="4"/>
      <c r="J72" s="5" t="s">
        <v>15</v>
      </c>
      <c r="K72" s="22">
        <f>+K71/K66</f>
        <v>9.8089995730445168</v>
      </c>
    </row>
    <row r="73" spans="2:11" x14ac:dyDescent="0.3">
      <c r="I73" s="4"/>
      <c r="J73" s="4"/>
      <c r="K73" s="23"/>
    </row>
    <row r="75" spans="2:11" x14ac:dyDescent="0.3">
      <c r="B75" s="1" t="s">
        <v>602</v>
      </c>
      <c r="C75" s="2"/>
      <c r="D75" s="2"/>
      <c r="E75" s="3"/>
      <c r="F75" s="3"/>
      <c r="G75" s="99"/>
      <c r="H75" s="99"/>
      <c r="I75" s="4"/>
      <c r="J75" s="277" t="s">
        <v>0</v>
      </c>
      <c r="K75" s="277"/>
    </row>
    <row r="76" spans="2:11" ht="39.6" x14ac:dyDescent="0.3">
      <c r="B76" s="91" t="s">
        <v>1</v>
      </c>
      <c r="C76" s="14" t="s">
        <v>2</v>
      </c>
      <c r="D76" s="87" t="s">
        <v>571</v>
      </c>
      <c r="E76" s="87" t="s">
        <v>572</v>
      </c>
      <c r="F76" s="87" t="s">
        <v>573</v>
      </c>
      <c r="G76" s="92" t="s">
        <v>4</v>
      </c>
      <c r="H76" s="92" t="s">
        <v>5</v>
      </c>
      <c r="I76" s="4"/>
      <c r="J76" s="5" t="s">
        <v>6</v>
      </c>
      <c r="K76" s="6" t="str">
        <f>+Tabla1103453454455456479108131138162426427428[[#Totals],[Total costo]]</f>
        <v xml:space="preserve"> $ 1.213 </v>
      </c>
    </row>
    <row r="77" spans="2:11" x14ac:dyDescent="0.3">
      <c r="B77" s="21" t="s">
        <v>603</v>
      </c>
      <c r="C77" s="8" t="s">
        <v>188</v>
      </c>
      <c r="D77" s="9">
        <v>90</v>
      </c>
      <c r="E77" s="9">
        <v>0</v>
      </c>
      <c r="F77" s="9">
        <v>90</v>
      </c>
      <c r="G77" s="10">
        <f>+VLOOKUP(Tabla1103453454455456479108131138162426427428[[#This Row],[Ingrediente]],Tabla34[#All],3,0)</f>
        <v>0</v>
      </c>
      <c r="H77" s="11">
        <f>+Tabla1103453454455456479108131138162426427428[[#This Row],[Costo]]*Tabla1103453454455456479108131138162426427428[[#This Row],[Unidades]]</f>
        <v>0</v>
      </c>
      <c r="I77" s="4"/>
      <c r="J77" s="5" t="s">
        <v>113</v>
      </c>
      <c r="K77" s="12">
        <f>+K76*5%</f>
        <v>60.650000000000006</v>
      </c>
    </row>
    <row r="78" spans="2:11" x14ac:dyDescent="0.3">
      <c r="B78" s="7" t="s">
        <v>568</v>
      </c>
      <c r="C78" s="8" t="s">
        <v>188</v>
      </c>
      <c r="D78" s="9">
        <v>12</v>
      </c>
      <c r="E78" s="9">
        <v>0</v>
      </c>
      <c r="F78" s="9">
        <v>12</v>
      </c>
      <c r="G78" s="10">
        <f>+VLOOKUP(Tabla1103453454455456479108131138162426427428[[#This Row],[Ingrediente]],Tabla34[#All],3,0)</f>
        <v>21.48279368</v>
      </c>
      <c r="H78" s="11">
        <f>+Tabla1103453454455456479108131138162426427428[[#This Row],[Costo]]*Tabla1103453454455456479108131138162426427428[[#This Row],[Unidades]]</f>
        <v>257.79352416</v>
      </c>
      <c r="I78" s="4"/>
      <c r="J78" s="5" t="s">
        <v>9</v>
      </c>
      <c r="K78" s="12">
        <f>+K76+K77</f>
        <v>1273.6500000000001</v>
      </c>
    </row>
    <row r="79" spans="2:11" x14ac:dyDescent="0.3">
      <c r="B79" s="7" t="s">
        <v>440</v>
      </c>
      <c r="C79" s="8" t="s">
        <v>188</v>
      </c>
      <c r="D79" s="9">
        <v>50</v>
      </c>
      <c r="E79" s="9">
        <v>0</v>
      </c>
      <c r="F79" s="9">
        <v>50</v>
      </c>
      <c r="G79" s="10">
        <f>+VLOOKUP(Tabla1103453454455456479108131138162426427428[[#This Row],[Ingrediente]],Tabla34[#All],3,0)</f>
        <v>19.602417729999999</v>
      </c>
      <c r="H79" s="11">
        <f>+Tabla1103453454455456479108131138162426427428[[#This Row],[Costo]]*Tabla1103453454455456479108131138162426427428[[#This Row],[Unidades]]</f>
        <v>980.12088649999998</v>
      </c>
      <c r="I79" s="4"/>
      <c r="J79" s="17" t="s">
        <v>10</v>
      </c>
      <c r="K79" s="18">
        <v>48000</v>
      </c>
    </row>
    <row r="80" spans="2:11" x14ac:dyDescent="0.3">
      <c r="B80" s="21" t="s">
        <v>78</v>
      </c>
      <c r="C80" s="8" t="s">
        <v>188</v>
      </c>
      <c r="D80" s="9">
        <v>5</v>
      </c>
      <c r="E80" s="9">
        <v>0</v>
      </c>
      <c r="F80" s="9">
        <v>5</v>
      </c>
      <c r="G80" s="10">
        <f>+VLOOKUP(Tabla1103453454455456479108131138162426427428[[#This Row],[Ingrediente]],Tabla34[#All],3,0)</f>
        <v>20.657907720000001</v>
      </c>
      <c r="H80" s="11">
        <f>+Tabla1103453454455456479108131138162426427428[[#This Row],[Costo]]*Tabla1103453454455456479108131138162426427428[[#This Row],[Unidades]]</f>
        <v>103.2895386</v>
      </c>
      <c r="I80" s="4"/>
      <c r="J80" s="5" t="s">
        <v>11</v>
      </c>
      <c r="K80" s="12">
        <f>+K79/1.08*0.08</f>
        <v>3555.5555555555552</v>
      </c>
    </row>
    <row r="81" spans="2:11" x14ac:dyDescent="0.3">
      <c r="B81" s="21" t="s">
        <v>604</v>
      </c>
      <c r="C81" s="8" t="s">
        <v>188</v>
      </c>
      <c r="D81" s="9">
        <v>2</v>
      </c>
      <c r="E81" s="9">
        <v>0</v>
      </c>
      <c r="F81" s="9">
        <v>2</v>
      </c>
      <c r="G81" s="10">
        <f>+VLOOKUP(Tabla1103453454455456479108131138162426427428[[#This Row],[Ingrediente]],Tabla34[#All],3,0)</f>
        <v>3</v>
      </c>
      <c r="H81" s="11">
        <f>+Tabla1103453454455456479108131138162426427428[[#This Row],[Costo]]*Tabla1103453454455456479108131138162426427428[[#This Row],[Unidades]]</f>
        <v>6</v>
      </c>
      <c r="I81" s="4"/>
      <c r="J81" s="5" t="s">
        <v>12</v>
      </c>
      <c r="K81" s="12">
        <f>+K79-K80</f>
        <v>44444.444444444445</v>
      </c>
    </row>
    <row r="82" spans="2:11" x14ac:dyDescent="0.3">
      <c r="B82" s="13"/>
      <c r="C82" s="14"/>
      <c r="D82" s="14"/>
      <c r="E82" s="14"/>
      <c r="F82" s="14"/>
      <c r="G82" s="15"/>
      <c r="H82" s="15" t="s">
        <v>605</v>
      </c>
      <c r="I82" s="4"/>
      <c r="J82" s="5" t="s">
        <v>13</v>
      </c>
      <c r="K82" s="19">
        <f>+K78/K81</f>
        <v>2.8657125000000002E-2</v>
      </c>
    </row>
    <row r="83" spans="2:11" x14ac:dyDescent="0.3">
      <c r="I83" s="4"/>
      <c r="J83" s="5" t="s">
        <v>14</v>
      </c>
      <c r="K83" s="20">
        <f>+K81-K78</f>
        <v>43170.794444444444</v>
      </c>
    </row>
    <row r="84" spans="2:11" x14ac:dyDescent="0.3">
      <c r="I84" s="4"/>
      <c r="J84" s="5" t="s">
        <v>15</v>
      </c>
      <c r="K84" s="22">
        <f>+K83/K78</f>
        <v>33.895335802178337</v>
      </c>
    </row>
  </sheetData>
  <mergeCells count="5">
    <mergeCell ref="J63:K63"/>
    <mergeCell ref="J75:K75"/>
    <mergeCell ref="J7:K7"/>
    <mergeCell ref="J25:K25"/>
    <mergeCell ref="J49:K49"/>
  </mergeCells>
  <conditionalFormatting sqref="K14">
    <cfRule type="cellIs" dxfId="59" priority="15" operator="lessThan">
      <formula>0.3</formula>
    </cfRule>
    <cfRule type="cellIs" dxfId="58" priority="16" operator="greaterThan">
      <formula>0.3</formula>
    </cfRule>
  </conditionalFormatting>
  <conditionalFormatting sqref="K32">
    <cfRule type="cellIs" dxfId="57" priority="13" operator="lessThan">
      <formula>0.3</formula>
    </cfRule>
    <cfRule type="cellIs" dxfId="56" priority="14" operator="greaterThan">
      <formula>0.3</formula>
    </cfRule>
  </conditionalFormatting>
  <conditionalFormatting sqref="K56">
    <cfRule type="cellIs" dxfId="55" priority="5" operator="lessThan">
      <formula>0.3</formula>
    </cfRule>
    <cfRule type="cellIs" dxfId="54" priority="6" operator="greaterThan">
      <formula>0.3</formula>
    </cfRule>
  </conditionalFormatting>
  <conditionalFormatting sqref="K70">
    <cfRule type="cellIs" dxfId="53" priority="3" operator="lessThan">
      <formula>0.3</formula>
    </cfRule>
    <cfRule type="cellIs" dxfId="52" priority="4" operator="greaterThan">
      <formula>0.3</formula>
    </cfRule>
  </conditionalFormatting>
  <conditionalFormatting sqref="K82">
    <cfRule type="cellIs" dxfId="51" priority="1" operator="lessThan">
      <formula>0.3</formula>
    </cfRule>
    <cfRule type="cellIs" dxfId="50" priority="2" operator="greaterThan">
      <formula>0.3</formula>
    </cfRule>
  </conditionalFormatting>
  <pageMargins left="0.7" right="0.7" top="0.75" bottom="0.75" header="0.3" footer="0.3"/>
  <pageSetup orientation="portrait" horizontalDpi="1200" verticalDpi="1200" r:id="rId1"/>
  <drawing r:id="rId2"/>
  <tableParts count="5">
    <tablePart r:id="rId3"/>
    <tablePart r:id="rId4"/>
    <tablePart r:id="rId5"/>
    <tablePart r:id="rId6"/>
    <tablePart r:id="rId7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267FB-D871-4309-BE77-CD641D4FBF3E}">
  <dimension ref="B6:I122"/>
  <sheetViews>
    <sheetView showGridLines="0" topLeftCell="A100" workbookViewId="0">
      <selection activeCell="F125" sqref="F125"/>
    </sheetView>
  </sheetViews>
  <sheetFormatPr baseColWidth="10" defaultRowHeight="14.4" x14ac:dyDescent="0.3"/>
  <cols>
    <col min="1" max="1" width="6.33203125" customWidth="1"/>
    <col min="2" max="2" width="40.109375" bestFit="1" customWidth="1"/>
    <col min="7" max="7" width="3.5546875" customWidth="1"/>
    <col min="8" max="8" width="27.33203125" bestFit="1" customWidth="1"/>
  </cols>
  <sheetData>
    <row r="6" spans="2:9" x14ac:dyDescent="0.3">
      <c r="B6" s="16" t="s">
        <v>794</v>
      </c>
      <c r="C6" s="2"/>
      <c r="D6" s="2"/>
      <c r="E6" s="3"/>
      <c r="F6" s="3"/>
      <c r="G6" s="4"/>
      <c r="H6" s="277" t="s">
        <v>0</v>
      </c>
      <c r="I6" s="277"/>
    </row>
    <row r="7" spans="2:9" x14ac:dyDescent="0.3">
      <c r="B7" s="13" t="s">
        <v>1</v>
      </c>
      <c r="C7" s="14" t="s">
        <v>2</v>
      </c>
      <c r="D7" s="14" t="s">
        <v>3</v>
      </c>
      <c r="E7" s="28" t="s">
        <v>4</v>
      </c>
      <c r="F7" s="28" t="s">
        <v>5</v>
      </c>
      <c r="G7" s="4"/>
      <c r="H7" s="5" t="s">
        <v>6</v>
      </c>
      <c r="I7" s="6">
        <f>SUM(Tabla11034534544554564791081351121722993063164[Total costo])</f>
        <v>8377.1428571399993</v>
      </c>
    </row>
    <row r="8" spans="2:9" x14ac:dyDescent="0.3">
      <c r="B8" s="7" t="s">
        <v>56</v>
      </c>
      <c r="C8" s="8" t="s">
        <v>776</v>
      </c>
      <c r="D8" s="9">
        <v>1</v>
      </c>
      <c r="E8" s="10">
        <f>+VLOOKUP(Tabla11034534544554564791081351121722993063164[[#This Row],[Ingrediente]],Tabla34[#All],3,0)</f>
        <v>8377.1428571399993</v>
      </c>
      <c r="F8" s="11">
        <f>+Tabla11034534544554564791081351121722993063164[[#This Row],[Costo]]*Tabla11034534544554564791081351121722993063164[[#This Row],[Cant.]]</f>
        <v>8377.1428571399993</v>
      </c>
      <c r="G8" s="4"/>
      <c r="H8" s="5" t="s">
        <v>113</v>
      </c>
      <c r="I8" s="12"/>
    </row>
    <row r="9" spans="2:9" x14ac:dyDescent="0.3">
      <c r="B9" s="13"/>
      <c r="C9" s="14"/>
      <c r="D9" s="14"/>
      <c r="E9" s="15"/>
      <c r="F9" s="15">
        <f>SUBTOTAL(109,Tabla11034534544554564791081351121722993063164[Total costo])</f>
        <v>8377.1428571399993</v>
      </c>
      <c r="G9" s="4"/>
      <c r="H9" s="5" t="s">
        <v>9</v>
      </c>
      <c r="I9" s="12">
        <f>+I7+I8</f>
        <v>8377.1428571399993</v>
      </c>
    </row>
    <row r="10" spans="2:9" x14ac:dyDescent="0.3">
      <c r="G10" s="4"/>
      <c r="H10" s="17" t="s">
        <v>10</v>
      </c>
      <c r="I10" s="18">
        <v>22900</v>
      </c>
    </row>
    <row r="11" spans="2:9" x14ac:dyDescent="0.3">
      <c r="G11" s="4"/>
      <c r="H11" s="5" t="s">
        <v>11</v>
      </c>
      <c r="I11" s="12">
        <f>+I10/1.08*0.08</f>
        <v>1696.2962962962961</v>
      </c>
    </row>
    <row r="12" spans="2:9" x14ac:dyDescent="0.3">
      <c r="G12" s="4"/>
      <c r="H12" s="5" t="s">
        <v>12</v>
      </c>
      <c r="I12" s="12">
        <f>+I10-I11</f>
        <v>21203.703703703704</v>
      </c>
    </row>
    <row r="13" spans="2:9" x14ac:dyDescent="0.3">
      <c r="G13" s="4"/>
      <c r="H13" s="5" t="s">
        <v>13</v>
      </c>
      <c r="I13" s="19">
        <f>+I9/I12</f>
        <v>0.39507922645027072</v>
      </c>
    </row>
    <row r="14" spans="2:9" x14ac:dyDescent="0.3">
      <c r="G14" s="4"/>
      <c r="H14" s="5" t="s">
        <v>14</v>
      </c>
      <c r="I14" s="20">
        <f>+I12-I9</f>
        <v>12826.560846563705</v>
      </c>
    </row>
    <row r="15" spans="2:9" x14ac:dyDescent="0.3">
      <c r="G15" s="4"/>
      <c r="H15" s="5" t="s">
        <v>15</v>
      </c>
      <c r="I15" s="22">
        <f>+I14/I9</f>
        <v>1.5311378909614013</v>
      </c>
    </row>
    <row r="16" spans="2:9" x14ac:dyDescent="0.3">
      <c r="G16" s="4"/>
      <c r="H16" s="4"/>
      <c r="I16" s="23"/>
    </row>
    <row r="19" spans="2:9" x14ac:dyDescent="0.3">
      <c r="B19" s="16" t="s">
        <v>795</v>
      </c>
      <c r="C19" s="2"/>
      <c r="D19" s="2"/>
      <c r="E19" s="3"/>
      <c r="F19" s="3"/>
      <c r="G19" s="4"/>
      <c r="H19" s="277" t="s">
        <v>0</v>
      </c>
      <c r="I19" s="277"/>
    </row>
    <row r="20" spans="2:9" x14ac:dyDescent="0.3">
      <c r="B20" s="13" t="s">
        <v>1</v>
      </c>
      <c r="C20" s="14" t="s">
        <v>2</v>
      </c>
      <c r="D20" s="14" t="s">
        <v>3</v>
      </c>
      <c r="E20" s="28" t="s">
        <v>4</v>
      </c>
      <c r="F20" s="28" t="s">
        <v>5</v>
      </c>
      <c r="G20" s="4"/>
      <c r="H20" s="5" t="s">
        <v>6</v>
      </c>
      <c r="I20" s="6">
        <f>SUM(Tabla11034534544554564791081351121722993063164283[Total costo])</f>
        <v>7857</v>
      </c>
    </row>
    <row r="21" spans="2:9" x14ac:dyDescent="0.3">
      <c r="B21" s="7" t="s">
        <v>379</v>
      </c>
      <c r="C21" s="8" t="s">
        <v>776</v>
      </c>
      <c r="D21" s="9">
        <v>1</v>
      </c>
      <c r="E21" s="10">
        <f>+VLOOKUP(Tabla11034534544554564791081351121722993063164283[[#This Row],[Ingrediente]],Tabla34[#All],3,0)</f>
        <v>7857</v>
      </c>
      <c r="F21" s="11">
        <f>+Tabla11034534544554564791081351121722993063164283[[#This Row],[Costo]]*Tabla11034534544554564791081351121722993063164283[[#This Row],[Cant.]]</f>
        <v>7857</v>
      </c>
      <c r="G21" s="4"/>
      <c r="H21" s="5" t="s">
        <v>113</v>
      </c>
      <c r="I21" s="12"/>
    </row>
    <row r="22" spans="2:9" x14ac:dyDescent="0.3">
      <c r="B22" s="13"/>
      <c r="C22" s="14"/>
      <c r="D22" s="14"/>
      <c r="E22" s="15"/>
      <c r="F22" s="15">
        <f>SUBTOTAL(109,Tabla11034534544554564791081351121722993063164283[Total costo])</f>
        <v>7857</v>
      </c>
      <c r="G22" s="4"/>
      <c r="H22" s="5" t="s">
        <v>9</v>
      </c>
      <c r="I22" s="12">
        <f>+I20+I21</f>
        <v>7857</v>
      </c>
    </row>
    <row r="23" spans="2:9" x14ac:dyDescent="0.3">
      <c r="G23" s="4"/>
      <c r="H23" s="17" t="s">
        <v>10</v>
      </c>
      <c r="I23" s="18">
        <v>22900</v>
      </c>
    </row>
    <row r="24" spans="2:9" x14ac:dyDescent="0.3">
      <c r="G24" s="4"/>
      <c r="H24" s="5" t="s">
        <v>11</v>
      </c>
      <c r="I24" s="12">
        <f>+I23/1.08*0.08</f>
        <v>1696.2962962962961</v>
      </c>
    </row>
    <row r="25" spans="2:9" x14ac:dyDescent="0.3">
      <c r="G25" s="4"/>
      <c r="H25" s="5" t="s">
        <v>12</v>
      </c>
      <c r="I25" s="12">
        <f>+I23-I24</f>
        <v>21203.703703703704</v>
      </c>
    </row>
    <row r="26" spans="2:9" x14ac:dyDescent="0.3">
      <c r="G26" s="4"/>
      <c r="H26" s="5" t="s">
        <v>13</v>
      </c>
      <c r="I26" s="19">
        <f>+I22/I25</f>
        <v>0.37054847161572052</v>
      </c>
    </row>
    <row r="27" spans="2:9" x14ac:dyDescent="0.3">
      <c r="G27" s="4"/>
      <c r="H27" s="5" t="s">
        <v>14</v>
      </c>
      <c r="I27" s="20">
        <f>+I25-I22</f>
        <v>13346.703703703704</v>
      </c>
    </row>
    <row r="28" spans="2:9" x14ac:dyDescent="0.3">
      <c r="G28" s="4"/>
      <c r="H28" s="5" t="s">
        <v>15</v>
      </c>
      <c r="I28" s="22">
        <f>+I27/I22</f>
        <v>1.6987022659671254</v>
      </c>
    </row>
    <row r="31" spans="2:9" x14ac:dyDescent="0.3">
      <c r="B31" s="16" t="s">
        <v>792</v>
      </c>
      <c r="C31" s="2"/>
      <c r="D31" s="2"/>
      <c r="E31" s="3"/>
      <c r="F31" s="3"/>
      <c r="G31" s="4"/>
      <c r="H31" s="277" t="s">
        <v>0</v>
      </c>
      <c r="I31" s="277"/>
    </row>
    <row r="32" spans="2:9" x14ac:dyDescent="0.3">
      <c r="B32" s="13" t="s">
        <v>1</v>
      </c>
      <c r="C32" s="14" t="s">
        <v>2</v>
      </c>
      <c r="D32" s="14" t="s">
        <v>3</v>
      </c>
      <c r="E32" s="28" t="s">
        <v>4</v>
      </c>
      <c r="F32" s="28" t="s">
        <v>5</v>
      </c>
      <c r="G32" s="4"/>
      <c r="H32" s="5" t="s">
        <v>6</v>
      </c>
      <c r="I32" s="6">
        <f>SUM(Tabla11034534544554564791081351121722993063164284[Total costo])</f>
        <v>1234.3916666699999</v>
      </c>
    </row>
    <row r="33" spans="2:9" x14ac:dyDescent="0.3">
      <c r="B33" s="61" t="s">
        <v>466</v>
      </c>
      <c r="C33" s="8" t="s">
        <v>776</v>
      </c>
      <c r="D33" s="9">
        <v>1</v>
      </c>
      <c r="E33" s="10">
        <f>+VLOOKUP(Tabla11034534544554564791081351121722993063164284[[#This Row],[Ingrediente]],Tabla34[#All],3,0)</f>
        <v>1234.3916666699999</v>
      </c>
      <c r="F33" s="11">
        <f>+Tabla11034534544554564791081351121722993063164284[[#This Row],[Costo]]*Tabla11034534544554564791081351121722993063164284[[#This Row],[Cant.]]</f>
        <v>1234.3916666699999</v>
      </c>
      <c r="G33" s="4"/>
      <c r="H33" s="5" t="s">
        <v>113</v>
      </c>
      <c r="I33" s="12"/>
    </row>
    <row r="34" spans="2:9" x14ac:dyDescent="0.3">
      <c r="B34" s="13"/>
      <c r="C34" s="14"/>
      <c r="D34" s="14"/>
      <c r="E34" s="15"/>
      <c r="F34" s="15">
        <f>SUBTOTAL(109,Tabla11034534544554564791081351121722993063164284[Total costo])</f>
        <v>1234.3916666699999</v>
      </c>
      <c r="G34" s="4"/>
      <c r="H34" s="5" t="s">
        <v>9</v>
      </c>
      <c r="I34" s="12">
        <f>+I32+I33</f>
        <v>1234.3916666699999</v>
      </c>
    </row>
    <row r="35" spans="2:9" x14ac:dyDescent="0.3">
      <c r="G35" s="4"/>
      <c r="H35" s="17" t="s">
        <v>10</v>
      </c>
      <c r="I35" s="18">
        <v>8000</v>
      </c>
    </row>
    <row r="36" spans="2:9" x14ac:dyDescent="0.3">
      <c r="G36" s="4"/>
      <c r="H36" s="5" t="s">
        <v>11</v>
      </c>
      <c r="I36" s="12">
        <f>+I35/1.08*0.08</f>
        <v>592.59259259259261</v>
      </c>
    </row>
    <row r="37" spans="2:9" x14ac:dyDescent="0.3">
      <c r="G37" s="4"/>
      <c r="H37" s="5" t="s">
        <v>12</v>
      </c>
      <c r="I37" s="12">
        <f>+I35-I36</f>
        <v>7407.4074074074069</v>
      </c>
    </row>
    <row r="38" spans="2:9" x14ac:dyDescent="0.3">
      <c r="G38" s="4"/>
      <c r="H38" s="5" t="s">
        <v>13</v>
      </c>
      <c r="I38" s="19">
        <f>+I34/I37</f>
        <v>0.16664287500045</v>
      </c>
    </row>
    <row r="39" spans="2:9" x14ac:dyDescent="0.3">
      <c r="G39" s="4"/>
      <c r="H39" s="5" t="s">
        <v>14</v>
      </c>
      <c r="I39" s="20">
        <f>+I37-I34</f>
        <v>6173.0157407374072</v>
      </c>
    </row>
    <row r="40" spans="2:9" x14ac:dyDescent="0.3">
      <c r="G40" s="4"/>
      <c r="H40" s="5" t="s">
        <v>15</v>
      </c>
      <c r="I40" s="22">
        <f>+I39/I34</f>
        <v>5.0008566222666264</v>
      </c>
    </row>
    <row r="42" spans="2:9" x14ac:dyDescent="0.3">
      <c r="B42" s="16" t="s">
        <v>796</v>
      </c>
      <c r="C42" s="2"/>
      <c r="D42" s="2"/>
      <c r="E42" s="3"/>
      <c r="F42" s="3"/>
      <c r="G42" s="4"/>
      <c r="H42" s="277" t="s">
        <v>0</v>
      </c>
      <c r="I42" s="277"/>
    </row>
    <row r="43" spans="2:9" x14ac:dyDescent="0.3">
      <c r="B43" s="13" t="s">
        <v>1</v>
      </c>
      <c r="C43" s="14" t="s">
        <v>2</v>
      </c>
      <c r="D43" s="14" t="s">
        <v>3</v>
      </c>
      <c r="E43" s="28" t="s">
        <v>4</v>
      </c>
      <c r="F43" s="28" t="s">
        <v>5</v>
      </c>
      <c r="G43" s="4"/>
      <c r="H43" s="5" t="s">
        <v>6</v>
      </c>
      <c r="I43" s="6">
        <f>SUM(Tabla11034534544554564791081351121722993063164285[Total costo])</f>
        <v>1654.2166666700002</v>
      </c>
    </row>
    <row r="44" spans="2:9" x14ac:dyDescent="0.3">
      <c r="B44" s="61" t="s">
        <v>405</v>
      </c>
      <c r="C44" s="8" t="s">
        <v>776</v>
      </c>
      <c r="D44" s="9">
        <v>1</v>
      </c>
      <c r="E44" s="10">
        <f>+VLOOKUP(Tabla11034534544554564791081351121722993063164285[[#This Row],[Ingrediente]],Tabla34[#All],3,0)</f>
        <v>1654.2166666700002</v>
      </c>
      <c r="F44" s="11">
        <f>+Tabla11034534544554564791081351121722993063164285[[#This Row],[Costo]]*Tabla11034534544554564791081351121722993063164285[[#This Row],[Cant.]]</f>
        <v>1654.2166666700002</v>
      </c>
      <c r="G44" s="4"/>
      <c r="H44" s="5" t="s">
        <v>113</v>
      </c>
      <c r="I44" s="12"/>
    </row>
    <row r="45" spans="2:9" x14ac:dyDescent="0.3">
      <c r="B45" s="13"/>
      <c r="C45" s="14"/>
      <c r="D45" s="14"/>
      <c r="E45" s="15"/>
      <c r="F45" s="15">
        <f>SUBTOTAL(109,Tabla11034534544554564791081351121722993063164285[Total costo])</f>
        <v>1654.2166666700002</v>
      </c>
      <c r="G45" s="4"/>
      <c r="H45" s="5" t="s">
        <v>9</v>
      </c>
      <c r="I45" s="12">
        <f>+I43+I44</f>
        <v>1654.2166666700002</v>
      </c>
    </row>
    <row r="46" spans="2:9" x14ac:dyDescent="0.3">
      <c r="G46" s="4"/>
      <c r="H46" s="17" t="s">
        <v>10</v>
      </c>
      <c r="I46" s="18">
        <v>8000</v>
      </c>
    </row>
    <row r="47" spans="2:9" x14ac:dyDescent="0.3">
      <c r="G47" s="4"/>
      <c r="H47" s="5" t="s">
        <v>11</v>
      </c>
      <c r="I47" s="12">
        <f>+I46/1.08*0.08</f>
        <v>592.59259259259261</v>
      </c>
    </row>
    <row r="48" spans="2:9" x14ac:dyDescent="0.3">
      <c r="G48" s="4"/>
      <c r="H48" s="5" t="s">
        <v>12</v>
      </c>
      <c r="I48" s="12">
        <f>+I46-I47</f>
        <v>7407.4074074074069</v>
      </c>
    </row>
    <row r="49" spans="2:9" x14ac:dyDescent="0.3">
      <c r="G49" s="4"/>
      <c r="H49" s="5" t="s">
        <v>13</v>
      </c>
      <c r="I49" s="19">
        <f>+I45/I48</f>
        <v>0.22331925000045005</v>
      </c>
    </row>
    <row r="50" spans="2:9" x14ac:dyDescent="0.3">
      <c r="G50" s="4"/>
      <c r="H50" s="5" t="s">
        <v>14</v>
      </c>
      <c r="I50" s="20">
        <f>+I48-I45</f>
        <v>5753.1907407374065</v>
      </c>
    </row>
    <row r="51" spans="2:9" x14ac:dyDescent="0.3">
      <c r="G51" s="4"/>
      <c r="H51" s="5" t="s">
        <v>15</v>
      </c>
      <c r="I51" s="22">
        <f>+I50/I45</f>
        <v>3.4778943149683008</v>
      </c>
    </row>
    <row r="54" spans="2:9" x14ac:dyDescent="0.3">
      <c r="B54" s="1" t="s">
        <v>268</v>
      </c>
      <c r="C54" s="2"/>
      <c r="D54" s="2"/>
      <c r="E54" s="3"/>
      <c r="F54" s="3"/>
      <c r="G54" s="4"/>
      <c r="H54" s="277" t="s">
        <v>0</v>
      </c>
      <c r="I54" s="277"/>
    </row>
    <row r="55" spans="2:9" x14ac:dyDescent="0.3">
      <c r="B55" s="13" t="s">
        <v>1</v>
      </c>
      <c r="C55" s="14" t="s">
        <v>2</v>
      </c>
      <c r="D55" s="14" t="s">
        <v>3</v>
      </c>
      <c r="E55" s="28" t="s">
        <v>4</v>
      </c>
      <c r="F55" s="28" t="s">
        <v>5</v>
      </c>
      <c r="G55" s="4"/>
      <c r="H55" s="5" t="s">
        <v>6</v>
      </c>
      <c r="I55" s="6">
        <f>SUM(Tabla11034534544554564791081351121722993063164287[Total costo])</f>
        <v>1497.5916666700002</v>
      </c>
    </row>
    <row r="56" spans="2:9" x14ac:dyDescent="0.3">
      <c r="B56" s="7" t="s">
        <v>410</v>
      </c>
      <c r="C56" s="8" t="s">
        <v>776</v>
      </c>
      <c r="D56" s="9">
        <v>1</v>
      </c>
      <c r="E56" s="10">
        <f>+VLOOKUP(Tabla11034534544554564791081351121722993063164287[[#This Row],[Ingrediente]],Tabla34[#All],3,0)</f>
        <v>1497.5916666700002</v>
      </c>
      <c r="F56" s="11">
        <f>+Tabla11034534544554564791081351121722993063164287[[#This Row],[Costo]]*Tabla11034534544554564791081351121722993063164287[[#This Row],[Cant.]]</f>
        <v>1497.5916666700002</v>
      </c>
      <c r="G56" s="4"/>
      <c r="H56" s="5" t="s">
        <v>113</v>
      </c>
      <c r="I56" s="12"/>
    </row>
    <row r="57" spans="2:9" x14ac:dyDescent="0.3">
      <c r="B57" s="13"/>
      <c r="C57" s="14"/>
      <c r="D57" s="14"/>
      <c r="E57" s="15"/>
      <c r="F57" s="15">
        <f>SUBTOTAL(109,Tabla11034534544554564791081351121722993063164287[Total costo])</f>
        <v>1497.5916666700002</v>
      </c>
      <c r="G57" s="4"/>
      <c r="H57" s="5" t="s">
        <v>9</v>
      </c>
      <c r="I57" s="12">
        <f>+I55+I56</f>
        <v>1497.5916666700002</v>
      </c>
    </row>
    <row r="58" spans="2:9" x14ac:dyDescent="0.3">
      <c r="G58" s="4"/>
      <c r="H58" s="17" t="s">
        <v>10</v>
      </c>
      <c r="I58" s="18">
        <v>8900</v>
      </c>
    </row>
    <row r="59" spans="2:9" x14ac:dyDescent="0.3">
      <c r="G59" s="4"/>
      <c r="H59" s="5" t="s">
        <v>11</v>
      </c>
      <c r="I59" s="12">
        <f>+I58/1.08*0.08</f>
        <v>659.25925925925924</v>
      </c>
    </row>
    <row r="60" spans="2:9" x14ac:dyDescent="0.3">
      <c r="G60" s="4"/>
      <c r="H60" s="5" t="s">
        <v>12</v>
      </c>
      <c r="I60" s="12">
        <f>+I58-I59</f>
        <v>8240.7407407407409</v>
      </c>
    </row>
    <row r="61" spans="2:9" x14ac:dyDescent="0.3">
      <c r="G61" s="4"/>
      <c r="H61" s="5" t="s">
        <v>13</v>
      </c>
      <c r="I61" s="19">
        <f>+I57/I60</f>
        <v>0.18173022471950565</v>
      </c>
    </row>
    <row r="62" spans="2:9" x14ac:dyDescent="0.3">
      <c r="G62" s="4"/>
      <c r="H62" s="5" t="s">
        <v>14</v>
      </c>
      <c r="I62" s="20">
        <f>+I60-I57</f>
        <v>6743.1490740707404</v>
      </c>
    </row>
    <row r="63" spans="2:9" x14ac:dyDescent="0.3">
      <c r="G63" s="4"/>
      <c r="H63" s="5" t="s">
        <v>15</v>
      </c>
      <c r="I63" s="22">
        <f>+I62/I57</f>
        <v>4.5026619900100027</v>
      </c>
    </row>
    <row r="65" spans="2:9" x14ac:dyDescent="0.3">
      <c r="B65" s="1" t="s">
        <v>269</v>
      </c>
      <c r="C65" s="2"/>
      <c r="D65" s="2"/>
      <c r="E65" s="3"/>
      <c r="F65" s="3"/>
      <c r="G65" s="4"/>
      <c r="H65" s="277" t="s">
        <v>0</v>
      </c>
      <c r="I65" s="277"/>
    </row>
    <row r="66" spans="2:9" x14ac:dyDescent="0.3">
      <c r="B66" s="13" t="s">
        <v>1</v>
      </c>
      <c r="C66" s="14" t="s">
        <v>2</v>
      </c>
      <c r="D66" s="14" t="s">
        <v>3</v>
      </c>
      <c r="E66" s="28" t="s">
        <v>4</v>
      </c>
      <c r="F66" s="28" t="s">
        <v>5</v>
      </c>
      <c r="G66" s="4"/>
      <c r="H66" s="5" t="s">
        <v>6</v>
      </c>
      <c r="I66" s="6">
        <f>SUM(Tabla11034534544554564791081351121722993063164289[Total costo])</f>
        <v>1709.9658273299999</v>
      </c>
    </row>
    <row r="67" spans="2:9" x14ac:dyDescent="0.3">
      <c r="B67" s="7" t="s">
        <v>239</v>
      </c>
      <c r="C67" s="8" t="s">
        <v>776</v>
      </c>
      <c r="D67" s="9">
        <v>1</v>
      </c>
      <c r="E67" s="10">
        <f>+VLOOKUP(Tabla11034534544554564791081351121722993063164289[[#This Row],[Ingrediente]],Tabla34[#All],3,0)</f>
        <v>1709.9658273299999</v>
      </c>
      <c r="F67" s="11">
        <f>+Tabla11034534544554564791081351121722993063164289[[#This Row],[Costo]]*Tabla11034534544554564791081351121722993063164289[[#This Row],[Cant.]]</f>
        <v>1709.9658273299999</v>
      </c>
      <c r="G67" s="4"/>
      <c r="H67" s="5" t="s">
        <v>113</v>
      </c>
      <c r="I67" s="12"/>
    </row>
    <row r="68" spans="2:9" x14ac:dyDescent="0.3">
      <c r="B68" s="13"/>
      <c r="C68" s="14"/>
      <c r="D68" s="14"/>
      <c r="E68" s="15"/>
      <c r="F68" s="15">
        <f>SUBTOTAL(109,Tabla11034534544554564791081351121722993063164289[Total costo])</f>
        <v>1709.9658273299999</v>
      </c>
      <c r="G68" s="4"/>
      <c r="H68" s="5" t="s">
        <v>9</v>
      </c>
      <c r="I68" s="12">
        <f>+I66+I67</f>
        <v>1709.9658273299999</v>
      </c>
    </row>
    <row r="69" spans="2:9" x14ac:dyDescent="0.3">
      <c r="G69" s="4"/>
      <c r="H69" s="17" t="s">
        <v>10</v>
      </c>
      <c r="I69" s="18">
        <v>8900</v>
      </c>
    </row>
    <row r="70" spans="2:9" x14ac:dyDescent="0.3">
      <c r="G70" s="4"/>
      <c r="H70" s="5" t="s">
        <v>11</v>
      </c>
      <c r="I70" s="12">
        <f>+I69/1.08*0.08</f>
        <v>659.25925925925924</v>
      </c>
    </row>
    <row r="71" spans="2:9" x14ac:dyDescent="0.3">
      <c r="G71" s="4"/>
      <c r="H71" s="5" t="s">
        <v>12</v>
      </c>
      <c r="I71" s="12">
        <f>+I69-I70</f>
        <v>8240.7407407407409</v>
      </c>
    </row>
    <row r="72" spans="2:9" x14ac:dyDescent="0.3">
      <c r="G72" s="4"/>
      <c r="H72" s="5" t="s">
        <v>13</v>
      </c>
      <c r="I72" s="19">
        <f>+I68/I71</f>
        <v>0.20750147118161796</v>
      </c>
    </row>
    <row r="73" spans="2:9" x14ac:dyDescent="0.3">
      <c r="G73" s="4"/>
      <c r="H73" s="5" t="s">
        <v>14</v>
      </c>
      <c r="I73" s="20">
        <f>+I71-I68</f>
        <v>6530.7749134107407</v>
      </c>
    </row>
    <row r="74" spans="2:9" x14ac:dyDescent="0.3">
      <c r="G74" s="4"/>
      <c r="H74" s="5" t="s">
        <v>15</v>
      </c>
      <c r="I74" s="22">
        <f>+I73/I68</f>
        <v>3.8192429398475873</v>
      </c>
    </row>
    <row r="76" spans="2:9" x14ac:dyDescent="0.3">
      <c r="B76" s="16" t="s">
        <v>833</v>
      </c>
      <c r="C76" s="2"/>
      <c r="D76" s="2"/>
      <c r="E76" s="3"/>
      <c r="F76" s="3"/>
      <c r="G76" s="4"/>
      <c r="H76" s="277" t="s">
        <v>0</v>
      </c>
      <c r="I76" s="277"/>
    </row>
    <row r="77" spans="2:9" x14ac:dyDescent="0.3">
      <c r="B77" s="13" t="s">
        <v>1</v>
      </c>
      <c r="C77" s="14" t="s">
        <v>2</v>
      </c>
      <c r="D77" s="14" t="s">
        <v>3</v>
      </c>
      <c r="E77" s="28" t="s">
        <v>4</v>
      </c>
      <c r="F77" s="28" t="s">
        <v>5</v>
      </c>
      <c r="G77" s="4"/>
      <c r="H77" s="5" t="s">
        <v>6</v>
      </c>
      <c r="I77" s="6">
        <f>SUM(Tabla11034534544554564791081351121722993063164290[Total costo])</f>
        <v>2284.1416666700002</v>
      </c>
    </row>
    <row r="78" spans="2:9" x14ac:dyDescent="0.3">
      <c r="B78" s="7" t="s">
        <v>270</v>
      </c>
      <c r="C78" s="8" t="s">
        <v>776</v>
      </c>
      <c r="D78" s="9">
        <v>1</v>
      </c>
      <c r="E78" s="10">
        <f>+VLOOKUP(Tabla11034534544554564791081351121722993063164290[[#This Row],[Ingrediente]],Tabla34[#All],3,0)</f>
        <v>2284.1416666700002</v>
      </c>
      <c r="F78" s="11">
        <f>+Tabla11034534544554564791081351121722993063164290[[#This Row],[Costo]]*Tabla11034534544554564791081351121722993063164290[[#This Row],[Cant.]]</f>
        <v>2284.1416666700002</v>
      </c>
      <c r="G78" s="4"/>
      <c r="H78" s="5" t="s">
        <v>113</v>
      </c>
      <c r="I78" s="12"/>
    </row>
    <row r="79" spans="2:9" x14ac:dyDescent="0.3">
      <c r="B79" s="13"/>
      <c r="C79" s="14"/>
      <c r="D79" s="14"/>
      <c r="E79" s="15"/>
      <c r="F79" s="15">
        <f>SUBTOTAL(109,Tabla11034534544554564791081351121722993063164290[Total costo])</f>
        <v>2284.1416666700002</v>
      </c>
      <c r="G79" s="4"/>
      <c r="H79" s="5" t="s">
        <v>9</v>
      </c>
      <c r="I79" s="12">
        <f>+I77+I78</f>
        <v>2284.1416666700002</v>
      </c>
    </row>
    <row r="80" spans="2:9" x14ac:dyDescent="0.3">
      <c r="G80" s="4"/>
      <c r="H80" s="17" t="s">
        <v>10</v>
      </c>
      <c r="I80" s="18">
        <v>8900</v>
      </c>
    </row>
    <row r="81" spans="2:9" x14ac:dyDescent="0.3">
      <c r="G81" s="4"/>
      <c r="H81" s="5" t="s">
        <v>11</v>
      </c>
      <c r="I81" s="12">
        <f>+I80/1.08*0.08</f>
        <v>659.25925925925924</v>
      </c>
    </row>
    <row r="82" spans="2:9" x14ac:dyDescent="0.3">
      <c r="G82" s="4"/>
      <c r="H82" s="5" t="s">
        <v>12</v>
      </c>
      <c r="I82" s="12">
        <f>+I80-I81</f>
        <v>8240.7407407407409</v>
      </c>
    </row>
    <row r="83" spans="2:9" x14ac:dyDescent="0.3">
      <c r="G83" s="4"/>
      <c r="H83" s="5" t="s">
        <v>13</v>
      </c>
      <c r="I83" s="19">
        <f>+I79/I82</f>
        <v>0.27717674157343825</v>
      </c>
    </row>
    <row r="84" spans="2:9" x14ac:dyDescent="0.3">
      <c r="G84" s="4"/>
      <c r="H84" s="5" t="s">
        <v>14</v>
      </c>
      <c r="I84" s="20">
        <f>+I82-I79</f>
        <v>5956.5990740707402</v>
      </c>
    </row>
    <row r="85" spans="2:9" x14ac:dyDescent="0.3">
      <c r="G85" s="4"/>
      <c r="H85" s="5" t="s">
        <v>15</v>
      </c>
      <c r="I85" s="22">
        <f>+I84/I79</f>
        <v>2.60780631997959</v>
      </c>
    </row>
    <row r="89" spans="2:9" x14ac:dyDescent="0.3">
      <c r="B89" s="16" t="s">
        <v>834</v>
      </c>
      <c r="C89" s="2"/>
      <c r="D89" s="2"/>
      <c r="E89" s="3"/>
      <c r="F89" s="3"/>
      <c r="G89" s="4"/>
      <c r="H89" s="277" t="s">
        <v>0</v>
      </c>
      <c r="I89" s="277"/>
    </row>
    <row r="90" spans="2:9" x14ac:dyDescent="0.3">
      <c r="B90" s="13" t="s">
        <v>1</v>
      </c>
      <c r="C90" s="14" t="s">
        <v>2</v>
      </c>
      <c r="D90" s="14" t="s">
        <v>3</v>
      </c>
      <c r="E90" s="28" t="s">
        <v>4</v>
      </c>
      <c r="F90" s="28" t="s">
        <v>5</v>
      </c>
      <c r="G90" s="4"/>
      <c r="H90" s="5" t="s">
        <v>6</v>
      </c>
      <c r="I90" s="6">
        <f>SUM(Tabla11034534544554564791081351121722993063164290296[Total costo])</f>
        <v>2119.6875</v>
      </c>
    </row>
    <row r="91" spans="2:9" x14ac:dyDescent="0.3">
      <c r="B91" s="7" t="s">
        <v>271</v>
      </c>
      <c r="C91" s="8" t="s">
        <v>776</v>
      </c>
      <c r="D91" s="9">
        <v>1</v>
      </c>
      <c r="E91" s="10">
        <f>+VLOOKUP(Tabla11034534544554564791081351121722993063164290296[[#This Row],[Ingrediente]],Tabla34[#All],3,0)</f>
        <v>2119.6875</v>
      </c>
      <c r="F91" s="11">
        <f>+Tabla11034534544554564791081351121722993063164290296[[#This Row],[Costo]]*Tabla11034534544554564791081351121722993063164290296[[#This Row],[Cant.]]</f>
        <v>2119.6875</v>
      </c>
      <c r="G91" s="4"/>
      <c r="H91" s="5" t="s">
        <v>113</v>
      </c>
      <c r="I91" s="12"/>
    </row>
    <row r="92" spans="2:9" x14ac:dyDescent="0.3">
      <c r="B92" s="13"/>
      <c r="C92" s="14"/>
      <c r="D92" s="14"/>
      <c r="E92" s="15"/>
      <c r="F92" s="15">
        <f>SUBTOTAL(109,Tabla11034534544554564791081351121722993063164290296[Total costo])</f>
        <v>2119.6875</v>
      </c>
      <c r="G92" s="4"/>
      <c r="H92" s="5" t="s">
        <v>9</v>
      </c>
      <c r="I92" s="12">
        <f>+I90+I91</f>
        <v>2119.6875</v>
      </c>
    </row>
    <row r="93" spans="2:9" x14ac:dyDescent="0.3">
      <c r="G93" s="4"/>
      <c r="H93" s="17" t="s">
        <v>10</v>
      </c>
      <c r="I93" s="18">
        <v>8900</v>
      </c>
    </row>
    <row r="94" spans="2:9" x14ac:dyDescent="0.3">
      <c r="G94" s="4"/>
      <c r="H94" s="5" t="s">
        <v>11</v>
      </c>
      <c r="I94" s="12">
        <f>+I93/1.08*0.08</f>
        <v>659.25925925925924</v>
      </c>
    </row>
    <row r="95" spans="2:9" x14ac:dyDescent="0.3">
      <c r="G95" s="4"/>
      <c r="H95" s="5" t="s">
        <v>12</v>
      </c>
      <c r="I95" s="12">
        <f>+I93-I94</f>
        <v>8240.7407407407409</v>
      </c>
    </row>
    <row r="96" spans="2:9" x14ac:dyDescent="0.3">
      <c r="G96" s="4"/>
      <c r="H96" s="5" t="s">
        <v>13</v>
      </c>
      <c r="I96" s="19">
        <f>+I92/I95</f>
        <v>0.25722050561797755</v>
      </c>
    </row>
    <row r="97" spans="2:9" x14ac:dyDescent="0.3">
      <c r="G97" s="4"/>
      <c r="H97" s="5" t="s">
        <v>14</v>
      </c>
      <c r="I97" s="20">
        <f>+I95-I92</f>
        <v>6121.0532407407409</v>
      </c>
    </row>
    <row r="98" spans="2:9" x14ac:dyDescent="0.3">
      <c r="G98" s="4"/>
      <c r="H98" s="5" t="s">
        <v>15</v>
      </c>
      <c r="I98" s="22">
        <f>+I97/I92</f>
        <v>2.8877149300265916</v>
      </c>
    </row>
    <row r="101" spans="2:9" x14ac:dyDescent="0.3">
      <c r="B101" s="1" t="s">
        <v>939</v>
      </c>
      <c r="C101" s="2"/>
      <c r="D101" s="2"/>
      <c r="E101" s="3"/>
      <c r="F101" s="3"/>
      <c r="G101" s="4"/>
      <c r="H101" s="277" t="s">
        <v>0</v>
      </c>
      <c r="I101" s="277"/>
    </row>
    <row r="102" spans="2:9" x14ac:dyDescent="0.3">
      <c r="B102" s="13" t="s">
        <v>1</v>
      </c>
      <c r="C102" s="14" t="s">
        <v>2</v>
      </c>
      <c r="D102" s="14" t="s">
        <v>3</v>
      </c>
      <c r="E102" s="28" t="s">
        <v>4</v>
      </c>
      <c r="F102" s="28" t="s">
        <v>5</v>
      </c>
      <c r="G102" s="4"/>
      <c r="H102" s="5" t="s">
        <v>6</v>
      </c>
      <c r="I102" s="6">
        <f>SUM(Tabla11034534544554564791081351121722993063164290297[Total costo])</f>
        <v>3458</v>
      </c>
    </row>
    <row r="103" spans="2:9" x14ac:dyDescent="0.3">
      <c r="B103" s="7" t="s">
        <v>495</v>
      </c>
      <c r="C103" s="8" t="s">
        <v>776</v>
      </c>
      <c r="D103" s="9">
        <v>1</v>
      </c>
      <c r="E103" s="10">
        <f>+VLOOKUP(Tabla11034534544554564791081351121722993063164290297[[#This Row],[Ingrediente]],Tabla34[#All],3,0)</f>
        <v>3458</v>
      </c>
      <c r="F103" s="11">
        <f>+Tabla11034534544554564791081351121722993063164290297[[#This Row],[Costo]]*Tabla11034534544554564791081351121722993063164290297[[#This Row],[Cant.]]</f>
        <v>3458</v>
      </c>
      <c r="G103" s="4"/>
      <c r="H103" s="5" t="s">
        <v>113</v>
      </c>
      <c r="I103" s="12"/>
    </row>
    <row r="104" spans="2:9" x14ac:dyDescent="0.3">
      <c r="B104" s="13"/>
      <c r="C104" s="14"/>
      <c r="D104" s="14"/>
      <c r="E104" s="15"/>
      <c r="F104" s="15">
        <f>SUBTOTAL(109,Tabla11034534544554564791081351121722993063164290297[Total costo])</f>
        <v>3458</v>
      </c>
      <c r="G104" s="4"/>
      <c r="H104" s="5" t="s">
        <v>9</v>
      </c>
      <c r="I104" s="12">
        <f>+I102+I103</f>
        <v>3458</v>
      </c>
    </row>
    <row r="105" spans="2:9" x14ac:dyDescent="0.3">
      <c r="G105" s="4"/>
      <c r="H105" s="17" t="s">
        <v>10</v>
      </c>
      <c r="I105" s="18">
        <v>10900</v>
      </c>
    </row>
    <row r="106" spans="2:9" x14ac:dyDescent="0.3">
      <c r="G106" s="4"/>
      <c r="H106" s="5" t="s">
        <v>11</v>
      </c>
      <c r="I106" s="12">
        <f>+I105/1.08*0.08</f>
        <v>807.40740740740728</v>
      </c>
    </row>
    <row r="107" spans="2:9" x14ac:dyDescent="0.3">
      <c r="G107" s="4"/>
      <c r="H107" s="5" t="s">
        <v>12</v>
      </c>
      <c r="I107" s="12">
        <f>+I105-I106</f>
        <v>10092.592592592593</v>
      </c>
    </row>
    <row r="108" spans="2:9" x14ac:dyDescent="0.3">
      <c r="G108" s="4"/>
      <c r="H108" s="5" t="s">
        <v>13</v>
      </c>
      <c r="I108" s="19">
        <f>+I104/I107</f>
        <v>0.3426275229357798</v>
      </c>
    </row>
    <row r="109" spans="2:9" x14ac:dyDescent="0.3">
      <c r="G109" s="4"/>
      <c r="H109" s="5" t="s">
        <v>14</v>
      </c>
      <c r="I109" s="20">
        <f>+I107-I104</f>
        <v>6634.5925925925931</v>
      </c>
    </row>
    <row r="110" spans="2:9" x14ac:dyDescent="0.3">
      <c r="G110" s="4"/>
      <c r="H110" s="5" t="s">
        <v>15</v>
      </c>
      <c r="I110" s="22">
        <f>+I109/I104</f>
        <v>1.9186213396739713</v>
      </c>
    </row>
    <row r="113" spans="2:9" x14ac:dyDescent="0.3">
      <c r="B113" s="16" t="s">
        <v>890</v>
      </c>
      <c r="C113" s="2"/>
      <c r="D113" s="2"/>
      <c r="E113" s="3"/>
      <c r="F113" s="3"/>
      <c r="G113" s="4"/>
      <c r="H113" s="277" t="s">
        <v>0</v>
      </c>
      <c r="I113" s="277"/>
    </row>
    <row r="114" spans="2:9" x14ac:dyDescent="0.3">
      <c r="B114" s="13" t="s">
        <v>1</v>
      </c>
      <c r="C114" s="14" t="s">
        <v>2</v>
      </c>
      <c r="D114" s="14" t="s">
        <v>3</v>
      </c>
      <c r="E114" s="28" t="s">
        <v>4</v>
      </c>
      <c r="F114" s="28" t="s">
        <v>5</v>
      </c>
      <c r="G114" s="4"/>
      <c r="H114" s="5" t="s">
        <v>6</v>
      </c>
      <c r="I114" s="6">
        <f>SUM(Tabla11034534544554564791081351121722993063164290298[Total costo])</f>
        <v>6387.5</v>
      </c>
    </row>
    <row r="115" spans="2:9" x14ac:dyDescent="0.3">
      <c r="B115" s="7" t="s">
        <v>655</v>
      </c>
      <c r="C115" s="8" t="s">
        <v>776</v>
      </c>
      <c r="D115" s="9">
        <v>1</v>
      </c>
      <c r="E115" s="10">
        <f>+VLOOKUP(Tabla11034534544554564791081351121722993063164290298[[#This Row],[Ingrediente]],Tabla34[#All],3,0)</f>
        <v>6387.5</v>
      </c>
      <c r="F115" s="11">
        <f>+Tabla11034534544554564791081351121722993063164290298[[#This Row],[Costo]]*Tabla11034534544554564791081351121722993063164290298[[#This Row],[Cant.]]</f>
        <v>6387.5</v>
      </c>
      <c r="G115" s="4"/>
      <c r="H115" s="5" t="s">
        <v>113</v>
      </c>
      <c r="I115" s="12"/>
    </row>
    <row r="116" spans="2:9" x14ac:dyDescent="0.3">
      <c r="B116" s="13"/>
      <c r="C116" s="14"/>
      <c r="D116" s="14"/>
      <c r="E116" s="15"/>
      <c r="F116" s="15">
        <f>SUBTOTAL(109,Tabla11034534544554564791081351121722993063164290298[Total costo])</f>
        <v>6387.5</v>
      </c>
      <c r="G116" s="4"/>
      <c r="H116" s="5" t="s">
        <v>9</v>
      </c>
      <c r="I116" s="12">
        <f>+I114+I115</f>
        <v>6387.5</v>
      </c>
    </row>
    <row r="117" spans="2:9" x14ac:dyDescent="0.3">
      <c r="G117" s="4"/>
      <c r="H117" s="17" t="s">
        <v>10</v>
      </c>
      <c r="I117" s="18">
        <v>16500</v>
      </c>
    </row>
    <row r="118" spans="2:9" x14ac:dyDescent="0.3">
      <c r="G118" s="4"/>
      <c r="H118" s="5" t="s">
        <v>11</v>
      </c>
      <c r="I118" s="12">
        <f>+I117/1.08*0.08</f>
        <v>1222.2222222222222</v>
      </c>
    </row>
    <row r="119" spans="2:9" x14ac:dyDescent="0.3">
      <c r="G119" s="4"/>
      <c r="H119" s="5" t="s">
        <v>12</v>
      </c>
      <c r="I119" s="12">
        <f>+I117-I118</f>
        <v>15277.777777777777</v>
      </c>
    </row>
    <row r="120" spans="2:9" x14ac:dyDescent="0.3">
      <c r="G120" s="4"/>
      <c r="H120" s="5" t="s">
        <v>13</v>
      </c>
      <c r="I120" s="19">
        <f>+I116/I119</f>
        <v>0.41809090909090912</v>
      </c>
    </row>
    <row r="121" spans="2:9" x14ac:dyDescent="0.3">
      <c r="G121" s="4"/>
      <c r="H121" s="5" t="s">
        <v>14</v>
      </c>
      <c r="I121" s="20">
        <f>+I119-I116</f>
        <v>8890.2777777777774</v>
      </c>
    </row>
    <row r="122" spans="2:9" x14ac:dyDescent="0.3">
      <c r="G122" s="4"/>
      <c r="H122" s="5" t="s">
        <v>15</v>
      </c>
      <c r="I122" s="22">
        <f>+I121/I116</f>
        <v>1.3918243096325287</v>
      </c>
    </row>
  </sheetData>
  <mergeCells count="10">
    <mergeCell ref="H113:I113"/>
    <mergeCell ref="H6:I6"/>
    <mergeCell ref="H19:I19"/>
    <mergeCell ref="H31:I31"/>
    <mergeCell ref="H42:I42"/>
    <mergeCell ref="H54:I54"/>
    <mergeCell ref="H65:I65"/>
    <mergeCell ref="H76:I76"/>
    <mergeCell ref="H89:I89"/>
    <mergeCell ref="H101:I101"/>
  </mergeCells>
  <conditionalFormatting sqref="I13">
    <cfRule type="cellIs" dxfId="49" priority="33" operator="lessThan">
      <formula>0.3</formula>
    </cfRule>
    <cfRule type="cellIs" dxfId="48" priority="34" operator="greaterThan">
      <formula>0.3</formula>
    </cfRule>
  </conditionalFormatting>
  <conditionalFormatting sqref="I26">
    <cfRule type="cellIs" dxfId="47" priority="19" operator="lessThan">
      <formula>0.3</formula>
    </cfRule>
    <cfRule type="cellIs" dxfId="46" priority="20" operator="greaterThan">
      <formula>0.3</formula>
    </cfRule>
  </conditionalFormatting>
  <conditionalFormatting sqref="I38">
    <cfRule type="cellIs" dxfId="45" priority="17" operator="lessThan">
      <formula>0.3</formula>
    </cfRule>
    <cfRule type="cellIs" dxfId="44" priority="18" operator="greaterThan">
      <formula>0.3</formula>
    </cfRule>
  </conditionalFormatting>
  <conditionalFormatting sqref="I49">
    <cfRule type="cellIs" dxfId="43" priority="15" operator="lessThan">
      <formula>0.3</formula>
    </cfRule>
    <cfRule type="cellIs" dxfId="42" priority="16" operator="greaterThan">
      <formula>0.3</formula>
    </cfRule>
  </conditionalFormatting>
  <conditionalFormatting sqref="I61">
    <cfRule type="cellIs" dxfId="41" priority="13" operator="lessThan">
      <formula>0.3</formula>
    </cfRule>
    <cfRule type="cellIs" dxfId="40" priority="14" operator="greaterThan">
      <formula>0.3</formula>
    </cfRule>
  </conditionalFormatting>
  <conditionalFormatting sqref="I72">
    <cfRule type="cellIs" dxfId="39" priority="9" operator="lessThan">
      <formula>0.3</formula>
    </cfRule>
    <cfRule type="cellIs" dxfId="38" priority="10" operator="greaterThan">
      <formula>0.3</formula>
    </cfRule>
  </conditionalFormatting>
  <conditionalFormatting sqref="I83">
    <cfRule type="cellIs" dxfId="37" priority="7" operator="lessThan">
      <formula>0.3</formula>
    </cfRule>
    <cfRule type="cellIs" dxfId="36" priority="8" operator="greaterThan">
      <formula>0.3</formula>
    </cfRule>
  </conditionalFormatting>
  <conditionalFormatting sqref="I96">
    <cfRule type="cellIs" dxfId="35" priority="5" operator="lessThan">
      <formula>0.3</formula>
    </cfRule>
    <cfRule type="cellIs" dxfId="34" priority="6" operator="greaterThan">
      <formula>0.3</formula>
    </cfRule>
  </conditionalFormatting>
  <conditionalFormatting sqref="I108">
    <cfRule type="cellIs" dxfId="33" priority="3" operator="lessThan">
      <formula>0.3</formula>
    </cfRule>
    <cfRule type="cellIs" dxfId="32" priority="4" operator="greaterThan">
      <formula>0.3</formula>
    </cfRule>
  </conditionalFormatting>
  <conditionalFormatting sqref="I120">
    <cfRule type="cellIs" dxfId="31" priority="1" operator="lessThan">
      <formula>0.3</formula>
    </cfRule>
    <cfRule type="cellIs" dxfId="30" priority="2" operator="greaterThan">
      <formula>0.3</formula>
    </cfRule>
  </conditionalFormatting>
  <pageMargins left="0.7" right="0.7" top="0.75" bottom="0.75" header="0.3" footer="0.3"/>
  <drawing r:id="rId1"/>
  <tableParts count="1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704D0-747F-460C-B41C-B9DEAC394458}">
  <dimension ref="B6:K32"/>
  <sheetViews>
    <sheetView showGridLines="0" topLeftCell="A5" zoomScale="90" zoomScaleNormal="90" workbookViewId="0">
      <selection activeCell="G8" sqref="G8"/>
    </sheetView>
  </sheetViews>
  <sheetFormatPr baseColWidth="10" defaultRowHeight="14.4" x14ac:dyDescent="0.3"/>
  <cols>
    <col min="1" max="1" width="6.33203125" customWidth="1"/>
    <col min="2" max="2" width="40.109375" bestFit="1" customWidth="1"/>
    <col min="3" max="3" width="7.77734375" customWidth="1"/>
    <col min="4" max="4" width="11.5546875" bestFit="1" customWidth="1"/>
    <col min="5" max="5" width="7.77734375" customWidth="1"/>
    <col min="6" max="6" width="11.5546875" bestFit="1" customWidth="1"/>
    <col min="7" max="8" width="10.77734375" customWidth="1"/>
    <col min="9" max="9" width="3.77734375" customWidth="1"/>
    <col min="10" max="10" width="26.109375" bestFit="1" customWidth="1"/>
  </cols>
  <sheetData>
    <row r="6" spans="2:11" x14ac:dyDescent="0.3">
      <c r="B6" s="1" t="s">
        <v>736</v>
      </c>
      <c r="C6" s="2"/>
      <c r="D6" s="2"/>
      <c r="E6" s="3"/>
      <c r="F6" s="3"/>
      <c r="G6" s="99"/>
      <c r="H6" s="99"/>
      <c r="I6" s="4"/>
      <c r="J6" s="277" t="s">
        <v>0</v>
      </c>
      <c r="K6" s="277"/>
    </row>
    <row r="7" spans="2:11" ht="26.4" x14ac:dyDescent="0.3">
      <c r="B7" s="91" t="s">
        <v>1</v>
      </c>
      <c r="C7" s="14" t="s">
        <v>2</v>
      </c>
      <c r="D7" s="87" t="s">
        <v>571</v>
      </c>
      <c r="E7" s="87" t="s">
        <v>572</v>
      </c>
      <c r="F7" s="87" t="s">
        <v>573</v>
      </c>
      <c r="G7" s="92" t="s">
        <v>4</v>
      </c>
      <c r="H7" s="92" t="s">
        <v>5</v>
      </c>
      <c r="I7" s="4"/>
      <c r="J7" s="5" t="s">
        <v>6</v>
      </c>
      <c r="K7" s="6">
        <f>SUM(Tabla110345345445545647910813510837[Total costo])</f>
        <v>68526.000000000015</v>
      </c>
    </row>
    <row r="8" spans="2:11" x14ac:dyDescent="0.3">
      <c r="B8" s="21" t="s">
        <v>275</v>
      </c>
      <c r="C8" s="8" t="s">
        <v>570</v>
      </c>
      <c r="D8" s="9">
        <v>5</v>
      </c>
      <c r="E8" s="9">
        <v>0</v>
      </c>
      <c r="F8" s="9">
        <v>5</v>
      </c>
      <c r="G8" s="10">
        <f>+VLOOKUP(Tabla110345345445545647910813510837[[#This Row],[Ingrediente]],Tabla34[#All],3,0)</f>
        <v>13705.200000000003</v>
      </c>
      <c r="H8" s="11">
        <f>+Tabla110345345445545647910813510837[[#This Row],[Costo]]*Tabla110345345445545647910813510837[[#This Row],[Unidades]]</f>
        <v>68526.000000000015</v>
      </c>
      <c r="I8" s="4"/>
      <c r="J8" s="5" t="s">
        <v>113</v>
      </c>
      <c r="K8" s="12"/>
    </row>
    <row r="9" spans="2:11" x14ac:dyDescent="0.3">
      <c r="B9" s="13"/>
      <c r="C9" s="14"/>
      <c r="D9" s="14"/>
      <c r="E9" s="14"/>
      <c r="F9" s="14"/>
      <c r="G9" s="15"/>
      <c r="H9" s="15">
        <f>SUBTOTAL(109,Tabla110345345445545647910813510837[Total costo])</f>
        <v>68526.000000000015</v>
      </c>
      <c r="I9" s="4"/>
      <c r="J9" s="5" t="s">
        <v>9</v>
      </c>
      <c r="K9" s="12">
        <f>+K7+K8</f>
        <v>68526.000000000015</v>
      </c>
    </row>
    <row r="10" spans="2:11" x14ac:dyDescent="0.3">
      <c r="I10" s="4"/>
      <c r="J10" s="17" t="s">
        <v>10</v>
      </c>
      <c r="K10" s="18">
        <v>165900</v>
      </c>
    </row>
    <row r="11" spans="2:11" x14ac:dyDescent="0.3">
      <c r="I11" s="4"/>
      <c r="J11" s="5" t="s">
        <v>11</v>
      </c>
      <c r="K11" s="12">
        <f>+K10/1.08*0.08</f>
        <v>12288.888888888889</v>
      </c>
    </row>
    <row r="12" spans="2:11" x14ac:dyDescent="0.3">
      <c r="I12" s="4"/>
      <c r="J12" s="5" t="s">
        <v>12</v>
      </c>
      <c r="K12" s="12">
        <f>+K10-K11</f>
        <v>153611.11111111112</v>
      </c>
    </row>
    <row r="13" spans="2:11" x14ac:dyDescent="0.3">
      <c r="I13" s="4"/>
      <c r="J13" s="5" t="s">
        <v>13</v>
      </c>
      <c r="K13" s="19">
        <f>+K9/K12</f>
        <v>0.44610054249547926</v>
      </c>
    </row>
    <row r="14" spans="2:11" x14ac:dyDescent="0.3">
      <c r="I14" s="4"/>
      <c r="J14" s="5" t="s">
        <v>14</v>
      </c>
      <c r="K14" s="20">
        <f>+K12-K9</f>
        <v>85085.111111111109</v>
      </c>
    </row>
    <row r="15" spans="2:11" x14ac:dyDescent="0.3">
      <c r="I15" s="4"/>
      <c r="J15" s="5" t="s">
        <v>15</v>
      </c>
      <c r="K15" s="22">
        <f>+K14/K9</f>
        <v>1.2416471282595087</v>
      </c>
    </row>
    <row r="16" spans="2:11" x14ac:dyDescent="0.3">
      <c r="I16" s="4"/>
      <c r="J16" s="4"/>
      <c r="K16" s="23"/>
    </row>
    <row r="17" spans="2:11" x14ac:dyDescent="0.3">
      <c r="I17" s="4"/>
      <c r="J17" s="4"/>
      <c r="K17" s="23"/>
    </row>
    <row r="18" spans="2:11" x14ac:dyDescent="0.3">
      <c r="B18" s="1" t="s">
        <v>737</v>
      </c>
      <c r="C18" s="2"/>
      <c r="D18" s="2"/>
      <c r="E18" s="3"/>
      <c r="F18" s="3"/>
      <c r="G18" s="99"/>
      <c r="H18" s="99"/>
      <c r="J18" s="277" t="s">
        <v>0</v>
      </c>
      <c r="K18" s="277"/>
    </row>
    <row r="19" spans="2:11" ht="26.4" x14ac:dyDescent="0.3">
      <c r="B19" s="100" t="s">
        <v>1</v>
      </c>
      <c r="C19" s="87" t="s">
        <v>2</v>
      </c>
      <c r="D19" s="87" t="s">
        <v>571</v>
      </c>
      <c r="E19" s="87" t="s">
        <v>572</v>
      </c>
      <c r="F19" s="87" t="s">
        <v>573</v>
      </c>
      <c r="G19" s="101" t="s">
        <v>4</v>
      </c>
      <c r="H19" s="101" t="s">
        <v>5</v>
      </c>
      <c r="J19" s="106" t="s">
        <v>6</v>
      </c>
      <c r="K19" s="107">
        <f>SUM(Tabla110345345445545647910812913611838[Total costo])</f>
        <v>32339.666666666668</v>
      </c>
    </row>
    <row r="20" spans="2:11" x14ac:dyDescent="0.3">
      <c r="B20" s="7" t="s">
        <v>674</v>
      </c>
      <c r="C20" s="8" t="s">
        <v>570</v>
      </c>
      <c r="D20" s="9">
        <v>5</v>
      </c>
      <c r="E20" s="9">
        <v>0</v>
      </c>
      <c r="F20" s="9">
        <v>5</v>
      </c>
      <c r="G20" s="10">
        <f>+VLOOKUP(Tabla110345345445545647910812913611838[[#This Row],[Ingrediente]],Tabla34[#All],3,0)</f>
        <v>6467.9333333333334</v>
      </c>
      <c r="H20" s="11">
        <f>+Tabla110345345445545647910812913611838[[#This Row],[Costo]]*Tabla110345345445545647910812913611838[[#This Row],[Unidades]]</f>
        <v>32339.666666666668</v>
      </c>
      <c r="J20" s="5" t="s">
        <v>113</v>
      </c>
      <c r="K20" s="12"/>
    </row>
    <row r="21" spans="2:11" x14ac:dyDescent="0.3">
      <c r="B21" s="13"/>
      <c r="C21" s="14"/>
      <c r="D21" s="14"/>
      <c r="E21" s="14"/>
      <c r="F21" s="14"/>
      <c r="G21" s="15"/>
      <c r="H21" s="15">
        <f>SUBTOTAL(109,Tabla110345345445545647910812913611838[Total costo])</f>
        <v>32339.666666666668</v>
      </c>
      <c r="I21" s="4"/>
      <c r="J21" s="5" t="s">
        <v>9</v>
      </c>
      <c r="K21" s="12">
        <f>+K19+K20</f>
        <v>32339.666666666668</v>
      </c>
    </row>
    <row r="22" spans="2:11" s="108" customFormat="1" x14ac:dyDescent="0.3">
      <c r="B22"/>
      <c r="C22"/>
      <c r="D22"/>
      <c r="E22"/>
      <c r="F22"/>
      <c r="G22"/>
      <c r="H22"/>
      <c r="I22" s="105"/>
      <c r="J22" s="17" t="s">
        <v>10</v>
      </c>
      <c r="K22" s="18">
        <v>135000</v>
      </c>
    </row>
    <row r="23" spans="2:11" x14ac:dyDescent="0.3">
      <c r="I23" s="4"/>
      <c r="J23" s="5" t="s">
        <v>11</v>
      </c>
      <c r="K23" s="12">
        <f>+K22/1.08*0.08</f>
        <v>9999.9999999999982</v>
      </c>
    </row>
    <row r="24" spans="2:11" x14ac:dyDescent="0.3">
      <c r="I24" s="4"/>
      <c r="J24" s="5" t="s">
        <v>12</v>
      </c>
      <c r="K24" s="12">
        <f>+K22-K23</f>
        <v>125000</v>
      </c>
    </row>
    <row r="25" spans="2:11" x14ac:dyDescent="0.3">
      <c r="I25" s="4"/>
      <c r="J25" s="5" t="s">
        <v>13</v>
      </c>
      <c r="K25" s="19">
        <f>+K21/K24</f>
        <v>0.25871733333333335</v>
      </c>
    </row>
    <row r="26" spans="2:11" x14ac:dyDescent="0.3">
      <c r="I26" s="4"/>
      <c r="J26" s="5" t="s">
        <v>14</v>
      </c>
      <c r="K26" s="20">
        <f>+K24-K21</f>
        <v>92660.333333333328</v>
      </c>
    </row>
    <row r="27" spans="2:11" x14ac:dyDescent="0.3">
      <c r="I27" s="4"/>
      <c r="J27" s="5" t="s">
        <v>15</v>
      </c>
      <c r="K27" s="22">
        <f>+K26/K21</f>
        <v>2.8652222760490211</v>
      </c>
    </row>
    <row r="28" spans="2:11" x14ac:dyDescent="0.3">
      <c r="I28" s="4"/>
      <c r="J28" s="4"/>
      <c r="K28" s="23"/>
    </row>
    <row r="29" spans="2:11" x14ac:dyDescent="0.3">
      <c r="I29" s="4"/>
      <c r="J29" s="4"/>
      <c r="K29" s="23"/>
    </row>
    <row r="30" spans="2:11" x14ac:dyDescent="0.3">
      <c r="I30" s="4"/>
    </row>
    <row r="31" spans="2:11" x14ac:dyDescent="0.3">
      <c r="I31" s="4"/>
    </row>
    <row r="32" spans="2:11" x14ac:dyDescent="0.3">
      <c r="I32" s="4"/>
    </row>
  </sheetData>
  <mergeCells count="2">
    <mergeCell ref="J6:K6"/>
    <mergeCell ref="J18:K18"/>
  </mergeCells>
  <conditionalFormatting sqref="K13">
    <cfRule type="cellIs" dxfId="29" priority="9" operator="lessThan">
      <formula>0.3</formula>
    </cfRule>
    <cfRule type="cellIs" dxfId="28" priority="10" operator="greaterThan">
      <formula>0.3</formula>
    </cfRule>
  </conditionalFormatting>
  <conditionalFormatting sqref="K25">
    <cfRule type="cellIs" dxfId="27" priority="7" operator="lessThan">
      <formula>0.3</formula>
    </cfRule>
    <cfRule type="cellIs" dxfId="26" priority="8" operator="greaterThan">
      <formula>0.3</formula>
    </cfRule>
  </conditionalFormatting>
  <pageMargins left="0.7" right="0.7" top="0.75" bottom="0.75" header="0.3" footer="0.3"/>
  <pageSetup orientation="portrait" horizontalDpi="1200" verticalDpi="1200" r:id="rId1"/>
  <drawing r:id="rId2"/>
  <tableParts count="2">
    <tablePart r:id="rId3"/>
    <tablePart r:id="rId4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80AFF-90DB-4180-A040-FCBED5654092}">
  <dimension ref="B7:I125"/>
  <sheetViews>
    <sheetView showGridLines="0" topLeftCell="A19" zoomScale="96" zoomScaleNormal="96" workbookViewId="0">
      <selection activeCell="D15" sqref="D15"/>
    </sheetView>
  </sheetViews>
  <sheetFormatPr baseColWidth="10" defaultRowHeight="14.4" x14ac:dyDescent="0.3"/>
  <cols>
    <col min="1" max="1" width="4.33203125" customWidth="1"/>
    <col min="2" max="2" width="42.21875" bestFit="1" customWidth="1"/>
    <col min="7" max="7" width="3.6640625" customWidth="1"/>
    <col min="8" max="8" width="26.109375" bestFit="1" customWidth="1"/>
  </cols>
  <sheetData>
    <row r="7" spans="2:9" x14ac:dyDescent="0.3">
      <c r="B7" s="1" t="s">
        <v>537</v>
      </c>
      <c r="C7" s="2"/>
      <c r="D7" s="2"/>
      <c r="E7" s="3"/>
      <c r="F7" s="3"/>
      <c r="G7" s="4"/>
      <c r="H7" s="277" t="s">
        <v>0</v>
      </c>
      <c r="I7" s="277"/>
    </row>
    <row r="8" spans="2:9" x14ac:dyDescent="0.3">
      <c r="B8" s="13" t="s">
        <v>1</v>
      </c>
      <c r="C8" s="14" t="s">
        <v>2</v>
      </c>
      <c r="D8" s="14" t="s">
        <v>3</v>
      </c>
      <c r="E8" s="28" t="s">
        <v>4</v>
      </c>
      <c r="F8" s="28" t="s">
        <v>5</v>
      </c>
      <c r="G8" s="4"/>
      <c r="H8" s="5" t="s">
        <v>6</v>
      </c>
      <c r="I8" s="6" t="e">
        <f>SUM(Tabla1103453454455456479108135149335[Total costo])</f>
        <v>#REF!</v>
      </c>
    </row>
    <row r="9" spans="2:9" x14ac:dyDescent="0.3">
      <c r="B9" s="7" t="s">
        <v>353</v>
      </c>
      <c r="C9" s="8" t="s">
        <v>188</v>
      </c>
      <c r="D9" s="9">
        <v>2</v>
      </c>
      <c r="E9" s="10" t="e">
        <f>+VLOOKUP(Tabla1103453454455456479108135149335[[#This Row],[Ingrediente]],#REF!,3,0)</f>
        <v>#REF!</v>
      </c>
      <c r="F9" s="11" t="e">
        <f>+Tabla1103453454455456479108135149335[[#This Row],[Costo]]*Tabla1103453454455456479108135149335[[#This Row],[Cant.]]</f>
        <v>#REF!</v>
      </c>
      <c r="G9" s="4"/>
      <c r="H9" s="5" t="s">
        <v>113</v>
      </c>
      <c r="I9" s="12" t="e">
        <f>+I8*5%</f>
        <v>#REF!</v>
      </c>
    </row>
    <row r="10" spans="2:9" x14ac:dyDescent="0.3">
      <c r="B10" s="7" t="s">
        <v>536</v>
      </c>
      <c r="C10" s="8" t="s">
        <v>188</v>
      </c>
      <c r="D10" s="9">
        <v>20</v>
      </c>
      <c r="E10" s="10" t="e">
        <f>+VLOOKUP(Tabla1103453454455456479108135149335[[#This Row],[Ingrediente]],#REF!,3,0)</f>
        <v>#REF!</v>
      </c>
      <c r="F10" s="11" t="e">
        <f>+Tabla1103453454455456479108135149335[[#This Row],[Costo]]*Tabla1103453454455456479108135149335[[#This Row],[Cant.]]</f>
        <v>#REF!</v>
      </c>
      <c r="G10" s="4"/>
      <c r="H10" s="5" t="s">
        <v>9</v>
      </c>
      <c r="I10" s="12" t="e">
        <f>+I8+I9</f>
        <v>#REF!</v>
      </c>
    </row>
    <row r="11" spans="2:9" x14ac:dyDescent="0.3">
      <c r="B11" s="7" t="s">
        <v>90</v>
      </c>
      <c r="C11" s="8" t="s">
        <v>188</v>
      </c>
      <c r="D11" s="9">
        <v>20</v>
      </c>
      <c r="E11" s="10" t="e">
        <f>+VLOOKUP(Tabla1103453454455456479108135149335[[#This Row],[Ingrediente]],#REF!,3,0)</f>
        <v>#REF!</v>
      </c>
      <c r="F11" s="11" t="e">
        <f>+Tabla1103453454455456479108135149335[[#This Row],[Costo]]*Tabla1103453454455456479108135149335[[#This Row],[Cant.]]</f>
        <v>#REF!</v>
      </c>
      <c r="G11" s="4"/>
      <c r="H11" s="17" t="s">
        <v>10</v>
      </c>
      <c r="I11" s="18"/>
    </row>
    <row r="12" spans="2:9" x14ac:dyDescent="0.3">
      <c r="B12" s="7" t="s">
        <v>254</v>
      </c>
      <c r="C12" s="8" t="s">
        <v>188</v>
      </c>
      <c r="D12" s="9">
        <v>0.3</v>
      </c>
      <c r="E12" s="10" t="e">
        <f>+VLOOKUP(Tabla1103453454455456479108135149335[[#This Row],[Ingrediente]],#REF!,3,0)</f>
        <v>#REF!</v>
      </c>
      <c r="F12" s="11" t="e">
        <f>+Tabla1103453454455456479108135149335[[#This Row],[Costo]]*Tabla1103453454455456479108135149335[[#This Row],[Cant.]]</f>
        <v>#REF!</v>
      </c>
      <c r="G12" s="4"/>
      <c r="H12" s="5" t="s">
        <v>11</v>
      </c>
      <c r="I12" s="12">
        <f>+I11/1.08*0.08</f>
        <v>0</v>
      </c>
    </row>
    <row r="13" spans="2:9" x14ac:dyDescent="0.3">
      <c r="B13" s="7" t="s">
        <v>154</v>
      </c>
      <c r="C13" s="8" t="s">
        <v>188</v>
      </c>
      <c r="D13" s="9">
        <v>1</v>
      </c>
      <c r="E13" s="10" t="e">
        <f>+VLOOKUP(Tabla1103453454455456479108135149335[[#This Row],[Ingrediente]],#REF!,3,0)</f>
        <v>#REF!</v>
      </c>
      <c r="F13" s="11" t="e">
        <f>+Tabla1103453454455456479108135149335[[#This Row],[Costo]]*Tabla1103453454455456479108135149335[[#This Row],[Cant.]]</f>
        <v>#REF!</v>
      </c>
      <c r="G13" s="4"/>
      <c r="H13" s="5" t="s">
        <v>12</v>
      </c>
      <c r="I13" s="12">
        <f>+I11-I12</f>
        <v>0</v>
      </c>
    </row>
    <row r="14" spans="2:9" x14ac:dyDescent="0.3">
      <c r="B14" s="7" t="s">
        <v>517</v>
      </c>
      <c r="C14" s="8" t="s">
        <v>188</v>
      </c>
      <c r="D14" s="9">
        <v>1</v>
      </c>
      <c r="E14" s="10" t="e">
        <f>+VLOOKUP(Tabla1103453454455456479108135149335[[#This Row],[Ingrediente]],#REF!,3,0)</f>
        <v>#REF!</v>
      </c>
      <c r="F14" s="11" t="e">
        <f>+Tabla1103453454455456479108135149335[[#This Row],[Costo]]*Tabla1103453454455456479108135149335[[#This Row],[Cant.]]</f>
        <v>#REF!</v>
      </c>
      <c r="G14" s="4"/>
      <c r="H14" s="5" t="s">
        <v>13</v>
      </c>
      <c r="I14" s="19" t="e">
        <f>+I10/I13</f>
        <v>#REF!</v>
      </c>
    </row>
    <row r="15" spans="2:9" x14ac:dyDescent="0.3">
      <c r="B15" s="21" t="s">
        <v>534</v>
      </c>
      <c r="C15" s="8" t="s">
        <v>188</v>
      </c>
      <c r="D15" s="9">
        <v>50</v>
      </c>
      <c r="E15" s="10" t="e">
        <f>+VLOOKUP(Tabla1103453454455456479108135149335[[#This Row],[Ingrediente]],#REF!,3,0)</f>
        <v>#REF!</v>
      </c>
      <c r="F15" s="11" t="e">
        <f>+Tabla1103453454455456479108135149335[[#This Row],[Costo]]*Tabla1103453454455456479108135149335[[#This Row],[Cant.]]</f>
        <v>#REF!</v>
      </c>
      <c r="G15" s="4"/>
      <c r="H15" s="5" t="s">
        <v>14</v>
      </c>
      <c r="I15" s="20" t="e">
        <f>+I13-I10</f>
        <v>#REF!</v>
      </c>
    </row>
    <row r="16" spans="2:9" x14ac:dyDescent="0.3">
      <c r="B16" s="13"/>
      <c r="C16" s="14"/>
      <c r="D16" s="14"/>
      <c r="E16" s="15"/>
      <c r="F16" s="15" t="e">
        <f>SUBTOTAL(109,Tabla1103453454455456479108135149335[Total costo])</f>
        <v>#REF!</v>
      </c>
      <c r="G16" s="4"/>
      <c r="H16" s="5" t="s">
        <v>15</v>
      </c>
      <c r="I16" s="22" t="e">
        <f>+I15/I10</f>
        <v>#REF!</v>
      </c>
    </row>
    <row r="17" spans="2:9" x14ac:dyDescent="0.3">
      <c r="G17" s="4"/>
      <c r="H17" s="4"/>
      <c r="I17" s="23"/>
    </row>
    <row r="18" spans="2:9" x14ac:dyDescent="0.3">
      <c r="G18" s="4"/>
      <c r="H18" s="4"/>
      <c r="I18" s="23"/>
    </row>
    <row r="19" spans="2:9" x14ac:dyDescent="0.3">
      <c r="B19" s="16" t="s">
        <v>538</v>
      </c>
      <c r="C19" s="2"/>
      <c r="D19" s="2"/>
      <c r="E19" s="3"/>
      <c r="F19" s="3"/>
      <c r="G19" s="24"/>
      <c r="H19" s="277" t="s">
        <v>0</v>
      </c>
      <c r="I19" s="277"/>
    </row>
    <row r="20" spans="2:9" x14ac:dyDescent="0.3">
      <c r="B20" s="13" t="s">
        <v>1</v>
      </c>
      <c r="C20" s="14" t="s">
        <v>2</v>
      </c>
      <c r="D20" s="14" t="s">
        <v>3</v>
      </c>
      <c r="E20" s="28" t="s">
        <v>4</v>
      </c>
      <c r="F20" s="28" t="s">
        <v>5</v>
      </c>
      <c r="H20" s="5" t="s">
        <v>6</v>
      </c>
      <c r="I20" s="6" t="e">
        <f>SUM(Tabla1103453454455456479108135149335340[Total costo])</f>
        <v>#REF!</v>
      </c>
    </row>
    <row r="21" spans="2:9" x14ac:dyDescent="0.3">
      <c r="B21" s="7" t="s">
        <v>354</v>
      </c>
      <c r="C21" s="8" t="s">
        <v>188</v>
      </c>
      <c r="D21" s="9">
        <v>2</v>
      </c>
      <c r="E21" s="10" t="e">
        <f>+VLOOKUP(Tabla1103453454455456479108135149335340[[#This Row],[Ingrediente]],#REF!,3,0)</f>
        <v>#REF!</v>
      </c>
      <c r="F21" s="11" t="e">
        <f>+Tabla1103453454455456479108135149335340[[#This Row],[Costo]]*Tabla1103453454455456479108135149335340[[#This Row],[Cant.]]</f>
        <v>#REF!</v>
      </c>
      <c r="H21" s="5" t="s">
        <v>113</v>
      </c>
      <c r="I21" s="12" t="e">
        <f>+I20*5%</f>
        <v>#REF!</v>
      </c>
    </row>
    <row r="22" spans="2:9" x14ac:dyDescent="0.3">
      <c r="B22" s="7" t="s">
        <v>536</v>
      </c>
      <c r="C22" s="8" t="s">
        <v>188</v>
      </c>
      <c r="D22" s="9">
        <v>20</v>
      </c>
      <c r="E22" s="10" t="e">
        <f>+VLOOKUP(Tabla1103453454455456479108135149335340[[#This Row],[Ingrediente]],#REF!,3,0)</f>
        <v>#REF!</v>
      </c>
      <c r="F22" s="11" t="e">
        <f>+Tabla1103453454455456479108135149335340[[#This Row],[Costo]]*Tabla1103453454455456479108135149335340[[#This Row],[Cant.]]</f>
        <v>#REF!</v>
      </c>
      <c r="H22" s="5" t="s">
        <v>9</v>
      </c>
      <c r="I22" s="12" t="e">
        <f>+I20+I21</f>
        <v>#REF!</v>
      </c>
    </row>
    <row r="23" spans="2:9" x14ac:dyDescent="0.3">
      <c r="B23" s="7" t="s">
        <v>90</v>
      </c>
      <c r="C23" s="8" t="s">
        <v>188</v>
      </c>
      <c r="D23" s="9">
        <v>20</v>
      </c>
      <c r="E23" s="10" t="e">
        <f>+VLOOKUP(Tabla1103453454455456479108135149335340[[#This Row],[Ingrediente]],#REF!,3,0)</f>
        <v>#REF!</v>
      </c>
      <c r="F23" s="11" t="e">
        <f>+Tabla1103453454455456479108135149335340[[#This Row],[Costo]]*Tabla1103453454455456479108135149335340[[#This Row],[Cant.]]</f>
        <v>#REF!</v>
      </c>
      <c r="G23" s="4"/>
      <c r="H23" s="17" t="s">
        <v>10</v>
      </c>
      <c r="I23" s="18"/>
    </row>
    <row r="24" spans="2:9" x14ac:dyDescent="0.3">
      <c r="B24" s="7" t="s">
        <v>254</v>
      </c>
      <c r="C24" s="8" t="s">
        <v>188</v>
      </c>
      <c r="D24" s="9">
        <v>0.3</v>
      </c>
      <c r="E24" s="10" t="e">
        <f>+VLOOKUP(Tabla1103453454455456479108135149335340[[#This Row],[Ingrediente]],#REF!,3,0)</f>
        <v>#REF!</v>
      </c>
      <c r="F24" s="11" t="e">
        <f>+Tabla1103453454455456479108135149335340[[#This Row],[Costo]]*Tabla1103453454455456479108135149335340[[#This Row],[Cant.]]</f>
        <v>#REF!</v>
      </c>
      <c r="G24" s="4"/>
      <c r="H24" s="5" t="s">
        <v>11</v>
      </c>
      <c r="I24" s="12">
        <f>+I23/1.08*0.08</f>
        <v>0</v>
      </c>
    </row>
    <row r="25" spans="2:9" x14ac:dyDescent="0.3">
      <c r="B25" s="7" t="s">
        <v>154</v>
      </c>
      <c r="C25" s="8" t="s">
        <v>188</v>
      </c>
      <c r="D25" s="9">
        <v>1</v>
      </c>
      <c r="E25" s="10" t="e">
        <f>+VLOOKUP(Tabla1103453454455456479108135149335340[[#This Row],[Ingrediente]],#REF!,3,0)</f>
        <v>#REF!</v>
      </c>
      <c r="F25" s="11" t="e">
        <f>+Tabla1103453454455456479108135149335340[[#This Row],[Costo]]*Tabla1103453454455456479108135149335340[[#This Row],[Cant.]]</f>
        <v>#REF!</v>
      </c>
      <c r="G25" s="4"/>
      <c r="H25" s="5" t="s">
        <v>12</v>
      </c>
      <c r="I25" s="12">
        <f>+I23-I24</f>
        <v>0</v>
      </c>
    </row>
    <row r="26" spans="2:9" x14ac:dyDescent="0.3">
      <c r="B26" s="7" t="s">
        <v>517</v>
      </c>
      <c r="C26" s="8" t="s">
        <v>188</v>
      </c>
      <c r="D26" s="9">
        <v>1</v>
      </c>
      <c r="E26" s="10" t="e">
        <f>+VLOOKUP(Tabla1103453454455456479108135149335340[[#This Row],[Ingrediente]],#REF!,3,0)</f>
        <v>#REF!</v>
      </c>
      <c r="F26" s="11" t="e">
        <f>+Tabla1103453454455456479108135149335340[[#This Row],[Costo]]*Tabla1103453454455456479108135149335340[[#This Row],[Cant.]]</f>
        <v>#REF!</v>
      </c>
      <c r="G26" s="4"/>
      <c r="H26" s="5" t="s">
        <v>13</v>
      </c>
      <c r="I26" s="19" t="e">
        <f>+I22/I25</f>
        <v>#REF!</v>
      </c>
    </row>
    <row r="27" spans="2:9" x14ac:dyDescent="0.3">
      <c r="B27" s="21" t="s">
        <v>534</v>
      </c>
      <c r="C27" s="8" t="s">
        <v>188</v>
      </c>
      <c r="D27" s="9">
        <v>50</v>
      </c>
      <c r="E27" s="10" t="e">
        <f>+VLOOKUP(Tabla1103453454455456479108135149335340[[#This Row],[Ingrediente]],#REF!,3,0)</f>
        <v>#REF!</v>
      </c>
      <c r="F27" s="11" t="e">
        <f>+Tabla1103453454455456479108135149335340[[#This Row],[Costo]]*Tabla1103453454455456479108135149335340[[#This Row],[Cant.]]</f>
        <v>#REF!</v>
      </c>
      <c r="G27" s="4"/>
      <c r="H27" s="5" t="s">
        <v>14</v>
      </c>
      <c r="I27" s="20" t="e">
        <f>+I25-I22</f>
        <v>#REF!</v>
      </c>
    </row>
    <row r="28" spans="2:9" x14ac:dyDescent="0.3">
      <c r="B28" s="13"/>
      <c r="C28" s="14"/>
      <c r="D28" s="14"/>
      <c r="E28" s="15"/>
      <c r="F28" s="15" t="e">
        <f>SUBTOTAL(109,Tabla1103453454455456479108135149335340[Total costo])</f>
        <v>#REF!</v>
      </c>
      <c r="G28" s="4"/>
      <c r="H28" s="5" t="s">
        <v>15</v>
      </c>
      <c r="I28" s="22" t="e">
        <f>+I27/I22</f>
        <v>#REF!</v>
      </c>
    </row>
    <row r="29" spans="2:9" x14ac:dyDescent="0.3">
      <c r="G29" s="4"/>
      <c r="H29" s="4"/>
      <c r="I29" s="23"/>
    </row>
    <row r="30" spans="2:9" x14ac:dyDescent="0.3">
      <c r="G30" s="4"/>
      <c r="H30" s="4"/>
      <c r="I30" s="23"/>
    </row>
    <row r="31" spans="2:9" x14ac:dyDescent="0.3">
      <c r="B31" s="16" t="s">
        <v>548</v>
      </c>
      <c r="C31" s="2"/>
      <c r="D31" s="2"/>
      <c r="E31" s="3"/>
      <c r="F31" s="3"/>
      <c r="G31" s="24"/>
      <c r="H31" s="277" t="s">
        <v>0</v>
      </c>
      <c r="I31" s="277"/>
    </row>
    <row r="32" spans="2:9" x14ac:dyDescent="0.3">
      <c r="B32" s="13" t="s">
        <v>1</v>
      </c>
      <c r="C32" s="14" t="s">
        <v>2</v>
      </c>
      <c r="D32" s="14" t="s">
        <v>3</v>
      </c>
      <c r="E32" s="28" t="s">
        <v>4</v>
      </c>
      <c r="F32" s="28" t="s">
        <v>5</v>
      </c>
      <c r="H32" s="5" t="s">
        <v>6</v>
      </c>
      <c r="I32" s="6" t="e">
        <f>SUM(Tabla1103453454455456479108135149335340346[Total costo])</f>
        <v>#REF!</v>
      </c>
    </row>
    <row r="33" spans="2:9" x14ac:dyDescent="0.3">
      <c r="B33" s="7" t="s">
        <v>355</v>
      </c>
      <c r="C33" s="8" t="s">
        <v>188</v>
      </c>
      <c r="D33" s="9">
        <v>2</v>
      </c>
      <c r="E33" s="10" t="e">
        <f>+VLOOKUP(Tabla1103453454455456479108135149335340346[[#This Row],[Ingrediente]],#REF!,3,0)</f>
        <v>#REF!</v>
      </c>
      <c r="F33" s="11" t="e">
        <f>+Tabla1103453454455456479108135149335340346[[#This Row],[Costo]]*Tabla1103453454455456479108135149335340346[[#This Row],[Cant.]]</f>
        <v>#REF!</v>
      </c>
      <c r="H33" s="5" t="s">
        <v>113</v>
      </c>
      <c r="I33" s="12" t="e">
        <f>+I32*5%</f>
        <v>#REF!</v>
      </c>
    </row>
    <row r="34" spans="2:9" x14ac:dyDescent="0.3">
      <c r="B34" s="7" t="s">
        <v>536</v>
      </c>
      <c r="C34" s="8" t="s">
        <v>188</v>
      </c>
      <c r="D34" s="9">
        <v>20</v>
      </c>
      <c r="E34" s="10" t="e">
        <f>+VLOOKUP(Tabla1103453454455456479108135149335340346[[#This Row],[Ingrediente]],#REF!,3,0)</f>
        <v>#REF!</v>
      </c>
      <c r="F34" s="11" t="e">
        <f>+Tabla1103453454455456479108135149335340346[[#This Row],[Costo]]*Tabla1103453454455456479108135149335340346[[#This Row],[Cant.]]</f>
        <v>#REF!</v>
      </c>
      <c r="H34" s="5" t="s">
        <v>9</v>
      </c>
      <c r="I34" s="12" t="e">
        <f>+I32+I33</f>
        <v>#REF!</v>
      </c>
    </row>
    <row r="35" spans="2:9" x14ac:dyDescent="0.3">
      <c r="B35" s="7" t="s">
        <v>90</v>
      </c>
      <c r="C35" s="8" t="s">
        <v>188</v>
      </c>
      <c r="D35" s="9">
        <v>20</v>
      </c>
      <c r="E35" s="10" t="e">
        <f>+VLOOKUP(Tabla1103453454455456479108135149335340346[[#This Row],[Ingrediente]],#REF!,3,0)</f>
        <v>#REF!</v>
      </c>
      <c r="F35" s="11" t="e">
        <f>+Tabla1103453454455456479108135149335340346[[#This Row],[Costo]]*Tabla1103453454455456479108135149335340346[[#This Row],[Cant.]]</f>
        <v>#REF!</v>
      </c>
      <c r="G35" s="4"/>
      <c r="H35" s="17" t="s">
        <v>10</v>
      </c>
      <c r="I35" s="18"/>
    </row>
    <row r="36" spans="2:9" x14ac:dyDescent="0.3">
      <c r="B36" s="7" t="s">
        <v>254</v>
      </c>
      <c r="C36" s="8" t="s">
        <v>188</v>
      </c>
      <c r="D36" s="9">
        <v>0.3</v>
      </c>
      <c r="E36" s="10" t="e">
        <f>+VLOOKUP(Tabla1103453454455456479108135149335340346[[#This Row],[Ingrediente]],#REF!,3,0)</f>
        <v>#REF!</v>
      </c>
      <c r="F36" s="11" t="e">
        <f>+Tabla1103453454455456479108135149335340346[[#This Row],[Costo]]*Tabla1103453454455456479108135149335340346[[#This Row],[Cant.]]</f>
        <v>#REF!</v>
      </c>
      <c r="G36" s="4"/>
      <c r="H36" s="5" t="s">
        <v>11</v>
      </c>
      <c r="I36" s="12">
        <f>+I35/1.08*0.08</f>
        <v>0</v>
      </c>
    </row>
    <row r="37" spans="2:9" x14ac:dyDescent="0.3">
      <c r="B37" s="7" t="s">
        <v>154</v>
      </c>
      <c r="C37" s="8" t="s">
        <v>188</v>
      </c>
      <c r="D37" s="9">
        <v>1</v>
      </c>
      <c r="E37" s="10" t="e">
        <f>+VLOOKUP(Tabla1103453454455456479108135149335340346[[#This Row],[Ingrediente]],#REF!,3,0)</f>
        <v>#REF!</v>
      </c>
      <c r="F37" s="11" t="e">
        <f>+Tabla1103453454455456479108135149335340346[[#This Row],[Costo]]*Tabla1103453454455456479108135149335340346[[#This Row],[Cant.]]</f>
        <v>#REF!</v>
      </c>
      <c r="G37" s="4"/>
      <c r="H37" s="5" t="s">
        <v>12</v>
      </c>
      <c r="I37" s="12">
        <f>+I35-I36</f>
        <v>0</v>
      </c>
    </row>
    <row r="38" spans="2:9" x14ac:dyDescent="0.3">
      <c r="B38" s="7" t="s">
        <v>517</v>
      </c>
      <c r="C38" s="8" t="s">
        <v>188</v>
      </c>
      <c r="D38" s="9">
        <v>1</v>
      </c>
      <c r="E38" s="10" t="e">
        <f>+VLOOKUP(Tabla1103453454455456479108135149335340346[[#This Row],[Ingrediente]],#REF!,3,0)</f>
        <v>#REF!</v>
      </c>
      <c r="F38" s="11" t="e">
        <f>+Tabla1103453454455456479108135149335340346[[#This Row],[Costo]]*Tabla1103453454455456479108135149335340346[[#This Row],[Cant.]]</f>
        <v>#REF!</v>
      </c>
      <c r="G38" s="4"/>
      <c r="H38" s="5" t="s">
        <v>13</v>
      </c>
      <c r="I38" s="19" t="e">
        <f>+I34/I37</f>
        <v>#REF!</v>
      </c>
    </row>
    <row r="39" spans="2:9" x14ac:dyDescent="0.3">
      <c r="B39" s="21" t="s">
        <v>534</v>
      </c>
      <c r="C39" s="8" t="s">
        <v>188</v>
      </c>
      <c r="D39" s="9">
        <v>50</v>
      </c>
      <c r="E39" s="10" t="e">
        <f>+VLOOKUP(Tabla1103453454455456479108135149335340346[[#This Row],[Ingrediente]],#REF!,3,0)</f>
        <v>#REF!</v>
      </c>
      <c r="F39" s="11" t="e">
        <f>+Tabla1103453454455456479108135149335340346[[#This Row],[Costo]]*Tabla1103453454455456479108135149335340346[[#This Row],[Cant.]]</f>
        <v>#REF!</v>
      </c>
      <c r="G39" s="4"/>
      <c r="H39" s="5" t="s">
        <v>14</v>
      </c>
      <c r="I39" s="20" t="e">
        <f>+I37-I34</f>
        <v>#REF!</v>
      </c>
    </row>
    <row r="40" spans="2:9" x14ac:dyDescent="0.3">
      <c r="B40" s="13"/>
      <c r="C40" s="14"/>
      <c r="D40" s="14"/>
      <c r="E40" s="15"/>
      <c r="F40" s="15" t="e">
        <f>SUBTOTAL(109,Tabla1103453454455456479108135149335340346[Total costo])</f>
        <v>#REF!</v>
      </c>
      <c r="G40" s="4"/>
      <c r="H40" s="5" t="s">
        <v>15</v>
      </c>
      <c r="I40" s="22" t="e">
        <f>+I39/I34</f>
        <v>#REF!</v>
      </c>
    </row>
    <row r="44" spans="2:9" x14ac:dyDescent="0.3">
      <c r="B44" s="16" t="s">
        <v>539</v>
      </c>
      <c r="C44" s="2"/>
      <c r="D44" s="2"/>
      <c r="E44" s="3"/>
      <c r="F44" s="3"/>
      <c r="G44" s="24"/>
      <c r="H44" s="277" t="s">
        <v>0</v>
      </c>
      <c r="I44" s="277"/>
    </row>
    <row r="45" spans="2:9" x14ac:dyDescent="0.3">
      <c r="B45" s="13" t="s">
        <v>1</v>
      </c>
      <c r="C45" s="14" t="s">
        <v>2</v>
      </c>
      <c r="D45" s="14" t="s">
        <v>3</v>
      </c>
      <c r="E45" s="28" t="s">
        <v>4</v>
      </c>
      <c r="F45" s="28" t="s">
        <v>5</v>
      </c>
      <c r="H45" s="5" t="s">
        <v>6</v>
      </c>
      <c r="I45" s="6" t="e">
        <f>SUM(Tabla1103453454455456479108135149335340346348[Total costo])</f>
        <v>#REF!</v>
      </c>
    </row>
    <row r="46" spans="2:9" x14ac:dyDescent="0.3">
      <c r="B46" s="7" t="s">
        <v>470</v>
      </c>
      <c r="C46" s="8" t="s">
        <v>332</v>
      </c>
      <c r="D46" s="9">
        <v>2</v>
      </c>
      <c r="E46" s="10" t="e">
        <f>+VLOOKUP(Tabla1103453454455456479108135149335340346348[[#This Row],[Ingrediente]],#REF!,3,0)</f>
        <v>#REF!</v>
      </c>
      <c r="F46" s="11" t="e">
        <f>+Tabla1103453454455456479108135149335340346348[[#This Row],[Costo]]*Tabla1103453454455456479108135149335340346348[[#This Row],[Cant.]]</f>
        <v>#REF!</v>
      </c>
      <c r="H46" s="5" t="s">
        <v>113</v>
      </c>
      <c r="I46" s="12" t="e">
        <f>+I45*5%</f>
        <v>#REF!</v>
      </c>
    </row>
    <row r="47" spans="2:9" x14ac:dyDescent="0.3">
      <c r="B47" s="21" t="s">
        <v>480</v>
      </c>
      <c r="C47" s="8" t="s">
        <v>332</v>
      </c>
      <c r="D47" s="9">
        <v>1</v>
      </c>
      <c r="E47" s="10" t="e">
        <f>+VLOOKUP(Tabla1103453454455456479108135149335340346348[[#This Row],[Ingrediente]],#REF!,3,0)</f>
        <v>#REF!</v>
      </c>
      <c r="F47" s="11" t="e">
        <f>+Tabla1103453454455456479108135149335340346348[[#This Row],[Costo]]*Tabla1103453454455456479108135149335340346348[[#This Row],[Cant.]]</f>
        <v>#REF!</v>
      </c>
      <c r="H47" s="5" t="s">
        <v>9</v>
      </c>
      <c r="I47" s="12" t="e">
        <f>+I45+I46</f>
        <v>#REF!</v>
      </c>
    </row>
    <row r="48" spans="2:9" x14ac:dyDescent="0.3">
      <c r="B48" s="7" t="s">
        <v>430</v>
      </c>
      <c r="C48" s="8" t="s">
        <v>68</v>
      </c>
      <c r="D48" s="9">
        <v>10</v>
      </c>
      <c r="E48" s="10" t="e">
        <f>+VLOOKUP(Tabla1103453454455456479108135149335340346348[[#This Row],[Ingrediente]],#REF!,3,0)</f>
        <v>#REF!</v>
      </c>
      <c r="F48" s="11" t="e">
        <f>+Tabla1103453454455456479108135149335340346348[[#This Row],[Costo]]*Tabla1103453454455456479108135149335340346348[[#This Row],[Cant.]]</f>
        <v>#REF!</v>
      </c>
      <c r="G48" s="4"/>
      <c r="H48" s="17" t="s">
        <v>10</v>
      </c>
      <c r="I48" s="18"/>
    </row>
    <row r="49" spans="2:9" x14ac:dyDescent="0.3">
      <c r="B49" s="7" t="s">
        <v>398</v>
      </c>
      <c r="C49" s="8" t="s">
        <v>332</v>
      </c>
      <c r="D49" s="9">
        <v>25</v>
      </c>
      <c r="E49" s="10" t="e">
        <f>+VLOOKUP(Tabla1103453454455456479108135149335340346348[[#This Row],[Ingrediente]],#REF!,3,0)</f>
        <v>#REF!</v>
      </c>
      <c r="F49" s="11" t="e">
        <f>+Tabla1103453454455456479108135149335340346348[[#This Row],[Costo]]*Tabla1103453454455456479108135149335340346348[[#This Row],[Cant.]]</f>
        <v>#REF!</v>
      </c>
      <c r="G49" s="4"/>
      <c r="H49" s="5" t="s">
        <v>11</v>
      </c>
      <c r="I49" s="12">
        <f>+I48/1.08*0.08</f>
        <v>0</v>
      </c>
    </row>
    <row r="50" spans="2:9" x14ac:dyDescent="0.3">
      <c r="B50" s="7" t="s">
        <v>446</v>
      </c>
      <c r="C50" s="8" t="s">
        <v>332</v>
      </c>
      <c r="D50" s="9">
        <v>1</v>
      </c>
      <c r="E50" s="10" t="e">
        <f>+VLOOKUP(Tabla1103453454455456479108135149335340346348[[#This Row],[Ingrediente]],#REF!,3,0)</f>
        <v>#REF!</v>
      </c>
      <c r="F50" s="11" t="e">
        <f>+Tabla1103453454455456479108135149335340346348[[#This Row],[Costo]]*Tabla1103453454455456479108135149335340346348[[#This Row],[Cant.]]</f>
        <v>#REF!</v>
      </c>
      <c r="G50" s="4"/>
      <c r="H50" s="5" t="s">
        <v>12</v>
      </c>
      <c r="I50" s="12">
        <f>+I48-I49</f>
        <v>0</v>
      </c>
    </row>
    <row r="51" spans="2:9" x14ac:dyDescent="0.3">
      <c r="B51" s="7" t="s">
        <v>459</v>
      </c>
      <c r="C51" s="8" t="s">
        <v>332</v>
      </c>
      <c r="D51" s="9">
        <v>1</v>
      </c>
      <c r="E51" s="10" t="e">
        <f>+VLOOKUP(Tabla1103453454455456479108135149335340346348[[#This Row],[Ingrediente]],#REF!,3,0)</f>
        <v>#REF!</v>
      </c>
      <c r="F51" s="11" t="e">
        <f>+Tabla1103453454455456479108135149335340346348[[#This Row],[Costo]]*Tabla1103453454455456479108135149335340346348[[#This Row],[Cant.]]</f>
        <v>#REF!</v>
      </c>
      <c r="G51" s="4"/>
      <c r="H51" s="5" t="s">
        <v>13</v>
      </c>
      <c r="I51" s="19" t="e">
        <f>+I47/I50</f>
        <v>#REF!</v>
      </c>
    </row>
    <row r="52" spans="2:9" x14ac:dyDescent="0.3">
      <c r="B52" s="7" t="s">
        <v>368</v>
      </c>
      <c r="C52" s="8" t="s">
        <v>332</v>
      </c>
      <c r="D52" s="9">
        <v>100</v>
      </c>
      <c r="E52" s="10" t="e">
        <f>+VLOOKUP(Tabla1103453454455456479108135149335340346348[[#This Row],[Ingrediente]],#REF!,3,0)</f>
        <v>#REF!</v>
      </c>
      <c r="F52" s="11" t="e">
        <f>+Tabla1103453454455456479108135149335340346348[[#This Row],[Costo]]*Tabla1103453454455456479108135149335340346348[[#This Row],[Cant.]]</f>
        <v>#REF!</v>
      </c>
      <c r="G52" s="4"/>
      <c r="H52" s="5" t="s">
        <v>14</v>
      </c>
      <c r="I52" s="20" t="e">
        <f>+I50-I47</f>
        <v>#REF!</v>
      </c>
    </row>
    <row r="53" spans="2:9" x14ac:dyDescent="0.3">
      <c r="B53" s="7" t="s">
        <v>84</v>
      </c>
      <c r="C53" s="8" t="s">
        <v>332</v>
      </c>
      <c r="D53" s="9">
        <v>5</v>
      </c>
      <c r="E53" s="10" t="e">
        <f>+VLOOKUP(Tabla1103453454455456479108135149335340346348[[#This Row],[Ingrediente]],#REF!,3,0)</f>
        <v>#REF!</v>
      </c>
      <c r="F53" s="11" t="e">
        <f>+Tabla1103453454455456479108135149335340346348[[#This Row],[Costo]]*Tabla1103453454455456479108135149335340346348[[#This Row],[Cant.]]</f>
        <v>#REF!</v>
      </c>
      <c r="G53" s="4"/>
      <c r="H53" s="5" t="s">
        <v>15</v>
      </c>
      <c r="I53" s="22" t="e">
        <f>+I52/I47</f>
        <v>#REF!</v>
      </c>
    </row>
    <row r="54" spans="2:9" x14ac:dyDescent="0.3">
      <c r="B54" s="7" t="s">
        <v>39</v>
      </c>
      <c r="C54" s="8" t="s">
        <v>332</v>
      </c>
      <c r="D54" s="9">
        <v>20</v>
      </c>
      <c r="E54" s="10" t="e">
        <f>+VLOOKUP(Tabla1103453454455456479108135149335340346348[[#This Row],[Ingrediente]],#REF!,3,0)</f>
        <v>#REF!</v>
      </c>
      <c r="F54" s="11" t="e">
        <f>+Tabla1103453454455456479108135149335340346348[[#This Row],[Costo]]*Tabla1103453454455456479108135149335340346348[[#This Row],[Cant.]]</f>
        <v>#REF!</v>
      </c>
    </row>
    <row r="55" spans="2:9" x14ac:dyDescent="0.3">
      <c r="B55" s="7" t="s">
        <v>522</v>
      </c>
      <c r="C55" s="8" t="s">
        <v>335</v>
      </c>
      <c r="D55" s="9">
        <v>3</v>
      </c>
      <c r="E55" s="10" t="e">
        <f>+VLOOKUP(Tabla1103453454455456479108135149335340346348[[#This Row],[Ingrediente]],#REF!,3,0)</f>
        <v>#REF!</v>
      </c>
      <c r="F55" s="11" t="e">
        <f>+Tabla1103453454455456479108135149335340346348[[#This Row],[Costo]]*Tabla1103453454455456479108135149335340346348[[#This Row],[Cant.]]</f>
        <v>#REF!</v>
      </c>
    </row>
    <row r="56" spans="2:9" x14ac:dyDescent="0.3">
      <c r="B56" s="7" t="s">
        <v>386</v>
      </c>
      <c r="C56" s="8" t="s">
        <v>332</v>
      </c>
      <c r="D56" s="9">
        <v>180</v>
      </c>
      <c r="E56" s="10" t="e">
        <f>+VLOOKUP(Tabla1103453454455456479108135149335340346348[[#This Row],[Ingrediente]],#REF!,3,0)</f>
        <v>#REF!</v>
      </c>
      <c r="F56" s="11" t="e">
        <f>+Tabla1103453454455456479108135149335340346348[[#This Row],[Costo]]*Tabla1103453454455456479108135149335340346348[[#This Row],[Cant.]]</f>
        <v>#REF!</v>
      </c>
    </row>
    <row r="57" spans="2:9" x14ac:dyDescent="0.3">
      <c r="B57" s="7" t="s">
        <v>226</v>
      </c>
      <c r="C57" s="8" t="s">
        <v>332</v>
      </c>
      <c r="D57" s="9">
        <v>40</v>
      </c>
      <c r="E57" s="10" t="e">
        <f>+VLOOKUP(Tabla1103453454455456479108135149335340346348[[#This Row],[Ingrediente]],#REF!,3,0)</f>
        <v>#REF!</v>
      </c>
      <c r="F57" s="11" t="e">
        <f>+Tabla1103453454455456479108135149335340346348[[#This Row],[Costo]]*Tabla1103453454455456479108135149335340346348[[#This Row],[Cant.]]</f>
        <v>#REF!</v>
      </c>
    </row>
    <row r="58" spans="2:9" x14ac:dyDescent="0.3">
      <c r="B58" s="7" t="s">
        <v>74</v>
      </c>
      <c r="C58" s="8" t="s">
        <v>332</v>
      </c>
      <c r="D58" s="9">
        <v>50</v>
      </c>
      <c r="E58" s="10" t="e">
        <f>+VLOOKUP(Tabla1103453454455456479108135149335340346348[[#This Row],[Ingrediente]],#REF!,3,0)</f>
        <v>#REF!</v>
      </c>
      <c r="F58" s="11" t="e">
        <f>+Tabla1103453454455456479108135149335340346348[[#This Row],[Costo]]*Tabla1103453454455456479108135149335340346348[[#This Row],[Cant.]]</f>
        <v>#REF!</v>
      </c>
    </row>
    <row r="59" spans="2:9" x14ac:dyDescent="0.3">
      <c r="B59" s="7" t="s">
        <v>358</v>
      </c>
      <c r="C59" s="8" t="s">
        <v>332</v>
      </c>
      <c r="D59" s="9">
        <v>1</v>
      </c>
      <c r="E59" s="10" t="e">
        <f>+VLOOKUP(Tabla1103453454455456479108135149335340346348[[#This Row],[Ingrediente]],#REF!,3,0)</f>
        <v>#REF!</v>
      </c>
      <c r="F59" s="11" t="e">
        <f>+Tabla1103453454455456479108135149335340346348[[#This Row],[Costo]]*Tabla1103453454455456479108135149335340346348[[#This Row],[Cant.]]</f>
        <v>#REF!</v>
      </c>
    </row>
    <row r="60" spans="2:9" x14ac:dyDescent="0.3">
      <c r="B60" s="7" t="s">
        <v>80</v>
      </c>
      <c r="C60" s="8" t="s">
        <v>332</v>
      </c>
      <c r="D60" s="9">
        <v>60</v>
      </c>
      <c r="E60" s="10" t="e">
        <f>+VLOOKUP(Tabla1103453454455456479108135149335340346348[[#This Row],[Ingrediente]],#REF!,3,0)</f>
        <v>#REF!</v>
      </c>
      <c r="F60" s="11" t="e">
        <f>+Tabla1103453454455456479108135149335340346348[[#This Row],[Costo]]*Tabla1103453454455456479108135149335340346348[[#This Row],[Cant.]]</f>
        <v>#REF!</v>
      </c>
    </row>
    <row r="61" spans="2:9" x14ac:dyDescent="0.3">
      <c r="B61" s="7" t="s">
        <v>455</v>
      </c>
      <c r="C61" s="8" t="s">
        <v>332</v>
      </c>
      <c r="D61" s="9">
        <v>1</v>
      </c>
      <c r="E61" s="10" t="e">
        <f>+VLOOKUP(Tabla1103453454455456479108135149335340346348[[#This Row],[Ingrediente]],#REF!,3,0)</f>
        <v>#REF!</v>
      </c>
      <c r="F61" s="11" t="e">
        <f>+Tabla1103453454455456479108135149335340346348[[#This Row],[Costo]]*Tabla1103453454455456479108135149335340346348[[#This Row],[Cant.]]</f>
        <v>#REF!</v>
      </c>
    </row>
    <row r="62" spans="2:9" x14ac:dyDescent="0.3">
      <c r="B62" s="13"/>
      <c r="C62" s="14"/>
      <c r="D62" s="14"/>
      <c r="E62" s="15"/>
      <c r="F62" s="15" t="e">
        <f>SUBTOTAL(109,Tabla1103453454455456479108135149335340346348[Total costo])</f>
        <v>#REF!</v>
      </c>
    </row>
    <row r="65" spans="2:9" x14ac:dyDescent="0.3">
      <c r="B65" s="16" t="s">
        <v>540</v>
      </c>
      <c r="C65" s="2"/>
      <c r="D65" s="2"/>
      <c r="E65" s="3"/>
      <c r="F65" s="3"/>
      <c r="G65" s="24"/>
      <c r="H65" s="277" t="s">
        <v>0</v>
      </c>
      <c r="I65" s="277"/>
    </row>
    <row r="66" spans="2:9" x14ac:dyDescent="0.3">
      <c r="B66" s="13" t="s">
        <v>1</v>
      </c>
      <c r="C66" s="14" t="s">
        <v>2</v>
      </c>
      <c r="D66" s="14" t="s">
        <v>3</v>
      </c>
      <c r="E66" s="28" t="s">
        <v>4</v>
      </c>
      <c r="F66" s="28" t="s">
        <v>5</v>
      </c>
      <c r="H66" s="5" t="s">
        <v>6</v>
      </c>
      <c r="I66" s="6" t="e">
        <f>SUM(Tabla1103453454455456479108135149335340346348349[Total costo])</f>
        <v>#REF!</v>
      </c>
    </row>
    <row r="67" spans="2:9" x14ac:dyDescent="0.3">
      <c r="B67" s="7" t="s">
        <v>406</v>
      </c>
      <c r="C67" s="8" t="s">
        <v>332</v>
      </c>
      <c r="D67" s="9">
        <v>50</v>
      </c>
      <c r="E67" s="10" t="e">
        <f>+VLOOKUP(Tabla1103453454455456479108135149335340346348349[[#This Row],[Ingrediente]],#REF!,3,0)</f>
        <v>#REF!</v>
      </c>
      <c r="F67" s="11" t="e">
        <f>+Tabla1103453454455456479108135149335340346348349[[#This Row],[Costo]]*Tabla1103453454455456479108135149335340346348349[[#This Row],[Cant.]]</f>
        <v>#REF!</v>
      </c>
      <c r="H67" s="5" t="s">
        <v>113</v>
      </c>
      <c r="I67" s="12" t="e">
        <f>+I66*5%</f>
        <v>#REF!</v>
      </c>
    </row>
    <row r="68" spans="2:9" x14ac:dyDescent="0.3">
      <c r="B68" s="7" t="s">
        <v>470</v>
      </c>
      <c r="C68" s="8" t="s">
        <v>332</v>
      </c>
      <c r="D68" s="9">
        <v>2</v>
      </c>
      <c r="E68" s="10" t="e">
        <f>+VLOOKUP(Tabla1103453454455456479108135149335340346348349[[#This Row],[Ingrediente]],#REF!,3,0)</f>
        <v>#REF!</v>
      </c>
      <c r="F68" s="11" t="e">
        <f>+Tabla1103453454455456479108135149335340346348349[[#This Row],[Costo]]*Tabla1103453454455456479108135149335340346348349[[#This Row],[Cant.]]</f>
        <v>#REF!</v>
      </c>
      <c r="H68" s="5" t="s">
        <v>9</v>
      </c>
      <c r="I68" s="12" t="e">
        <f>+I66+I67</f>
        <v>#REF!</v>
      </c>
    </row>
    <row r="69" spans="2:9" x14ac:dyDescent="0.3">
      <c r="B69" s="7" t="s">
        <v>422</v>
      </c>
      <c r="C69" s="8" t="s">
        <v>332</v>
      </c>
      <c r="D69" s="9">
        <v>1</v>
      </c>
      <c r="E69" s="10" t="e">
        <f>+VLOOKUP(Tabla1103453454455456479108135149335340346348349[[#This Row],[Ingrediente]],#REF!,3,0)</f>
        <v>#REF!</v>
      </c>
      <c r="F69" s="11" t="e">
        <f>+Tabla1103453454455456479108135149335340346348349[[#This Row],[Costo]]*Tabla1103453454455456479108135149335340346348349[[#This Row],[Cant.]]</f>
        <v>#REF!</v>
      </c>
      <c r="G69" s="4"/>
      <c r="H69" s="17" t="s">
        <v>10</v>
      </c>
      <c r="I69" s="18"/>
    </row>
    <row r="70" spans="2:9" x14ac:dyDescent="0.3">
      <c r="B70" s="7" t="s">
        <v>480</v>
      </c>
      <c r="C70" s="8" t="s">
        <v>332</v>
      </c>
      <c r="D70" s="9">
        <v>2</v>
      </c>
      <c r="E70" s="10" t="e">
        <f>+VLOOKUP(Tabla1103453454455456479108135149335340346348349[[#This Row],[Ingrediente]],#REF!,3,0)</f>
        <v>#REF!</v>
      </c>
      <c r="F70" s="11" t="e">
        <f>+Tabla1103453454455456479108135149335340346348349[[#This Row],[Costo]]*Tabla1103453454455456479108135149335340346348349[[#This Row],[Cant.]]</f>
        <v>#REF!</v>
      </c>
      <c r="G70" s="4"/>
      <c r="H70" s="5" t="s">
        <v>11</v>
      </c>
      <c r="I70" s="12">
        <f>+I69/1.08*0.08</f>
        <v>0</v>
      </c>
    </row>
    <row r="71" spans="2:9" x14ac:dyDescent="0.3">
      <c r="B71" s="7" t="s">
        <v>373</v>
      </c>
      <c r="C71" s="8" t="s">
        <v>335</v>
      </c>
      <c r="D71" s="9">
        <v>3</v>
      </c>
      <c r="E71" s="10" t="e">
        <f>+VLOOKUP(Tabla1103453454455456479108135149335340346348349[[#This Row],[Ingrediente]],#REF!,3,0)</f>
        <v>#REF!</v>
      </c>
      <c r="F71" s="11" t="e">
        <f>+Tabla1103453454455456479108135149335340346348349[[#This Row],[Costo]]*Tabla1103453454455456479108135149335340346348349[[#This Row],[Cant.]]</f>
        <v>#REF!</v>
      </c>
      <c r="G71" s="4"/>
      <c r="H71" s="5" t="s">
        <v>12</v>
      </c>
      <c r="I71" s="12">
        <f>+I69-I70</f>
        <v>0</v>
      </c>
    </row>
    <row r="72" spans="2:9" x14ac:dyDescent="0.3">
      <c r="B72" s="7" t="s">
        <v>430</v>
      </c>
      <c r="C72" s="8" t="s">
        <v>332</v>
      </c>
      <c r="D72" s="9">
        <v>20</v>
      </c>
      <c r="E72" s="10" t="e">
        <f>+VLOOKUP(Tabla1103453454455456479108135149335340346348349[[#This Row],[Ingrediente]],#REF!,3,0)</f>
        <v>#REF!</v>
      </c>
      <c r="F72" s="11" t="e">
        <f>+Tabla1103453454455456479108135149335340346348349[[#This Row],[Costo]]*Tabla1103453454455456479108135149335340346348349[[#This Row],[Cant.]]</f>
        <v>#REF!</v>
      </c>
      <c r="G72" s="4"/>
      <c r="H72" s="5" t="s">
        <v>13</v>
      </c>
      <c r="I72" s="19" t="e">
        <f>+I68/I71</f>
        <v>#REF!</v>
      </c>
    </row>
    <row r="73" spans="2:9" x14ac:dyDescent="0.3">
      <c r="B73" s="7" t="s">
        <v>398</v>
      </c>
      <c r="C73" s="8" t="s">
        <v>332</v>
      </c>
      <c r="D73" s="9">
        <v>75</v>
      </c>
      <c r="E73" s="10" t="e">
        <f>+VLOOKUP(Tabla1103453454455456479108135149335340346348349[[#This Row],[Ingrediente]],#REF!,3,0)</f>
        <v>#REF!</v>
      </c>
      <c r="F73" s="11" t="e">
        <f>+Tabla1103453454455456479108135149335340346348349[[#This Row],[Costo]]*Tabla1103453454455456479108135149335340346348349[[#This Row],[Cant.]]</f>
        <v>#REF!</v>
      </c>
      <c r="G73" s="4"/>
      <c r="H73" s="5" t="s">
        <v>14</v>
      </c>
      <c r="I73" s="20" t="e">
        <f>+I71-I68</f>
        <v>#REF!</v>
      </c>
    </row>
    <row r="74" spans="2:9" x14ac:dyDescent="0.3">
      <c r="B74" s="7" t="s">
        <v>446</v>
      </c>
      <c r="C74" s="8" t="s">
        <v>332</v>
      </c>
      <c r="D74" s="9">
        <v>2</v>
      </c>
      <c r="E74" s="10" t="e">
        <f>+VLOOKUP(Tabla1103453454455456479108135149335340346348349[[#This Row],[Ingrediente]],#REF!,3,0)</f>
        <v>#REF!</v>
      </c>
      <c r="F74" s="11" t="e">
        <f>+Tabla1103453454455456479108135149335340346348349[[#This Row],[Costo]]*Tabla1103453454455456479108135149335340346348349[[#This Row],[Cant.]]</f>
        <v>#REF!</v>
      </c>
      <c r="G74" s="4"/>
      <c r="H74" s="5" t="s">
        <v>15</v>
      </c>
      <c r="I74" s="22" t="e">
        <f>+I73/I68</f>
        <v>#REF!</v>
      </c>
    </row>
    <row r="75" spans="2:9" x14ac:dyDescent="0.3">
      <c r="B75" s="7" t="s">
        <v>368</v>
      </c>
      <c r="C75" s="8" t="s">
        <v>332</v>
      </c>
      <c r="D75" s="9">
        <v>240</v>
      </c>
      <c r="E75" s="10" t="e">
        <f>+VLOOKUP(Tabla1103453454455456479108135149335340346348349[[#This Row],[Ingrediente]],#REF!,3,0)</f>
        <v>#REF!</v>
      </c>
      <c r="F75" s="11" t="e">
        <f>+Tabla1103453454455456479108135149335340346348349[[#This Row],[Costo]]*Tabla1103453454455456479108135149335340346348349[[#This Row],[Cant.]]</f>
        <v>#REF!</v>
      </c>
    </row>
    <row r="76" spans="2:9" x14ac:dyDescent="0.3">
      <c r="B76" s="7" t="s">
        <v>35</v>
      </c>
      <c r="C76" s="8" t="s">
        <v>332</v>
      </c>
      <c r="D76" s="9">
        <v>10</v>
      </c>
      <c r="E76" s="10" t="e">
        <f>+VLOOKUP(Tabla1103453454455456479108135149335340346348349[[#This Row],[Ingrediente]],#REF!,3,0)</f>
        <v>#REF!</v>
      </c>
      <c r="F76" s="11" t="e">
        <f>+Tabla1103453454455456479108135149335340346348349[[#This Row],[Costo]]*Tabla1103453454455456479108135149335340346348349[[#This Row],[Cant.]]</f>
        <v>#REF!</v>
      </c>
    </row>
    <row r="77" spans="2:9" x14ac:dyDescent="0.3">
      <c r="B77" s="7" t="s">
        <v>360</v>
      </c>
      <c r="C77" s="8" t="s">
        <v>332</v>
      </c>
      <c r="D77" s="9">
        <v>0.5</v>
      </c>
      <c r="E77" s="10" t="e">
        <f>+VLOOKUP(Tabla1103453454455456479108135149335340346348349[[#This Row],[Ingrediente]],#REF!,3,0)</f>
        <v>#REF!</v>
      </c>
      <c r="F77" s="11" t="e">
        <f>+Tabla1103453454455456479108135149335340346348349[[#This Row],[Costo]]*Tabla1103453454455456479108135149335340346348349[[#This Row],[Cant.]]</f>
        <v>#REF!</v>
      </c>
    </row>
    <row r="78" spans="2:9" x14ac:dyDescent="0.3">
      <c r="B78" s="7" t="s">
        <v>84</v>
      </c>
      <c r="C78" s="8" t="s">
        <v>332</v>
      </c>
      <c r="D78" s="9">
        <v>20</v>
      </c>
      <c r="E78" s="10" t="e">
        <f>+VLOOKUP(Tabla1103453454455456479108135149335340346348349[[#This Row],[Ingrediente]],#REF!,3,0)</f>
        <v>#REF!</v>
      </c>
      <c r="F78" s="11" t="e">
        <f>+Tabla1103453454455456479108135149335340346348349[[#This Row],[Costo]]*Tabla1103453454455456479108135149335340346348349[[#This Row],[Cant.]]</f>
        <v>#REF!</v>
      </c>
    </row>
    <row r="79" spans="2:9" x14ac:dyDescent="0.3">
      <c r="B79" s="7" t="s">
        <v>226</v>
      </c>
      <c r="C79" s="8" t="s">
        <v>332</v>
      </c>
      <c r="D79" s="9">
        <v>90</v>
      </c>
      <c r="E79" s="10" t="e">
        <f>+VLOOKUP(Tabla1103453454455456479108135149335340346348349[[#This Row],[Ingrediente]],#REF!,3,0)</f>
        <v>#REF!</v>
      </c>
      <c r="F79" s="11" t="e">
        <f>+Tabla1103453454455456479108135149335340346348349[[#This Row],[Costo]]*Tabla1103453454455456479108135149335340346348349[[#This Row],[Cant.]]</f>
        <v>#REF!</v>
      </c>
    </row>
    <row r="80" spans="2:9" x14ac:dyDescent="0.3">
      <c r="B80" s="7" t="s">
        <v>512</v>
      </c>
      <c r="C80" s="8" t="s">
        <v>332</v>
      </c>
      <c r="D80" s="9">
        <v>40</v>
      </c>
      <c r="E80" s="10" t="e">
        <f>+VLOOKUP(Tabla1103453454455456479108135149335340346348349[[#This Row],[Ingrediente]],#REF!,3,0)</f>
        <v>#REF!</v>
      </c>
      <c r="F80" s="11" t="e">
        <f>+Tabla1103453454455456479108135149335340346348349[[#This Row],[Costo]]*Tabla1103453454455456479108135149335340346348349[[#This Row],[Cant.]]</f>
        <v>#REF!</v>
      </c>
    </row>
    <row r="81" spans="2:9" x14ac:dyDescent="0.3">
      <c r="B81" s="7" t="s">
        <v>449</v>
      </c>
      <c r="C81" s="8" t="s">
        <v>332</v>
      </c>
      <c r="D81" s="9">
        <v>25</v>
      </c>
      <c r="E81" s="10" t="e">
        <f>+VLOOKUP(Tabla1103453454455456479108135149335340346348349[[#This Row],[Ingrediente]],#REF!,3,0)</f>
        <v>#REF!</v>
      </c>
      <c r="F81" s="11" t="e">
        <f>+Tabla1103453454455456479108135149335340346348349[[#This Row],[Costo]]*Tabla1103453454455456479108135149335340346348349[[#This Row],[Cant.]]</f>
        <v>#REF!</v>
      </c>
    </row>
    <row r="82" spans="2:9" x14ac:dyDescent="0.3">
      <c r="B82" s="21" t="s">
        <v>396</v>
      </c>
      <c r="C82" s="8" t="s">
        <v>332</v>
      </c>
      <c r="D82" s="9">
        <v>25</v>
      </c>
      <c r="E82" s="10" t="e">
        <f>+VLOOKUP(Tabla1103453454455456479108135149335340346348349[[#This Row],[Ingrediente]],#REF!,3,0)</f>
        <v>#REF!</v>
      </c>
      <c r="F82" s="11" t="e">
        <f>+Tabla1103453454455456479108135149335340346348349[[#This Row],[Costo]]*Tabla1103453454455456479108135149335340346348349[[#This Row],[Cant.]]</f>
        <v>#REF!</v>
      </c>
    </row>
    <row r="83" spans="2:9" x14ac:dyDescent="0.3">
      <c r="B83" s="7" t="s">
        <v>533</v>
      </c>
      <c r="C83" s="8" t="s">
        <v>332</v>
      </c>
      <c r="D83" s="9">
        <v>0.5</v>
      </c>
      <c r="E83" s="10" t="e">
        <f>+VLOOKUP(Tabla1103453454455456479108135149335340346348349[[#This Row],[Ingrediente]],#REF!,3,0)</f>
        <v>#REF!</v>
      </c>
      <c r="F83" s="11" t="e">
        <f>+Tabla1103453454455456479108135149335340346348349[[#This Row],[Costo]]*Tabla1103453454455456479108135149335340346348349[[#This Row],[Cant.]]</f>
        <v>#REF!</v>
      </c>
    </row>
    <row r="84" spans="2:9" x14ac:dyDescent="0.3">
      <c r="B84" s="7" t="s">
        <v>476</v>
      </c>
      <c r="C84" s="8" t="s">
        <v>332</v>
      </c>
      <c r="D84" s="9">
        <v>20</v>
      </c>
      <c r="E84" s="10" t="e">
        <f>+VLOOKUP(Tabla1103453454455456479108135149335340346348349[[#This Row],[Ingrediente]],#REF!,3,0)</f>
        <v>#REF!</v>
      </c>
      <c r="F84" s="11" t="e">
        <f>+Tabla1103453454455456479108135149335340346348349[[#This Row],[Costo]]*Tabla1103453454455456479108135149335340346348349[[#This Row],[Cant.]]</f>
        <v>#REF!</v>
      </c>
    </row>
    <row r="85" spans="2:9" x14ac:dyDescent="0.3">
      <c r="B85" s="13"/>
      <c r="C85" s="14"/>
      <c r="D85" s="14"/>
      <c r="E85" s="15"/>
      <c r="F85" s="15" t="e">
        <f>SUBTOTAL(109,Tabla1103453454455456479108135149335340346348349[Total costo])</f>
        <v>#REF!</v>
      </c>
    </row>
    <row r="89" spans="2:9" x14ac:dyDescent="0.3">
      <c r="B89" s="16" t="s">
        <v>541</v>
      </c>
      <c r="C89" s="2"/>
      <c r="D89" s="2"/>
      <c r="E89" s="3"/>
      <c r="F89" s="3"/>
      <c r="G89" s="24"/>
      <c r="H89" s="277" t="s">
        <v>0</v>
      </c>
      <c r="I89" s="277"/>
    </row>
    <row r="90" spans="2:9" x14ac:dyDescent="0.3">
      <c r="B90" s="13" t="s">
        <v>1</v>
      </c>
      <c r="C90" s="14" t="s">
        <v>2</v>
      </c>
      <c r="D90" s="14" t="s">
        <v>3</v>
      </c>
      <c r="E90" s="28" t="s">
        <v>4</v>
      </c>
      <c r="F90" s="28" t="s">
        <v>5</v>
      </c>
      <c r="H90" s="5" t="s">
        <v>6</v>
      </c>
      <c r="I90" s="6" t="e">
        <f>SUM(Tabla1103453454455456479108135149335340346348349378[Total costo])</f>
        <v>#REF!</v>
      </c>
    </row>
    <row r="91" spans="2:9" x14ac:dyDescent="0.3">
      <c r="B91" s="7" t="s">
        <v>442</v>
      </c>
      <c r="C91" s="8" t="s">
        <v>332</v>
      </c>
      <c r="D91" s="9">
        <v>2</v>
      </c>
      <c r="E91" s="10" t="e">
        <f>+VLOOKUP(Tabla1103453454455456479108135149335340346348349378[[#This Row],[Ingrediente]],#REF!,3,0)</f>
        <v>#REF!</v>
      </c>
      <c r="F91" s="11" t="e">
        <f>+Tabla1103453454455456479108135149335340346348349378[[#This Row],[Costo]]*Tabla1103453454455456479108135149335340346348349378[[#This Row],[Cant.]]</f>
        <v>#REF!</v>
      </c>
      <c r="H91" s="5" t="s">
        <v>113</v>
      </c>
      <c r="I91" s="12" t="e">
        <f>+I90*5%</f>
        <v>#REF!</v>
      </c>
    </row>
    <row r="92" spans="2:9" x14ac:dyDescent="0.3">
      <c r="B92" s="7" t="s">
        <v>400</v>
      </c>
      <c r="C92" s="8" t="s">
        <v>332</v>
      </c>
      <c r="D92" s="9">
        <v>1</v>
      </c>
      <c r="E92" s="10" t="e">
        <f>+VLOOKUP(Tabla1103453454455456479108135149335340346348349378[[#This Row],[Ingrediente]],#REF!,3,0)</f>
        <v>#REF!</v>
      </c>
      <c r="F92" s="11" t="e">
        <f>+Tabla1103453454455456479108135149335340346348349378[[#This Row],[Costo]]*Tabla1103453454455456479108135149335340346348349378[[#This Row],[Cant.]]</f>
        <v>#REF!</v>
      </c>
      <c r="H92" s="5" t="s">
        <v>9</v>
      </c>
      <c r="I92" s="12" t="e">
        <f>+I90+I91</f>
        <v>#REF!</v>
      </c>
    </row>
    <row r="93" spans="2:9" x14ac:dyDescent="0.3">
      <c r="B93" s="7" t="s">
        <v>490</v>
      </c>
      <c r="C93" s="8" t="s">
        <v>332</v>
      </c>
      <c r="D93" s="9">
        <v>10</v>
      </c>
      <c r="E93" s="10" t="e">
        <f>+VLOOKUP(Tabla1103453454455456479108135149335340346348349378[[#This Row],[Ingrediente]],#REF!,3,0)</f>
        <v>#REF!</v>
      </c>
      <c r="F93" s="11" t="e">
        <f>+Tabla1103453454455456479108135149335340346348349378[[#This Row],[Costo]]*Tabla1103453454455456479108135149335340346348349378[[#This Row],[Cant.]]</f>
        <v>#REF!</v>
      </c>
      <c r="G93" s="4"/>
      <c r="H93" s="17" t="s">
        <v>10</v>
      </c>
      <c r="I93" s="18"/>
    </row>
    <row r="94" spans="2:9" x14ac:dyDescent="0.3">
      <c r="B94" s="7" t="s">
        <v>546</v>
      </c>
      <c r="C94" s="8" t="s">
        <v>332</v>
      </c>
      <c r="D94" s="9">
        <v>50</v>
      </c>
      <c r="E94" s="10" t="e">
        <f>+VLOOKUP(Tabla1103453454455456479108135149335340346348349378[[#This Row],[Ingrediente]],#REF!,3,0)</f>
        <v>#REF!</v>
      </c>
      <c r="F94" s="11" t="e">
        <f>+Tabla1103453454455456479108135149335340346348349378[[#This Row],[Costo]]*Tabla1103453454455456479108135149335340346348349378[[#This Row],[Cant.]]</f>
        <v>#REF!</v>
      </c>
      <c r="G94" s="4"/>
      <c r="H94" s="5" t="s">
        <v>11</v>
      </c>
      <c r="I94" s="12">
        <f>+I93/1.08*0.08</f>
        <v>0</v>
      </c>
    </row>
    <row r="95" spans="2:9" x14ac:dyDescent="0.3">
      <c r="B95" s="7" t="s">
        <v>360</v>
      </c>
      <c r="C95" s="8" t="s">
        <v>332</v>
      </c>
      <c r="D95" s="9">
        <v>1</v>
      </c>
      <c r="E95" s="10" t="e">
        <f>+VLOOKUP(Tabla1103453454455456479108135149335340346348349378[[#This Row],[Ingrediente]],#REF!,3,0)</f>
        <v>#REF!</v>
      </c>
      <c r="F95" s="11" t="e">
        <f>+Tabla1103453454455456479108135149335340346348349378[[#This Row],[Costo]]*Tabla1103453454455456479108135149335340346348349378[[#This Row],[Cant.]]</f>
        <v>#REF!</v>
      </c>
      <c r="G95" s="4"/>
      <c r="H95" s="5" t="s">
        <v>12</v>
      </c>
      <c r="I95" s="12">
        <f>+I93-I94</f>
        <v>0</v>
      </c>
    </row>
    <row r="96" spans="2:9" x14ac:dyDescent="0.3">
      <c r="B96" s="7" t="s">
        <v>547</v>
      </c>
      <c r="C96" s="8" t="s">
        <v>332</v>
      </c>
      <c r="D96" s="9">
        <v>1</v>
      </c>
      <c r="E96" s="10" t="e">
        <f>+VLOOKUP(Tabla1103453454455456479108135149335340346348349378[[#This Row],[Ingrediente]],#REF!,3,0)</f>
        <v>#REF!</v>
      </c>
      <c r="F96" s="11" t="e">
        <f>+Tabla1103453454455456479108135149335340346348349378[[#This Row],[Costo]]*Tabla1103453454455456479108135149335340346348349378[[#This Row],[Cant.]]</f>
        <v>#REF!</v>
      </c>
      <c r="G96" s="4"/>
      <c r="H96" s="5" t="s">
        <v>13</v>
      </c>
      <c r="I96" s="19" t="e">
        <f>+I92/I95</f>
        <v>#REF!</v>
      </c>
    </row>
    <row r="97" spans="2:9" x14ac:dyDescent="0.3">
      <c r="B97" s="7" t="s">
        <v>386</v>
      </c>
      <c r="C97" s="8" t="s">
        <v>332</v>
      </c>
      <c r="D97" s="9">
        <v>360</v>
      </c>
      <c r="E97" s="10" t="e">
        <f>+VLOOKUP(Tabla1103453454455456479108135149335340346348349378[[#This Row],[Ingrediente]],#REF!,3,0)</f>
        <v>#REF!</v>
      </c>
      <c r="F97" s="11" t="e">
        <f>+Tabla1103453454455456479108135149335340346348349378[[#This Row],[Costo]]*Tabla1103453454455456479108135149335340346348349378[[#This Row],[Cant.]]</f>
        <v>#REF!</v>
      </c>
      <c r="G97" s="4"/>
      <c r="H97" s="5" t="s">
        <v>14</v>
      </c>
      <c r="I97" s="20" t="e">
        <f>+I95-I92</f>
        <v>#REF!</v>
      </c>
    </row>
    <row r="98" spans="2:9" x14ac:dyDescent="0.3">
      <c r="B98" s="21" t="s">
        <v>443</v>
      </c>
      <c r="C98" s="8" t="s">
        <v>332</v>
      </c>
      <c r="D98" s="9">
        <v>1</v>
      </c>
      <c r="E98" s="10" t="e">
        <f>+VLOOKUP(Tabla1103453454455456479108135149335340346348349378[[#This Row],[Ingrediente]],#REF!,3,0)</f>
        <v>#REF!</v>
      </c>
      <c r="F98" s="11" t="e">
        <f>+Tabla1103453454455456479108135149335340346348349378[[#This Row],[Costo]]*Tabla1103453454455456479108135149335340346348349378[[#This Row],[Cant.]]</f>
        <v>#REF!</v>
      </c>
      <c r="G98" s="4"/>
      <c r="H98" s="5" t="s">
        <v>15</v>
      </c>
      <c r="I98" s="22" t="e">
        <f>+I97/I92</f>
        <v>#REF!</v>
      </c>
    </row>
    <row r="99" spans="2:9" x14ac:dyDescent="0.3">
      <c r="B99" s="7" t="s">
        <v>482</v>
      </c>
      <c r="C99" s="8" t="s">
        <v>332</v>
      </c>
      <c r="D99" s="9">
        <v>1</v>
      </c>
      <c r="E99" s="10" t="e">
        <f>+VLOOKUP(Tabla1103453454455456479108135149335340346348349378[[#This Row],[Ingrediente]],#REF!,3,0)</f>
        <v>#REF!</v>
      </c>
      <c r="F99" s="11" t="e">
        <f>+Tabla1103453454455456479108135149335340346348349378[[#This Row],[Costo]]*Tabla1103453454455456479108135149335340346348349378[[#This Row],[Cant.]]</f>
        <v>#REF!</v>
      </c>
    </row>
    <row r="100" spans="2:9" x14ac:dyDescent="0.3">
      <c r="B100" s="86" t="s">
        <v>545</v>
      </c>
      <c r="C100" s="8" t="s">
        <v>332</v>
      </c>
      <c r="D100" s="9">
        <v>50</v>
      </c>
      <c r="E100" s="10" t="e">
        <f>+VLOOKUP(Tabla1103453454455456479108135149335340346348349378[[#This Row],[Ingrediente]],#REF!,3,0)</f>
        <v>#REF!</v>
      </c>
      <c r="F100" s="11" t="e">
        <f>+Tabla1103453454455456479108135149335340346348349378[[#This Row],[Costo]]*Tabla1103453454455456479108135149335340346348349378[[#This Row],[Cant.]]</f>
        <v>#REF!</v>
      </c>
    </row>
    <row r="101" spans="2:9" x14ac:dyDescent="0.3">
      <c r="B101" s="86" t="s">
        <v>543</v>
      </c>
      <c r="C101" s="8" t="s">
        <v>332</v>
      </c>
      <c r="D101" s="9">
        <v>80</v>
      </c>
      <c r="E101" s="10" t="e">
        <f>+VLOOKUP(Tabla1103453454455456479108135149335340346348349378[[#This Row],[Ingrediente]],#REF!,3,0)</f>
        <v>#REF!</v>
      </c>
      <c r="F101" s="11" t="e">
        <f>+Tabla1103453454455456479108135149335340346348349378[[#This Row],[Costo]]*Tabla1103453454455456479108135149335340346348349378[[#This Row],[Cant.]]</f>
        <v>#REF!</v>
      </c>
    </row>
    <row r="102" spans="2:9" x14ac:dyDescent="0.3">
      <c r="B102" s="86" t="s">
        <v>544</v>
      </c>
      <c r="C102" s="8" t="s">
        <v>332</v>
      </c>
      <c r="D102" s="9">
        <v>80</v>
      </c>
      <c r="E102" s="10" t="e">
        <f>+VLOOKUP(Tabla1103453454455456479108135149335340346348349378[[#This Row],[Ingrediente]],#REF!,3,0)</f>
        <v>#REF!</v>
      </c>
      <c r="F102" s="11" t="e">
        <f>+Tabla1103453454455456479108135149335340346348349378[[#This Row],[Costo]]*Tabla1103453454455456479108135149335340346348349378[[#This Row],[Cant.]]</f>
        <v>#REF!</v>
      </c>
    </row>
    <row r="103" spans="2:9" x14ac:dyDescent="0.3">
      <c r="B103" s="86" t="s">
        <v>542</v>
      </c>
      <c r="C103" s="8" t="s">
        <v>332</v>
      </c>
      <c r="D103" s="9">
        <v>4</v>
      </c>
      <c r="E103" s="10" t="e">
        <f>+VLOOKUP(Tabla1103453454455456479108135149335340346348349378[[#This Row],[Ingrediente]],#REF!,3,0)</f>
        <v>#REF!</v>
      </c>
      <c r="F103" s="11" t="e">
        <f>+Tabla1103453454455456479108135149335340346348349378[[#This Row],[Costo]]*Tabla1103453454455456479108135149335340346348349378[[#This Row],[Cant.]]</f>
        <v>#REF!</v>
      </c>
    </row>
    <row r="104" spans="2:9" x14ac:dyDescent="0.3">
      <c r="B104" s="13"/>
      <c r="C104" s="14"/>
      <c r="D104" s="14"/>
      <c r="E104" s="15"/>
      <c r="F104" s="15" t="e">
        <f>SUBTOTAL(109,Tabla1103453454455456479108135149335340346348349378[Total costo])</f>
        <v>#REF!</v>
      </c>
    </row>
    <row r="116" spans="2:9" x14ac:dyDescent="0.3">
      <c r="B116" s="16" t="s">
        <v>550</v>
      </c>
      <c r="C116" s="2"/>
      <c r="D116" s="2"/>
      <c r="E116" s="3"/>
      <c r="F116" s="3"/>
      <c r="G116" s="24"/>
      <c r="H116" s="277" t="s">
        <v>0</v>
      </c>
      <c r="I116" s="277"/>
    </row>
    <row r="117" spans="2:9" x14ac:dyDescent="0.3">
      <c r="B117" s="13" t="s">
        <v>1</v>
      </c>
      <c r="C117" s="14" t="s">
        <v>2</v>
      </c>
      <c r="D117" s="14" t="s">
        <v>3</v>
      </c>
      <c r="E117" s="28" t="s">
        <v>4</v>
      </c>
      <c r="F117" s="28" t="s">
        <v>5</v>
      </c>
      <c r="H117" s="5" t="s">
        <v>6</v>
      </c>
      <c r="I117" s="6" t="e">
        <f>SUM(Tabla1103453454455456479108135149335340346348349387[Total costo])</f>
        <v>#REF!</v>
      </c>
    </row>
    <row r="118" spans="2:9" x14ac:dyDescent="0.3">
      <c r="B118" s="7" t="s">
        <v>549</v>
      </c>
      <c r="C118" s="8" t="s">
        <v>61</v>
      </c>
      <c r="D118" s="9">
        <v>6</v>
      </c>
      <c r="E118" s="10" t="e">
        <f>+VLOOKUP(Tabla1103453454455456479108135149335340346348349387[[#This Row],[Ingrediente]],#REF!,3,0)</f>
        <v>#REF!</v>
      </c>
      <c r="F118" s="11" t="e">
        <f>+Tabla1103453454455456479108135149335340346348349387[[#This Row],[Costo]]*Tabla1103453454455456479108135149335340346348349387[[#This Row],[Cant.]]</f>
        <v>#REF!</v>
      </c>
      <c r="H118" s="5" t="s">
        <v>113</v>
      </c>
      <c r="I118" s="12"/>
    </row>
    <row r="119" spans="2:9" x14ac:dyDescent="0.3">
      <c r="B119" s="7" t="s">
        <v>49</v>
      </c>
      <c r="C119" s="8" t="s">
        <v>107</v>
      </c>
      <c r="D119" s="9">
        <v>24</v>
      </c>
      <c r="E119" s="10" t="e">
        <f>+VLOOKUP(Tabla1103453454455456479108135149335340346348349387[[#This Row],[Ingrediente]],#REF!,3,0)</f>
        <v>#REF!</v>
      </c>
      <c r="F119" s="11" t="e">
        <f>+Tabla1103453454455456479108135149335340346348349387[[#This Row],[Costo]]*Tabla1103453454455456479108135149335340346348349387[[#This Row],[Cant.]]</f>
        <v>#REF!</v>
      </c>
      <c r="H119" s="5" t="s">
        <v>9</v>
      </c>
      <c r="I119" s="12" t="e">
        <f>+I117+I118</f>
        <v>#REF!</v>
      </c>
    </row>
    <row r="120" spans="2:9" x14ac:dyDescent="0.3">
      <c r="B120" s="7" t="s">
        <v>505</v>
      </c>
      <c r="C120" s="8" t="s">
        <v>68</v>
      </c>
      <c r="D120" s="9">
        <v>4</v>
      </c>
      <c r="E120" s="10" t="e">
        <f>+VLOOKUP(Tabla1103453454455456479108135149335340346348349387[[#This Row],[Ingrediente]],#REF!,3,0)</f>
        <v>#REF!</v>
      </c>
      <c r="F120" s="11" t="e">
        <f>+Tabla1103453454455456479108135149335340346348349387[[#This Row],[Costo]]*Tabla1103453454455456479108135149335340346348349387[[#This Row],[Cant.]]</f>
        <v>#REF!</v>
      </c>
      <c r="G120" s="4"/>
      <c r="H120" s="17" t="s">
        <v>10</v>
      </c>
      <c r="I120" s="18">
        <v>360000</v>
      </c>
    </row>
    <row r="121" spans="2:9" x14ac:dyDescent="0.3">
      <c r="B121" s="7" t="s">
        <v>164</v>
      </c>
      <c r="C121" s="8" t="s">
        <v>68</v>
      </c>
      <c r="D121" s="9">
        <v>4</v>
      </c>
      <c r="E121" s="10" t="e">
        <f>+VLOOKUP(Tabla1103453454455456479108135149335340346348349387[[#This Row],[Ingrediente]],#REF!,3,0)</f>
        <v>#REF!</v>
      </c>
      <c r="F121" s="11" t="e">
        <f>+Tabla1103453454455456479108135149335340346348349387[[#This Row],[Costo]]*Tabla1103453454455456479108135149335340346348349387[[#This Row],[Cant.]]</f>
        <v>#REF!</v>
      </c>
      <c r="G121" s="4"/>
      <c r="H121" s="5" t="s">
        <v>11</v>
      </c>
      <c r="I121" s="12">
        <f>+I120/1.08*0.08</f>
        <v>26666.666666666664</v>
      </c>
    </row>
    <row r="122" spans="2:9" x14ac:dyDescent="0.3">
      <c r="B122" s="13"/>
      <c r="C122" s="14"/>
      <c r="D122" s="14"/>
      <c r="E122" s="15"/>
      <c r="F122" s="15" t="e">
        <f>SUBTOTAL(109,Tabla1103453454455456479108135149335340346348349387[Total costo])</f>
        <v>#REF!</v>
      </c>
      <c r="G122" s="4"/>
      <c r="H122" s="5" t="s">
        <v>12</v>
      </c>
      <c r="I122" s="12">
        <f>+I120-I121</f>
        <v>333333.33333333331</v>
      </c>
    </row>
    <row r="123" spans="2:9" x14ac:dyDescent="0.3">
      <c r="G123" s="4"/>
      <c r="H123" s="5" t="s">
        <v>13</v>
      </c>
      <c r="I123" s="19" t="e">
        <f>+I119/I122</f>
        <v>#REF!</v>
      </c>
    </row>
    <row r="124" spans="2:9" x14ac:dyDescent="0.3">
      <c r="G124" s="4"/>
      <c r="H124" s="5" t="s">
        <v>14</v>
      </c>
      <c r="I124" s="20" t="e">
        <f>+I122-I119</f>
        <v>#REF!</v>
      </c>
    </row>
    <row r="125" spans="2:9" x14ac:dyDescent="0.3">
      <c r="G125" s="4"/>
      <c r="H125" s="5" t="s">
        <v>15</v>
      </c>
      <c r="I125" s="22" t="e">
        <f>+I124/I119</f>
        <v>#REF!</v>
      </c>
    </row>
  </sheetData>
  <mergeCells count="7">
    <mergeCell ref="H89:I89"/>
    <mergeCell ref="H116:I116"/>
    <mergeCell ref="H7:I7"/>
    <mergeCell ref="H19:I19"/>
    <mergeCell ref="H31:I31"/>
    <mergeCell ref="H44:I44"/>
    <mergeCell ref="H65:I65"/>
  </mergeCells>
  <conditionalFormatting sqref="I14">
    <cfRule type="cellIs" dxfId="25" priority="13" operator="lessThan">
      <formula>0.3</formula>
    </cfRule>
    <cfRule type="cellIs" dxfId="24" priority="14" operator="greaterThan">
      <formula>0.3</formula>
    </cfRule>
  </conditionalFormatting>
  <conditionalFormatting sqref="I26">
    <cfRule type="cellIs" dxfId="23" priority="11" operator="lessThan">
      <formula>0.3</formula>
    </cfRule>
    <cfRule type="cellIs" dxfId="22" priority="12" operator="greaterThan">
      <formula>0.3</formula>
    </cfRule>
  </conditionalFormatting>
  <conditionalFormatting sqref="I38">
    <cfRule type="cellIs" dxfId="21" priority="9" operator="lessThan">
      <formula>0.3</formula>
    </cfRule>
    <cfRule type="cellIs" dxfId="20" priority="10" operator="greaterThan">
      <formula>0.3</formula>
    </cfRule>
  </conditionalFormatting>
  <conditionalFormatting sqref="I51">
    <cfRule type="cellIs" dxfId="19" priority="7" operator="lessThan">
      <formula>0.3</formula>
    </cfRule>
    <cfRule type="cellIs" dxfId="18" priority="8" operator="greaterThan">
      <formula>0.3</formula>
    </cfRule>
  </conditionalFormatting>
  <conditionalFormatting sqref="I72">
    <cfRule type="cellIs" dxfId="17" priority="5" operator="lessThan">
      <formula>0.3</formula>
    </cfRule>
    <cfRule type="cellIs" dxfId="16" priority="6" operator="greaterThan">
      <formula>0.3</formula>
    </cfRule>
  </conditionalFormatting>
  <conditionalFormatting sqref="I96">
    <cfRule type="cellIs" dxfId="15" priority="3" operator="lessThan">
      <formula>0.3</formula>
    </cfRule>
    <cfRule type="cellIs" dxfId="14" priority="4" operator="greaterThan">
      <formula>0.3</formula>
    </cfRule>
  </conditionalFormatting>
  <conditionalFormatting sqref="I123">
    <cfRule type="cellIs" dxfId="13" priority="1" operator="lessThan">
      <formula>0.3</formula>
    </cfRule>
    <cfRule type="cellIs" dxfId="12" priority="2" operator="greaterThan">
      <formula>0.3</formula>
    </cfRule>
  </conditionalFormatting>
  <pageMargins left="0.7" right="0.7" top="0.75" bottom="0.75" header="0.3" footer="0.3"/>
  <pageSetup orientation="portrait" horizontalDpi="360" verticalDpi="360" r:id="rId1"/>
  <drawing r:id="rId2"/>
  <tableParts count="7">
    <tablePart r:id="rId3"/>
    <tablePart r:id="rId4"/>
    <tablePart r:id="rId5"/>
    <tablePart r:id="rId6"/>
    <tablePart r:id="rId7"/>
    <tablePart r:id="rId8"/>
    <tablePart r:id="rId9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FD4E9-F24C-4E4D-84A7-B13B8E61EF71}">
  <dimension ref="A6:H71"/>
  <sheetViews>
    <sheetView showGridLines="0" zoomScale="115" zoomScaleNormal="115" workbookViewId="0">
      <selection activeCell="H34" sqref="H34"/>
    </sheetView>
  </sheetViews>
  <sheetFormatPr baseColWidth="10" defaultRowHeight="14.4" x14ac:dyDescent="0.3"/>
  <cols>
    <col min="1" max="1" width="29.109375" bestFit="1" customWidth="1"/>
    <col min="2" max="2" width="9" bestFit="1" customWidth="1"/>
    <col min="6" max="6" width="4" customWidth="1"/>
    <col min="7" max="7" width="26.5546875" bestFit="1" customWidth="1"/>
  </cols>
  <sheetData>
    <row r="6" spans="1:8" x14ac:dyDescent="0.3">
      <c r="A6" s="1" t="s">
        <v>315</v>
      </c>
      <c r="B6" s="2"/>
      <c r="C6" s="2"/>
      <c r="D6" s="3"/>
      <c r="E6" s="3"/>
      <c r="F6" s="4"/>
      <c r="G6" s="277" t="s">
        <v>0</v>
      </c>
      <c r="H6" s="277"/>
    </row>
    <row r="7" spans="1:8" x14ac:dyDescent="0.3">
      <c r="A7" s="13" t="s">
        <v>1</v>
      </c>
      <c r="B7" s="14" t="s">
        <v>2</v>
      </c>
      <c r="C7" s="14" t="s">
        <v>3</v>
      </c>
      <c r="D7" s="28" t="s">
        <v>4</v>
      </c>
      <c r="E7" s="28" t="s">
        <v>5</v>
      </c>
      <c r="F7" s="4"/>
      <c r="G7" s="5" t="s">
        <v>6</v>
      </c>
      <c r="H7" s="6">
        <f>SUM(Tabla1103453454455456479108135149219379380[Total costo])</f>
        <v>136125</v>
      </c>
    </row>
    <row r="8" spans="1:8" x14ac:dyDescent="0.3">
      <c r="A8" s="7" t="s">
        <v>664</v>
      </c>
      <c r="B8" s="8" t="s">
        <v>349</v>
      </c>
      <c r="C8" s="9">
        <v>22</v>
      </c>
      <c r="D8" s="10">
        <f>+VLOOKUP(Tabla1103453454455456479108135149219379380[[#This Row],[Ingrediente]],Tabla34[#All],3,0)</f>
        <v>6187.5</v>
      </c>
      <c r="E8" s="11">
        <f>+Tabla1103453454455456479108135149219379380[[#This Row],[Costo]]*Tabla1103453454455456479108135149219379380[[#This Row],[Cant.]]</f>
        <v>136125</v>
      </c>
      <c r="F8" s="4"/>
      <c r="G8" s="5" t="s">
        <v>113</v>
      </c>
      <c r="H8" s="12"/>
    </row>
    <row r="9" spans="1:8" x14ac:dyDescent="0.3">
      <c r="A9" s="13"/>
      <c r="B9" s="14"/>
      <c r="C9" s="14"/>
      <c r="D9" s="15"/>
      <c r="E9" s="15">
        <f>SUBTOTAL(109,Tabla1103453454455456479108135149219379380[Total costo])</f>
        <v>136125</v>
      </c>
      <c r="F9" s="4"/>
      <c r="G9" s="5" t="s">
        <v>9</v>
      </c>
      <c r="H9" s="12">
        <f>+H7+H8</f>
        <v>136125</v>
      </c>
    </row>
    <row r="10" spans="1:8" x14ac:dyDescent="0.3">
      <c r="F10" s="4"/>
      <c r="G10" s="17" t="s">
        <v>10</v>
      </c>
      <c r="H10" s="18">
        <v>354000</v>
      </c>
    </row>
    <row r="11" spans="1:8" x14ac:dyDescent="0.3">
      <c r="F11" s="4"/>
      <c r="G11" s="5" t="s">
        <v>11</v>
      </c>
      <c r="H11" s="12">
        <f>+H10/1.08*0.08</f>
        <v>26222.222222222219</v>
      </c>
    </row>
    <row r="12" spans="1:8" x14ac:dyDescent="0.3">
      <c r="F12" s="4"/>
      <c r="G12" s="5" t="s">
        <v>12</v>
      </c>
      <c r="H12" s="12">
        <f>+H10-H11</f>
        <v>327777.77777777775</v>
      </c>
    </row>
    <row r="13" spans="1:8" x14ac:dyDescent="0.3">
      <c r="F13" s="4"/>
      <c r="G13" s="5" t="s">
        <v>13</v>
      </c>
      <c r="H13" s="19">
        <f>+H9/H12</f>
        <v>0.41529661016949154</v>
      </c>
    </row>
    <row r="14" spans="1:8" x14ac:dyDescent="0.3">
      <c r="F14" s="4"/>
      <c r="G14" s="5" t="s">
        <v>14</v>
      </c>
      <c r="H14" s="20">
        <f>+H12-H9</f>
        <v>191652.77777777775</v>
      </c>
    </row>
    <row r="15" spans="1:8" x14ac:dyDescent="0.3">
      <c r="F15" s="4"/>
      <c r="G15" s="5" t="s">
        <v>15</v>
      </c>
      <c r="H15" s="22">
        <f>+H14/H9</f>
        <v>1.4079175594327107</v>
      </c>
    </row>
    <row r="18" spans="1:8" x14ac:dyDescent="0.3">
      <c r="A18" s="1" t="s">
        <v>773</v>
      </c>
      <c r="B18" s="2"/>
      <c r="C18" s="2"/>
      <c r="D18" s="3"/>
      <c r="E18" s="3"/>
      <c r="F18" s="4"/>
      <c r="G18" s="277" t="s">
        <v>0</v>
      </c>
      <c r="H18" s="277"/>
    </row>
    <row r="19" spans="1:8" x14ac:dyDescent="0.3">
      <c r="A19" s="13" t="s">
        <v>1</v>
      </c>
      <c r="B19" s="14" t="s">
        <v>2</v>
      </c>
      <c r="C19" s="14" t="s">
        <v>3</v>
      </c>
      <c r="D19" s="28" t="s">
        <v>4</v>
      </c>
      <c r="E19" s="28" t="s">
        <v>5</v>
      </c>
      <c r="F19" s="4"/>
      <c r="G19" s="5" t="s">
        <v>6</v>
      </c>
      <c r="H19" s="6">
        <f>SUM(Tabla1103453454455456479108135149219379380388[Total costo])</f>
        <v>137001.00000003999</v>
      </c>
    </row>
    <row r="20" spans="1:8" x14ac:dyDescent="0.3">
      <c r="A20" s="7" t="s">
        <v>635</v>
      </c>
      <c r="B20" s="8" t="s">
        <v>349</v>
      </c>
      <c r="C20" s="9">
        <v>22</v>
      </c>
      <c r="D20" s="10">
        <f>+VLOOKUP(Tabla1103453454455456479108135149219379380388[[#This Row],[Ingrediente]],Tabla34[#All],3,0)</f>
        <v>6227.3181818200001</v>
      </c>
      <c r="E20" s="11">
        <f>+Tabla1103453454455456479108135149219379380388[[#This Row],[Costo]]*Tabla1103453454455456479108135149219379380388[[#This Row],[Cant.]]</f>
        <v>137001.00000003999</v>
      </c>
      <c r="F20" s="4"/>
      <c r="G20" s="5" t="s">
        <v>113</v>
      </c>
      <c r="H20" s="12"/>
    </row>
    <row r="21" spans="1:8" x14ac:dyDescent="0.3">
      <c r="A21" s="13"/>
      <c r="B21" s="14"/>
      <c r="C21" s="14"/>
      <c r="D21" s="15"/>
      <c r="E21" s="15">
        <f>SUBTOTAL(109,Tabla1103453454455456479108135149219379380388[Total costo])</f>
        <v>137001.00000003999</v>
      </c>
      <c r="F21" s="4"/>
      <c r="G21" s="5" t="s">
        <v>9</v>
      </c>
      <c r="H21" s="12">
        <f>+H19+H20</f>
        <v>137001.00000003999</v>
      </c>
    </row>
    <row r="22" spans="1:8" x14ac:dyDescent="0.3">
      <c r="F22" s="4"/>
      <c r="G22" s="17" t="s">
        <v>10</v>
      </c>
      <c r="H22" s="18">
        <v>364000</v>
      </c>
    </row>
    <row r="23" spans="1:8" x14ac:dyDescent="0.3">
      <c r="F23" s="4"/>
      <c r="G23" s="5" t="s">
        <v>11</v>
      </c>
      <c r="H23" s="12">
        <f>+H22/1.08*0.08</f>
        <v>26962.962962962964</v>
      </c>
    </row>
    <row r="24" spans="1:8" x14ac:dyDescent="0.3">
      <c r="F24" s="4"/>
      <c r="G24" s="5" t="s">
        <v>12</v>
      </c>
      <c r="H24" s="12">
        <f>+H22-H23</f>
        <v>337037.03703703702</v>
      </c>
    </row>
    <row r="25" spans="1:8" x14ac:dyDescent="0.3">
      <c r="F25" s="4"/>
      <c r="G25" s="5" t="s">
        <v>13</v>
      </c>
      <c r="H25" s="19">
        <f>+H21/H24</f>
        <v>0.40648648351660216</v>
      </c>
    </row>
    <row r="26" spans="1:8" x14ac:dyDescent="0.3">
      <c r="F26" s="4"/>
      <c r="G26" s="5" t="s">
        <v>14</v>
      </c>
      <c r="H26" s="20">
        <f>+H24-H21</f>
        <v>200036.03703699703</v>
      </c>
    </row>
    <row r="27" spans="1:8" x14ac:dyDescent="0.3">
      <c r="F27" s="4"/>
      <c r="G27" s="5" t="s">
        <v>15</v>
      </c>
      <c r="H27" s="22">
        <f>+H26/H21</f>
        <v>1.46010640095283</v>
      </c>
    </row>
    <row r="29" spans="1:8" x14ac:dyDescent="0.3">
      <c r="A29" s="1" t="s">
        <v>774</v>
      </c>
      <c r="B29" s="2"/>
      <c r="C29" s="2"/>
      <c r="D29" s="3"/>
      <c r="E29" s="3"/>
      <c r="F29" s="4"/>
      <c r="G29" s="277" t="s">
        <v>0</v>
      </c>
      <c r="H29" s="277"/>
    </row>
    <row r="30" spans="1:8" x14ac:dyDescent="0.3">
      <c r="A30" s="13" t="s">
        <v>1</v>
      </c>
      <c r="B30" s="14" t="s">
        <v>2</v>
      </c>
      <c r="C30" s="14" t="s">
        <v>3</v>
      </c>
      <c r="D30" s="28" t="s">
        <v>4</v>
      </c>
      <c r="E30" s="28" t="s">
        <v>5</v>
      </c>
      <c r="F30" s="4"/>
      <c r="G30" s="5" t="s">
        <v>6</v>
      </c>
      <c r="H30" s="6">
        <f>SUM(Tabla1103453454455456479108135149219379380389[Total costo])</f>
        <v>215526</v>
      </c>
    </row>
    <row r="31" spans="1:8" x14ac:dyDescent="0.3">
      <c r="A31" s="7" t="s">
        <v>375</v>
      </c>
      <c r="B31" s="8" t="s">
        <v>349</v>
      </c>
      <c r="C31" s="9">
        <v>24</v>
      </c>
      <c r="D31" s="10">
        <f>+VLOOKUP(Tabla1103453454455456479108135149219379380389[[#This Row],[Ingrediente]],Tabla34[#All],3,0)</f>
        <v>8980.25</v>
      </c>
      <c r="E31" s="11">
        <f>+Tabla1103453454455456479108135149219379380389[[#This Row],[Costo]]*Tabla1103453454455456479108135149219379380389[[#This Row],[Cant.]]</f>
        <v>215526</v>
      </c>
      <c r="F31" s="4"/>
      <c r="G31" s="5" t="s">
        <v>113</v>
      </c>
      <c r="H31" s="12"/>
    </row>
    <row r="32" spans="1:8" x14ac:dyDescent="0.3">
      <c r="A32" s="13"/>
      <c r="B32" s="14"/>
      <c r="C32" s="14"/>
      <c r="D32" s="15"/>
      <c r="E32" s="15">
        <f>SUBTOTAL(109,Tabla1103453454455456479108135149219379380389[Total costo])</f>
        <v>215526</v>
      </c>
      <c r="F32" s="4"/>
      <c r="G32" s="5" t="s">
        <v>9</v>
      </c>
      <c r="H32" s="12">
        <f>+H30+H31</f>
        <v>215526</v>
      </c>
    </row>
    <row r="33" spans="1:8" x14ac:dyDescent="0.3">
      <c r="F33" s="4"/>
      <c r="G33" s="17" t="s">
        <v>10</v>
      </c>
      <c r="H33" s="18">
        <v>557000</v>
      </c>
    </row>
    <row r="34" spans="1:8" x14ac:dyDescent="0.3">
      <c r="F34" s="4"/>
      <c r="G34" s="5" t="s">
        <v>11</v>
      </c>
      <c r="H34" s="12">
        <f>+H33/1.08*0.08</f>
        <v>41259.259259259263</v>
      </c>
    </row>
    <row r="35" spans="1:8" x14ac:dyDescent="0.3">
      <c r="F35" s="4"/>
      <c r="G35" s="5" t="s">
        <v>12</v>
      </c>
      <c r="H35" s="12">
        <f>+H33-H34</f>
        <v>515740.74074074073</v>
      </c>
    </row>
    <row r="36" spans="1:8" x14ac:dyDescent="0.3">
      <c r="F36" s="4"/>
      <c r="G36" s="5" t="s">
        <v>13</v>
      </c>
      <c r="H36" s="19">
        <f>+H32/H35</f>
        <v>0.41789601436265711</v>
      </c>
    </row>
    <row r="37" spans="1:8" x14ac:dyDescent="0.3">
      <c r="F37" s="4"/>
      <c r="G37" s="5" t="s">
        <v>14</v>
      </c>
      <c r="H37" s="20">
        <f>+H35-H32</f>
        <v>300214.74074074073</v>
      </c>
    </row>
    <row r="38" spans="1:8" x14ac:dyDescent="0.3">
      <c r="F38" s="4"/>
      <c r="G38" s="5" t="s">
        <v>15</v>
      </c>
      <c r="H38" s="22">
        <f>+H37/H32</f>
        <v>1.3929397879640542</v>
      </c>
    </row>
    <row r="40" spans="1:8" x14ac:dyDescent="0.3">
      <c r="A40" s="1" t="s">
        <v>316</v>
      </c>
      <c r="B40" s="2"/>
      <c r="C40" s="2"/>
      <c r="D40" s="3"/>
      <c r="E40" s="3"/>
      <c r="F40" s="4"/>
      <c r="G40" s="277" t="s">
        <v>0</v>
      </c>
      <c r="H40" s="277"/>
    </row>
    <row r="41" spans="1:8" x14ac:dyDescent="0.3">
      <c r="A41" s="13" t="s">
        <v>1</v>
      </c>
      <c r="B41" s="14" t="s">
        <v>2</v>
      </c>
      <c r="C41" s="14" t="s">
        <v>3</v>
      </c>
      <c r="D41" s="28" t="s">
        <v>4</v>
      </c>
      <c r="E41" s="28" t="s">
        <v>5</v>
      </c>
      <c r="F41" s="4"/>
      <c r="G41" s="5" t="s">
        <v>6</v>
      </c>
      <c r="H41" s="6">
        <f>SUM(Tabla1103453454455456479108135149219379380390[Total costo])</f>
        <v>12375</v>
      </c>
    </row>
    <row r="42" spans="1:8" x14ac:dyDescent="0.3">
      <c r="A42" s="7" t="s">
        <v>664</v>
      </c>
      <c r="B42" s="8" t="s">
        <v>349</v>
      </c>
      <c r="C42" s="9">
        <v>2</v>
      </c>
      <c r="D42" s="10">
        <f>+VLOOKUP(Tabla1103453454455456479108135149219379380390[[#This Row],[Ingrediente]],Tabla34[#All],3,0)</f>
        <v>6187.5</v>
      </c>
      <c r="E42" s="11">
        <f>+Tabla1103453454455456479108135149219379380390[[#This Row],[Costo]]*Tabla1103453454455456479108135149219379380390[[#This Row],[Cant.]]</f>
        <v>12375</v>
      </c>
      <c r="F42" s="4"/>
      <c r="G42" s="5" t="s">
        <v>113</v>
      </c>
      <c r="H42" s="12"/>
    </row>
    <row r="43" spans="1:8" x14ac:dyDescent="0.3">
      <c r="A43" s="13"/>
      <c r="B43" s="14"/>
      <c r="C43" s="14"/>
      <c r="D43" s="15"/>
      <c r="E43" s="15">
        <f>SUBTOTAL(109,Tabla1103453454455456479108135149219379380390[Total costo])</f>
        <v>12375</v>
      </c>
      <c r="F43" s="4"/>
      <c r="G43" s="5" t="s">
        <v>9</v>
      </c>
      <c r="H43" s="12">
        <f>+H41+H42</f>
        <v>12375</v>
      </c>
    </row>
    <row r="44" spans="1:8" x14ac:dyDescent="0.3">
      <c r="F44" s="4"/>
      <c r="G44" s="17" t="s">
        <v>10</v>
      </c>
      <c r="H44" s="18">
        <v>33000</v>
      </c>
    </row>
    <row r="45" spans="1:8" x14ac:dyDescent="0.3">
      <c r="F45" s="4"/>
      <c r="G45" s="5" t="s">
        <v>11</v>
      </c>
      <c r="H45" s="12">
        <f>+H44/1.08*0.08</f>
        <v>2444.4444444444443</v>
      </c>
    </row>
    <row r="46" spans="1:8" x14ac:dyDescent="0.3">
      <c r="F46" s="4"/>
      <c r="G46" s="5" t="s">
        <v>12</v>
      </c>
      <c r="H46" s="12">
        <f>+H44-H45</f>
        <v>30555.555555555555</v>
      </c>
    </row>
    <row r="47" spans="1:8" x14ac:dyDescent="0.3">
      <c r="F47" s="4"/>
      <c r="G47" s="5" t="s">
        <v>13</v>
      </c>
      <c r="H47" s="19">
        <f>+H43/H46</f>
        <v>0.40500000000000003</v>
      </c>
    </row>
    <row r="48" spans="1:8" x14ac:dyDescent="0.3">
      <c r="F48" s="4"/>
      <c r="G48" s="5" t="s">
        <v>14</v>
      </c>
      <c r="H48" s="20">
        <f>+H46-H43</f>
        <v>18180.555555555555</v>
      </c>
    </row>
    <row r="49" spans="1:8" x14ac:dyDescent="0.3">
      <c r="F49" s="4"/>
      <c r="G49" s="5" t="s">
        <v>15</v>
      </c>
      <c r="H49" s="22">
        <f>+H48/H43</f>
        <v>1.4691358024691357</v>
      </c>
    </row>
    <row r="51" spans="1:8" x14ac:dyDescent="0.3">
      <c r="A51" s="1" t="s">
        <v>317</v>
      </c>
      <c r="B51" s="2"/>
      <c r="C51" s="2"/>
      <c r="D51" s="3"/>
      <c r="E51" s="3"/>
      <c r="F51" s="4"/>
      <c r="G51" s="277" t="s">
        <v>0</v>
      </c>
      <c r="H51" s="277"/>
    </row>
    <row r="52" spans="1:8" x14ac:dyDescent="0.3">
      <c r="A52" s="13" t="s">
        <v>1</v>
      </c>
      <c r="B52" s="14" t="s">
        <v>2</v>
      </c>
      <c r="C52" s="14" t="s">
        <v>3</v>
      </c>
      <c r="D52" s="28" t="s">
        <v>4</v>
      </c>
      <c r="E52" s="28" t="s">
        <v>5</v>
      </c>
      <c r="F52" s="4"/>
      <c r="G52" s="5" t="s">
        <v>6</v>
      </c>
      <c r="H52" s="6">
        <f>SUM(Tabla1103453454455456479108135149219379380391[Total costo])</f>
        <v>12454.63636364</v>
      </c>
    </row>
    <row r="53" spans="1:8" x14ac:dyDescent="0.3">
      <c r="A53" s="7" t="s">
        <v>635</v>
      </c>
      <c r="B53" s="8" t="s">
        <v>349</v>
      </c>
      <c r="C53" s="9">
        <v>2</v>
      </c>
      <c r="D53" s="10">
        <f>+VLOOKUP(Tabla1103453454455456479108135149219379380391[[#This Row],[Ingrediente]],Tabla34[#All],3,0)</f>
        <v>6227.3181818200001</v>
      </c>
      <c r="E53" s="11">
        <f>+Tabla1103453454455456479108135149219379380391[[#This Row],[Costo]]*Tabla1103453454455456479108135149219379380391[[#This Row],[Cant.]]</f>
        <v>12454.63636364</v>
      </c>
      <c r="F53" s="4"/>
      <c r="G53" s="5" t="s">
        <v>113</v>
      </c>
      <c r="H53" s="12"/>
    </row>
    <row r="54" spans="1:8" x14ac:dyDescent="0.3">
      <c r="A54" s="13"/>
      <c r="B54" s="14"/>
      <c r="C54" s="14"/>
      <c r="D54" s="15"/>
      <c r="E54" s="15">
        <f>SUBTOTAL(109,Tabla1103453454455456479108135149219379380391[Total costo])</f>
        <v>12454.63636364</v>
      </c>
      <c r="F54" s="4"/>
      <c r="G54" s="5" t="s">
        <v>9</v>
      </c>
      <c r="H54" s="12">
        <f>+H52+H53</f>
        <v>12454.63636364</v>
      </c>
    </row>
    <row r="55" spans="1:8" x14ac:dyDescent="0.3">
      <c r="F55" s="4"/>
      <c r="G55" s="17" t="s">
        <v>10</v>
      </c>
      <c r="H55" s="18">
        <v>33000</v>
      </c>
    </row>
    <row r="56" spans="1:8" x14ac:dyDescent="0.3">
      <c r="F56" s="4"/>
      <c r="G56" s="5" t="s">
        <v>11</v>
      </c>
      <c r="H56" s="12">
        <f>+H55/1.08*0.08</f>
        <v>2444.4444444444443</v>
      </c>
    </row>
    <row r="57" spans="1:8" x14ac:dyDescent="0.3">
      <c r="F57" s="4"/>
      <c r="G57" s="5" t="s">
        <v>12</v>
      </c>
      <c r="H57" s="12">
        <f>+H55-H56</f>
        <v>30555.555555555555</v>
      </c>
    </row>
    <row r="58" spans="1:8" x14ac:dyDescent="0.3">
      <c r="F58" s="4"/>
      <c r="G58" s="5" t="s">
        <v>13</v>
      </c>
      <c r="H58" s="19">
        <f>+H54/H57</f>
        <v>0.40760628099185459</v>
      </c>
    </row>
    <row r="59" spans="1:8" x14ac:dyDescent="0.3">
      <c r="F59" s="4"/>
      <c r="G59" s="5" t="s">
        <v>14</v>
      </c>
      <c r="H59" s="20">
        <f>+H57-H54</f>
        <v>18100.919191915556</v>
      </c>
    </row>
    <row r="60" spans="1:8" x14ac:dyDescent="0.3">
      <c r="F60" s="4"/>
      <c r="G60" s="5" t="s">
        <v>15</v>
      </c>
      <c r="H60" s="22">
        <f>+H59/H54</f>
        <v>1.4533478668842781</v>
      </c>
    </row>
    <row r="62" spans="1:8" x14ac:dyDescent="0.3">
      <c r="A62" s="1" t="s">
        <v>319</v>
      </c>
      <c r="B62" s="2"/>
      <c r="C62" s="2"/>
      <c r="D62" s="3"/>
      <c r="E62" s="3"/>
      <c r="F62" s="4"/>
      <c r="G62" s="277" t="s">
        <v>0</v>
      </c>
      <c r="H62" s="277"/>
    </row>
    <row r="63" spans="1:8" x14ac:dyDescent="0.3">
      <c r="A63" s="13" t="s">
        <v>1</v>
      </c>
      <c r="B63" s="14" t="s">
        <v>2</v>
      </c>
      <c r="C63" s="14" t="s">
        <v>3</v>
      </c>
      <c r="D63" s="28" t="s">
        <v>4</v>
      </c>
      <c r="E63" s="28" t="s">
        <v>5</v>
      </c>
      <c r="F63" s="4"/>
      <c r="G63" s="5" t="s">
        <v>6</v>
      </c>
      <c r="H63" s="6">
        <f>SUM(Tabla1103453454455456479108135149219379380392[Total costo])</f>
        <v>17960.5</v>
      </c>
    </row>
    <row r="64" spans="1:8" x14ac:dyDescent="0.3">
      <c r="A64" s="7" t="s">
        <v>375</v>
      </c>
      <c r="B64" s="8" t="s">
        <v>349</v>
      </c>
      <c r="C64" s="9">
        <v>2</v>
      </c>
      <c r="D64" s="10">
        <f>+VLOOKUP(Tabla1103453454455456479108135149219379380392[[#This Row],[Ingrediente]],Tabla34[#All],3,0)</f>
        <v>8980.25</v>
      </c>
      <c r="E64" s="11">
        <f>+Tabla1103453454455456479108135149219379380392[[#This Row],[Costo]]*Tabla1103453454455456479108135149219379380392[[#This Row],[Cant.]]</f>
        <v>17960.5</v>
      </c>
      <c r="F64" s="4"/>
      <c r="G64" s="5" t="s">
        <v>113</v>
      </c>
      <c r="H64" s="12"/>
    </row>
    <row r="65" spans="1:8" x14ac:dyDescent="0.3">
      <c r="A65" s="13"/>
      <c r="B65" s="14"/>
      <c r="C65" s="14"/>
      <c r="D65" s="15"/>
      <c r="E65" s="15">
        <f>SUBTOTAL(109,Tabla1103453454455456479108135149219379380392[Total costo])</f>
        <v>17960.5</v>
      </c>
      <c r="F65" s="4"/>
      <c r="G65" s="5" t="s">
        <v>9</v>
      </c>
      <c r="H65" s="12">
        <f>+H63+H64</f>
        <v>17960.5</v>
      </c>
    </row>
    <row r="66" spans="1:8" x14ac:dyDescent="0.3">
      <c r="F66" s="4"/>
      <c r="G66" s="17" t="s">
        <v>10</v>
      </c>
      <c r="H66" s="18">
        <v>47000</v>
      </c>
    </row>
    <row r="67" spans="1:8" x14ac:dyDescent="0.3">
      <c r="F67" s="4"/>
      <c r="G67" s="5" t="s">
        <v>11</v>
      </c>
      <c r="H67" s="12">
        <f>+H66/1.08*0.08</f>
        <v>3481.4814814814818</v>
      </c>
    </row>
    <row r="68" spans="1:8" x14ac:dyDescent="0.3">
      <c r="F68" s="4"/>
      <c r="G68" s="5" t="s">
        <v>12</v>
      </c>
      <c r="H68" s="12">
        <f>+H66-H67</f>
        <v>43518.518518518518</v>
      </c>
    </row>
    <row r="69" spans="1:8" x14ac:dyDescent="0.3">
      <c r="F69" s="4"/>
      <c r="G69" s="5" t="s">
        <v>13</v>
      </c>
      <c r="H69" s="19">
        <f>+H65/H68</f>
        <v>0.41270936170212769</v>
      </c>
    </row>
    <row r="70" spans="1:8" x14ac:dyDescent="0.3">
      <c r="F70" s="4"/>
      <c r="G70" s="5" t="s">
        <v>14</v>
      </c>
      <c r="H70" s="20">
        <f>+H68-H65</f>
        <v>25558.018518518518</v>
      </c>
    </row>
    <row r="71" spans="1:8" x14ac:dyDescent="0.3">
      <c r="F71" s="4"/>
      <c r="G71" s="5" t="s">
        <v>15</v>
      </c>
      <c r="H71" s="22">
        <f>+H70/H65</f>
        <v>1.4230126398774265</v>
      </c>
    </row>
  </sheetData>
  <mergeCells count="6">
    <mergeCell ref="G62:H62"/>
    <mergeCell ref="G6:H6"/>
    <mergeCell ref="G18:H18"/>
    <mergeCell ref="G29:H29"/>
    <mergeCell ref="G40:H40"/>
    <mergeCell ref="G51:H51"/>
  </mergeCells>
  <conditionalFormatting sqref="H13">
    <cfRule type="cellIs" dxfId="11" priority="13" operator="lessThan">
      <formula>0.3</formula>
    </cfRule>
    <cfRule type="cellIs" dxfId="10" priority="14" operator="greaterThan">
      <formula>0.3</formula>
    </cfRule>
  </conditionalFormatting>
  <conditionalFormatting sqref="H25">
    <cfRule type="cellIs" dxfId="9" priority="11" operator="lessThan">
      <formula>0.3</formula>
    </cfRule>
    <cfRule type="cellIs" dxfId="8" priority="12" operator="greaterThan">
      <formula>0.3</formula>
    </cfRule>
  </conditionalFormatting>
  <conditionalFormatting sqref="H36">
    <cfRule type="cellIs" dxfId="7" priority="9" operator="lessThan">
      <formula>0.3</formula>
    </cfRule>
    <cfRule type="cellIs" dxfId="6" priority="10" operator="greaterThan">
      <formula>0.3</formula>
    </cfRule>
  </conditionalFormatting>
  <conditionalFormatting sqref="H47">
    <cfRule type="cellIs" dxfId="5" priority="7" operator="lessThan">
      <formula>0.3</formula>
    </cfRule>
    <cfRule type="cellIs" dxfId="4" priority="8" operator="greaterThan">
      <formula>0.3</formula>
    </cfRule>
  </conditionalFormatting>
  <conditionalFormatting sqref="H58">
    <cfRule type="cellIs" dxfId="3" priority="5" operator="lessThan">
      <formula>0.3</formula>
    </cfRule>
    <cfRule type="cellIs" dxfId="2" priority="6" operator="greaterThan">
      <formula>0.3</formula>
    </cfRule>
  </conditionalFormatting>
  <conditionalFormatting sqref="H69">
    <cfRule type="cellIs" dxfId="1" priority="3" operator="lessThan">
      <formula>0.3</formula>
    </cfRule>
    <cfRule type="cellIs" dxfId="0" priority="4" operator="greaterThan">
      <formula>0.3</formula>
    </cfRule>
  </conditionalFormatting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43</vt:i4>
      </vt:variant>
    </vt:vector>
  </HeadingPairs>
  <TitlesOfParts>
    <vt:vector size="43" baseType="lpstr">
      <vt:lpstr>MATRIZ CARTA</vt:lpstr>
      <vt:lpstr>MEDELLIN GOURMET</vt:lpstr>
      <vt:lpstr>CAUSAS</vt:lpstr>
      <vt:lpstr>CEVICHES</vt:lpstr>
      <vt:lpstr>INSUMOS</vt:lpstr>
      <vt:lpstr>CARNES</vt:lpstr>
      <vt:lpstr>ENTRADAS</vt:lpstr>
      <vt:lpstr>ARROCES</vt:lpstr>
      <vt:lpstr>COCTELES </vt:lpstr>
      <vt:lpstr>POSTRES</vt:lpstr>
      <vt:lpstr>SUB RECETAS COCINA</vt:lpstr>
      <vt:lpstr>COCTELES A BASE DE PISCO</vt:lpstr>
      <vt:lpstr>PRINCIPAL</vt:lpstr>
      <vt:lpstr>PESCADOS Y MARISCOS</vt:lpstr>
      <vt:lpstr>SOPAS</vt:lpstr>
      <vt:lpstr>PARA COMPARTIR</vt:lpstr>
      <vt:lpstr>GIN &amp; TONIC</vt:lpstr>
      <vt:lpstr>TEQUILA Y MEZCAL</vt:lpstr>
      <vt:lpstr>BEBIDAS ESPECIALES SIN ALCOHOL</vt:lpstr>
      <vt:lpstr>TRAGOS</vt:lpstr>
      <vt:lpstr>APERITIVOS Y DIGESTIVOS</vt:lpstr>
      <vt:lpstr>VODKA</vt:lpstr>
      <vt:lpstr>MENU INFANTIL</vt:lpstr>
      <vt:lpstr>WHISKY Y WHISKEY</vt:lpstr>
      <vt:lpstr>LIMONADAS Y JUGOS</vt:lpstr>
      <vt:lpstr>RON</vt:lpstr>
      <vt:lpstr>SANGRIA</vt:lpstr>
      <vt:lpstr>RECOMENDADOS DEL CHEF</vt:lpstr>
      <vt:lpstr>ALMUERZOS</vt:lpstr>
      <vt:lpstr>ADICIONES</vt:lpstr>
      <vt:lpstr>ROTACION</vt:lpstr>
      <vt:lpstr>AGUARDIENTE</vt:lpstr>
      <vt:lpstr>PISCO</vt:lpstr>
      <vt:lpstr>ESPUMOSOS</vt:lpstr>
      <vt:lpstr>CERVEZA</vt:lpstr>
      <vt:lpstr>VINOS TINTOS</vt:lpstr>
      <vt:lpstr>VINOS BLANCOS</vt:lpstr>
      <vt:lpstr>VINOS POR COPA</vt:lpstr>
      <vt:lpstr>ESPECIALIDADES DEL CHEF</vt:lpstr>
      <vt:lpstr>AGUAS Y BEBIDAS EMBOTELLASDAS</vt:lpstr>
      <vt:lpstr>VINO ROSADO</vt:lpstr>
      <vt:lpstr>SUB RECETAS BAR</vt:lpstr>
      <vt:lpstr>GINEBRA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Mariluz Lopez</dc:creator>
  <cp:lastModifiedBy>Rocoto R</cp:lastModifiedBy>
  <cp:lastPrinted>2024-10-09T18:00:41Z</cp:lastPrinted>
  <dcterms:created xsi:type="dcterms:W3CDTF">2015-06-05T18:19:34Z</dcterms:created>
  <dcterms:modified xsi:type="dcterms:W3CDTF">2026-04-07T18:35:34Z</dcterms:modified>
</cp:coreProperties>
</file>