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7\01_AUtoSE\Student Files\"/>
    </mc:Choice>
  </mc:AlternateContent>
  <xr:revisionPtr revIDLastSave="0" documentId="13_ncr:1_{0719AFCE-B88B-4E48-B87C-BE8415A9B353}" xr6:coauthVersionLast="34" xr6:coauthVersionMax="34" xr10:uidLastSave="{00000000-0000-0000-0000-000000000000}"/>
  <bookViews>
    <workbookView xWindow="0" yWindow="0" windowWidth="20400" windowHeight="8235" xr2:uid="{00000000-000D-0000-FFFF-FFFF00000000}"/>
  </bookViews>
  <sheets>
    <sheet name="Equipment" sheetId="4" r:id="rId1"/>
    <sheet name="Loan" sheetId="3" r:id="rId2"/>
    <sheet name="PV and NPV" sheetId="2" r:id="rId3"/>
  </sheets>
  <definedNames>
    <definedName name="_xlnm._FilterDatabase" localSheetId="1" hidden="1">Loan!$A$7:$H$68</definedName>
    <definedName name="_xlnm.Criteria" localSheetId="1">Loan!$A$72:$H$73</definedName>
    <definedName name="_xlnm.Extract" localSheetId="1">Loan!$A$76:$H$76</definedName>
    <definedName name="_xlnm.Print_Titles" localSheetId="1">Loan!$7:$7</definedName>
  </definedNames>
  <calcPr calcId="179017" concurrentCalc="0"/>
</workbook>
</file>

<file path=xl/calcChain.xml><?xml version="1.0" encoding="utf-8"?>
<calcChain xmlns="http://schemas.openxmlformats.org/spreadsheetml/2006/main">
  <c r="D8" i="4" l="1"/>
  <c r="D9" i="4"/>
  <c r="H19" i="3"/>
  <c r="H3" i="3"/>
  <c r="H4" i="3"/>
  <c r="D5" i="3"/>
  <c r="B4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8" i="3"/>
  <c r="B8" i="3"/>
  <c r="I9" i="2"/>
  <c r="H6" i="2"/>
  <c r="B7" i="2"/>
  <c r="H7" i="2"/>
  <c r="C8" i="2"/>
  <c r="D8" i="2"/>
  <c r="E8" i="2"/>
  <c r="F8" i="2"/>
  <c r="G8" i="2"/>
  <c r="G9" i="2"/>
  <c r="F9" i="2"/>
  <c r="E9" i="2"/>
  <c r="D9" i="2"/>
  <c r="C9" i="2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7" i="4"/>
  <c r="B3" i="4"/>
  <c r="B4" i="4"/>
  <c r="H8" i="2"/>
  <c r="D6" i="2"/>
  <c r="E6" i="2"/>
  <c r="F6" i="2"/>
  <c r="G6" i="2"/>
  <c r="C6" i="2"/>
  <c r="H31" i="3"/>
  <c r="H43" i="3"/>
  <c r="H55" i="3"/>
  <c r="H67" i="3"/>
  <c r="B5" i="3"/>
  <c r="F8" i="3"/>
  <c r="B9" i="3"/>
  <c r="F9" i="3"/>
  <c r="B10" i="3"/>
  <c r="F10" i="3"/>
  <c r="B11" i="3"/>
  <c r="F11" i="3"/>
  <c r="B12" i="3"/>
  <c r="F12" i="3"/>
  <c r="B13" i="3"/>
  <c r="H9" i="2"/>
  <c r="E68" i="3"/>
  <c r="H68" i="3"/>
  <c r="D68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36" i="3"/>
  <c r="C48" i="3"/>
  <c r="C8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11" i="3"/>
  <c r="C15" i="3"/>
  <c r="C23" i="3"/>
  <c r="C27" i="3"/>
  <c r="C35" i="3"/>
  <c r="C39" i="3"/>
  <c r="C47" i="3"/>
  <c r="C51" i="3"/>
  <c r="C63" i="3"/>
  <c r="C24" i="3"/>
  <c r="C32" i="3"/>
  <c r="C40" i="3"/>
  <c r="C56" i="3"/>
  <c r="C60" i="3"/>
  <c r="C19" i="3"/>
  <c r="C31" i="3"/>
  <c r="C43" i="3"/>
  <c r="C55" i="3"/>
  <c r="C59" i="3"/>
  <c r="C67" i="3"/>
  <c r="C12" i="3"/>
  <c r="C16" i="3"/>
  <c r="C20" i="3"/>
  <c r="C28" i="3"/>
  <c r="C44" i="3"/>
  <c r="C52" i="3"/>
  <c r="C64" i="3"/>
  <c r="F13" i="3"/>
  <c r="B14" i="3"/>
  <c r="F14" i="3"/>
  <c r="B15" i="3"/>
  <c r="F15" i="3"/>
  <c r="B16" i="3"/>
  <c r="F16" i="3"/>
  <c r="B17" i="3"/>
  <c r="F17" i="3"/>
  <c r="B18" i="3"/>
  <c r="F18" i="3"/>
  <c r="B19" i="3"/>
  <c r="F19" i="3"/>
  <c r="B20" i="3"/>
  <c r="F20" i="3"/>
  <c r="B21" i="3"/>
  <c r="F21" i="3"/>
  <c r="B22" i="3"/>
  <c r="F22" i="3"/>
  <c r="B23" i="3"/>
  <c r="F23" i="3"/>
  <c r="B24" i="3"/>
  <c r="F24" i="3"/>
  <c r="B25" i="3"/>
  <c r="F25" i="3"/>
  <c r="B26" i="3"/>
  <c r="F26" i="3"/>
  <c r="B27" i="3"/>
  <c r="F27" i="3"/>
  <c r="B28" i="3"/>
  <c r="F28" i="3"/>
  <c r="B29" i="3"/>
  <c r="F29" i="3"/>
  <c r="B30" i="3"/>
  <c r="F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F38" i="3"/>
  <c r="B39" i="3"/>
  <c r="F39" i="3"/>
  <c r="B40" i="3"/>
  <c r="F40" i="3"/>
  <c r="B41" i="3"/>
  <c r="F41" i="3"/>
  <c r="B42" i="3"/>
  <c r="F42" i="3"/>
  <c r="B43" i="3"/>
  <c r="F43" i="3"/>
  <c r="B44" i="3"/>
  <c r="F44" i="3"/>
  <c r="B45" i="3"/>
  <c r="F45" i="3"/>
  <c r="B46" i="3"/>
  <c r="F46" i="3"/>
  <c r="B47" i="3"/>
  <c r="F47" i="3"/>
  <c r="B48" i="3"/>
  <c r="F48" i="3"/>
  <c r="B49" i="3"/>
  <c r="F49" i="3"/>
  <c r="B50" i="3"/>
  <c r="F50" i="3"/>
  <c r="B51" i="3"/>
  <c r="F51" i="3"/>
  <c r="B52" i="3"/>
  <c r="F52" i="3"/>
  <c r="B53" i="3"/>
  <c r="F53" i="3"/>
  <c r="B54" i="3"/>
  <c r="F54" i="3"/>
  <c r="B55" i="3"/>
  <c r="F55" i="3"/>
  <c r="B56" i="3"/>
  <c r="F56" i="3"/>
  <c r="B57" i="3"/>
  <c r="F57" i="3"/>
  <c r="B58" i="3"/>
  <c r="F58" i="3"/>
  <c r="B59" i="3"/>
  <c r="F59" i="3"/>
  <c r="B60" i="3"/>
  <c r="F60" i="3"/>
  <c r="B61" i="3"/>
  <c r="F61" i="3"/>
  <c r="B62" i="3"/>
  <c r="F62" i="3"/>
  <c r="B63" i="3"/>
  <c r="F63" i="3"/>
  <c r="B64" i="3"/>
  <c r="F64" i="3"/>
  <c r="B65" i="3"/>
  <c r="F65" i="3"/>
  <c r="B66" i="3"/>
  <c r="F66" i="3"/>
  <c r="B67" i="3"/>
  <c r="F67" i="3"/>
  <c r="C68" i="3"/>
</calcChain>
</file>

<file path=xl/sharedStrings.xml><?xml version="1.0" encoding="utf-8"?>
<sst xmlns="http://schemas.openxmlformats.org/spreadsheetml/2006/main" count="71" uniqueCount="68">
  <si>
    <t>Year 1</t>
  </si>
  <si>
    <t>Year 2</t>
  </si>
  <si>
    <t>Year 3</t>
  </si>
  <si>
    <t>Recurring Costs</t>
  </si>
  <si>
    <t>Year 0</t>
  </si>
  <si>
    <t>Year 4</t>
  </si>
  <si>
    <t>Year 5</t>
  </si>
  <si>
    <t>Totals</t>
  </si>
  <si>
    <t>Net Income</t>
  </si>
  <si>
    <t>Discount Rate:</t>
  </si>
  <si>
    <t>Upfront Cost (Year 0):</t>
  </si>
  <si>
    <t>Present Value</t>
  </si>
  <si>
    <t>Upfront Cost</t>
  </si>
  <si>
    <t>Net Yearly Benefit</t>
  </si>
  <si>
    <t>NPV Check</t>
  </si>
  <si>
    <t>Input Area</t>
  </si>
  <si>
    <t>Equipment Cost</t>
  </si>
  <si>
    <t>Down Payment</t>
  </si>
  <si>
    <t>Amount of the Loan</t>
  </si>
  <si>
    <t>Loan APR</t>
  </si>
  <si>
    <t># of Years in Loan</t>
  </si>
  <si>
    <t>Monthly Payment</t>
  </si>
  <si>
    <t>Pmt #</t>
  </si>
  <si>
    <t>Beginning Balance</t>
  </si>
  <si>
    <t>Interest Paid</t>
  </si>
  <si>
    <t>Principal Reduction</t>
  </si>
  <si>
    <t>Ending Balance</t>
  </si>
  <si>
    <t>No. of Useful Years:</t>
  </si>
  <si>
    <t>Yearly Net Income:</t>
  </si>
  <si>
    <t>Yearly Recurring Costs:</t>
  </si>
  <si>
    <t>Cumulative Yearly Interest</t>
  </si>
  <si>
    <t>Cumulative Principal</t>
  </si>
  <si>
    <t>First Payment Date</t>
  </si>
  <si>
    <t>Last Payment Date</t>
  </si>
  <si>
    <t>Payment Dates &amp; Cumulative Interest</t>
  </si>
  <si>
    <t>Studio Rack Mount</t>
  </si>
  <si>
    <t>Item</t>
  </si>
  <si>
    <t>Purchase Date</t>
  </si>
  <si>
    <t>Power Conditioner</t>
  </si>
  <si>
    <t>Power Strip 1</t>
  </si>
  <si>
    <t>Power Strip 2</t>
  </si>
  <si>
    <t>Preamp</t>
  </si>
  <si>
    <t>Computer</t>
  </si>
  <si>
    <t>Audio Software</t>
  </si>
  <si>
    <t>Audio Interface</t>
  </si>
  <si>
    <t>Microphone 1</t>
  </si>
  <si>
    <t>Microphone 2</t>
  </si>
  <si>
    <t>Headphones</t>
  </si>
  <si>
    <t>Studio Monitor</t>
  </si>
  <si>
    <t>Cables 1</t>
  </si>
  <si>
    <t>Cables 2</t>
  </si>
  <si>
    <t>Microphone Stand</t>
  </si>
  <si>
    <t>Pop Filter</t>
  </si>
  <si>
    <t>Producer Desk</t>
  </si>
  <si>
    <t>Studio Chair</t>
  </si>
  <si>
    <t>Bar Stools</t>
  </si>
  <si>
    <t>Bass Traps</t>
  </si>
  <si>
    <t>Acostic Panels</t>
  </si>
  <si>
    <t>Sound Diffuser</t>
  </si>
  <si>
    <t>Cost</t>
  </si>
  <si>
    <t>Summary</t>
  </si>
  <si>
    <t>Value of items:</t>
  </si>
  <si>
    <t>Comment</t>
  </si>
  <si>
    <t>Older than comparison</t>
  </si>
  <si>
    <t>Number of items:</t>
  </si>
  <si>
    <t>Year of Last Payment</t>
  </si>
  <si>
    <t>Monthly Rate</t>
  </si>
  <si>
    <t># of Months/Year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</si>
</sst>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8" fontId="0" fillId="0" borderId="0" xfId="0" applyNumberFormat="1"/>
    <xf numFmtId="164" fontId="0" fillId="0" borderId="0" xfId="2" applyNumberFormat="1" applyFont="1"/>
    <xf numFmtId="44" fontId="0" fillId="0" borderId="0" xfId="0" applyNumberFormat="1"/>
    <xf numFmtId="9" fontId="3" fillId="2" borderId="0" xfId="0" applyNumberFormat="1" applyFont="1" applyFill="1" applyAlignment="1">
      <alignment horizontal="center"/>
    </xf>
    <xf numFmtId="44" fontId="0" fillId="0" borderId="0" xfId="2" applyFont="1"/>
    <xf numFmtId="0" fontId="3" fillId="2" borderId="0" xfId="0" applyFont="1" applyFill="1" applyAlignment="1">
      <alignment horizontal="center"/>
    </xf>
    <xf numFmtId="43" fontId="0" fillId="0" borderId="0" xfId="1" applyFont="1"/>
    <xf numFmtId="43" fontId="4" fillId="0" borderId="0" xfId="1" applyFont="1"/>
    <xf numFmtId="165" fontId="4" fillId="0" borderId="0" xfId="1" applyNumberFormat="1" applyFont="1"/>
    <xf numFmtId="164" fontId="2" fillId="0" borderId="0" xfId="2" applyNumberFormat="1" applyFont="1"/>
    <xf numFmtId="44" fontId="2" fillId="0" borderId="0" xfId="0" applyNumberFormat="1" applyFont="1"/>
    <xf numFmtId="0" fontId="0" fillId="2" borderId="2" xfId="0" applyFill="1" applyBorder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164" fontId="0" fillId="0" borderId="4" xfId="2" applyNumberFormat="1" applyFont="1" applyBorder="1"/>
    <xf numFmtId="0" fontId="0" fillId="0" borderId="5" xfId="0" applyBorder="1"/>
    <xf numFmtId="164" fontId="0" fillId="0" borderId="6" xfId="2" applyNumberFormat="1" applyFont="1" applyBorder="1"/>
    <xf numFmtId="8" fontId="0" fillId="0" borderId="0" xfId="2" applyNumberFormat="1" applyFont="1"/>
    <xf numFmtId="44" fontId="0" fillId="0" borderId="4" xfId="2" applyFont="1" applyBorder="1"/>
    <xf numFmtId="44" fontId="0" fillId="0" borderId="6" xfId="2" applyFont="1" applyBorder="1"/>
    <xf numFmtId="0" fontId="0" fillId="3" borderId="0" xfId="0" applyFill="1" applyAlignment="1">
      <alignment horizontal="center"/>
    </xf>
    <xf numFmtId="44" fontId="4" fillId="0" borderId="0" xfId="0" applyNumberFormat="1" applyFont="1"/>
    <xf numFmtId="44" fontId="4" fillId="0" borderId="0" xfId="2" applyFont="1"/>
    <xf numFmtId="0" fontId="5" fillId="3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Border="1"/>
    <xf numFmtId="14" fontId="0" fillId="0" borderId="4" xfId="0" applyNumberFormat="1" applyBorder="1"/>
    <xf numFmtId="9" fontId="3" fillId="2" borderId="1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left"/>
    </xf>
    <xf numFmtId="9" fontId="3" fillId="2" borderId="1" xfId="0" applyNumberFormat="1" applyFont="1" applyFill="1" applyBorder="1" applyAlignment="1"/>
    <xf numFmtId="9" fontId="3" fillId="2" borderId="7" xfId="0" applyNumberFormat="1" applyFont="1" applyFill="1" applyBorder="1" applyAlignment="1"/>
    <xf numFmtId="9" fontId="3" fillId="2" borderId="2" xfId="0" applyNumberFormat="1" applyFont="1" applyFill="1" applyBorder="1" applyAlignment="1"/>
    <xf numFmtId="166" fontId="0" fillId="0" borderId="4" xfId="0" applyNumberFormat="1" applyBorder="1"/>
    <xf numFmtId="0" fontId="0" fillId="0" borderId="1" xfId="0" applyBorder="1"/>
    <xf numFmtId="0" fontId="0" fillId="0" borderId="2" xfId="0" applyBorder="1"/>
    <xf numFmtId="166" fontId="0" fillId="0" borderId="6" xfId="3" applyNumberFormat="1" applyFont="1" applyBorder="1"/>
    <xf numFmtId="164" fontId="0" fillId="0" borderId="2" xfId="2" applyNumberFormat="1" applyFont="1" applyBorder="1"/>
    <xf numFmtId="0" fontId="0" fillId="0" borderId="6" xfId="0" applyBorder="1"/>
    <xf numFmtId="0" fontId="3" fillId="2" borderId="0" xfId="0" applyFont="1" applyFill="1" applyAlignment="1">
      <alignment horizontal="center" wrapText="1"/>
    </xf>
    <xf numFmtId="9" fontId="3" fillId="2" borderId="1" xfId="0" applyNumberFormat="1" applyFont="1" applyFill="1" applyBorder="1" applyAlignment="1">
      <alignment horizontal="left"/>
    </xf>
    <xf numFmtId="43" fontId="0" fillId="0" borderId="4" xfId="1" applyFont="1" applyBorder="1"/>
    <xf numFmtId="6" fontId="0" fillId="0" borderId="8" xfId="2" applyNumberFormat="1" applyFont="1" applyBorder="1"/>
    <xf numFmtId="0" fontId="0" fillId="0" borderId="1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6DC2-1D1F-4699-8383-E79435B2CF35}">
  <dimension ref="A1:D29"/>
  <sheetViews>
    <sheetView tabSelected="1" workbookViewId="0">
      <selection activeCell="B3" sqref="B3"/>
    </sheetView>
  </sheetViews>
  <sheetFormatPr defaultRowHeight="15" x14ac:dyDescent="0.25"/>
  <cols>
    <col min="1" max="1" width="21.5703125" bestFit="1" customWidth="1"/>
    <col min="2" max="2" width="10.5703125" bestFit="1" customWidth="1"/>
    <col min="3" max="3" width="13.7109375" bestFit="1" customWidth="1"/>
    <col min="4" max="4" width="17.7109375" bestFit="1" customWidth="1"/>
  </cols>
  <sheetData>
    <row r="1" spans="1:4" x14ac:dyDescent="0.25">
      <c r="A1" s="43" t="s">
        <v>60</v>
      </c>
      <c r="B1" s="31"/>
    </row>
    <row r="2" spans="1:4" x14ac:dyDescent="0.25">
      <c r="A2" t="s">
        <v>63</v>
      </c>
      <c r="B2" s="26">
        <v>42736</v>
      </c>
    </row>
    <row r="3" spans="1:4" x14ac:dyDescent="0.25">
      <c r="A3" t="s">
        <v>64</v>
      </c>
      <c r="B3">
        <f>COUNTIF(C7:C29,"&lt;B2")</f>
        <v>0</v>
      </c>
    </row>
    <row r="4" spans="1:4" x14ac:dyDescent="0.25">
      <c r="A4" t="s">
        <v>61</v>
      </c>
      <c r="B4">
        <f>SUMIF(B7:B29,"&lt;"&amp;B2,B7:B29)</f>
        <v>7108</v>
      </c>
    </row>
    <row r="6" spans="1:4" x14ac:dyDescent="0.25">
      <c r="A6" s="43" t="s">
        <v>36</v>
      </c>
      <c r="B6" s="29" t="s">
        <v>59</v>
      </c>
      <c r="C6" s="43" t="s">
        <v>37</v>
      </c>
      <c r="D6" s="43" t="s">
        <v>62</v>
      </c>
    </row>
    <row r="7" spans="1:4" x14ac:dyDescent="0.25">
      <c r="A7" t="s">
        <v>57</v>
      </c>
      <c r="B7" s="2">
        <v>139</v>
      </c>
      <c r="C7" s="26">
        <v>42323</v>
      </c>
      <c r="D7" s="32" t="str">
        <f>IF(OR(C7&lt;B$2,B7&lt;300),"Consider replacing",Keep using)</f>
        <v>Consider replacing</v>
      </c>
    </row>
    <row r="8" spans="1:4" x14ac:dyDescent="0.25">
      <c r="A8" t="s">
        <v>44</v>
      </c>
      <c r="B8" s="2">
        <v>219</v>
      </c>
      <c r="C8" s="26">
        <v>42127</v>
      </c>
      <c r="D8" s="32" t="str">
        <f>IF(OR(C8&lt;B$2,B8&lt;300),"Consider replacing",Keep using)</f>
        <v>Consider replacing</v>
      </c>
    </row>
    <row r="9" spans="1:4" x14ac:dyDescent="0.25">
      <c r="A9" t="s">
        <v>43</v>
      </c>
      <c r="B9" s="2">
        <v>599</v>
      </c>
      <c r="C9" s="26">
        <v>42127</v>
      </c>
      <c r="D9" s="32" t="str">
        <f>IF(OR(C9&lt;B$2,B9&lt;300),"Consider replacing",Keep using)</f>
        <v>Consider replacing</v>
      </c>
    </row>
    <row r="10" spans="1:4" x14ac:dyDescent="0.25">
      <c r="A10" t="s">
        <v>55</v>
      </c>
      <c r="B10" s="2">
        <v>75</v>
      </c>
      <c r="C10" s="26">
        <v>44073</v>
      </c>
      <c r="D10" s="32" t="str">
        <f>IF(OR(C10&lt;B$2,B10&lt;300),"Consider replacing",Keep using)</f>
        <v>Consider replacing</v>
      </c>
    </row>
    <row r="11" spans="1:4" x14ac:dyDescent="0.25">
      <c r="A11" t="s">
        <v>56</v>
      </c>
      <c r="B11" s="2">
        <v>249</v>
      </c>
      <c r="C11" s="26">
        <v>42323</v>
      </c>
      <c r="D11" s="32" t="str">
        <f>IF(OR(C11&lt;B$2,B11&lt;300),"Consider replacing",Keep using)</f>
        <v>Consider replacing</v>
      </c>
    </row>
    <row r="12" spans="1:4" x14ac:dyDescent="0.25">
      <c r="A12" t="s">
        <v>49</v>
      </c>
      <c r="B12" s="2">
        <v>79</v>
      </c>
      <c r="C12" s="26">
        <v>42127</v>
      </c>
      <c r="D12" s="32" t="str">
        <f>IF(OR(C12&lt;B$2,B12&lt;300),"Consider replacing",Keep using)</f>
        <v>Consider replacing</v>
      </c>
    </row>
    <row r="13" spans="1:4" x14ac:dyDescent="0.25">
      <c r="A13" t="s">
        <v>50</v>
      </c>
      <c r="B13" s="2">
        <v>129</v>
      </c>
      <c r="C13" s="26">
        <v>43082</v>
      </c>
      <c r="D13" s="32" t="str">
        <f>IF(OR(C13&lt;B$2,B13&lt;300),"Consider replacing",Keep using)</f>
        <v>Consider replacing</v>
      </c>
    </row>
    <row r="14" spans="1:4" x14ac:dyDescent="0.25">
      <c r="A14" t="s">
        <v>42</v>
      </c>
      <c r="B14" s="2">
        <v>899</v>
      </c>
      <c r="C14" s="26">
        <v>42095</v>
      </c>
      <c r="D14" s="32" t="str">
        <f>IF(OR(C14&lt;B$2,B14&lt;300),"Consider replacing",Keep using)</f>
        <v>Consider replacing</v>
      </c>
    </row>
    <row r="15" spans="1:4" x14ac:dyDescent="0.25">
      <c r="A15" t="s">
        <v>47</v>
      </c>
      <c r="B15" s="2">
        <v>129</v>
      </c>
      <c r="C15" s="26">
        <v>42607</v>
      </c>
      <c r="D15" s="32" t="str">
        <f>IF(OR(C15&lt;B$2,B15&lt;300),"Consider replacing",Keep using)</f>
        <v>Consider replacing</v>
      </c>
    </row>
    <row r="16" spans="1:4" x14ac:dyDescent="0.25">
      <c r="A16" t="s">
        <v>45</v>
      </c>
      <c r="B16" s="2">
        <v>99</v>
      </c>
      <c r="C16" s="26">
        <v>42127</v>
      </c>
      <c r="D16" s="32" t="str">
        <f>IF(OR(C16&lt;B$2,B16&lt;300),"Consider replacing",Keep using)</f>
        <v>Consider replacing</v>
      </c>
    </row>
    <row r="17" spans="1:4" x14ac:dyDescent="0.25">
      <c r="A17" t="s">
        <v>46</v>
      </c>
      <c r="B17" s="2">
        <v>239</v>
      </c>
      <c r="C17" s="26">
        <v>44259</v>
      </c>
      <c r="D17" s="32" t="str">
        <f>IF(OR(C17&lt;B$2,B17&lt;300),"Consider replacing",Keep using)</f>
        <v>Consider replacing</v>
      </c>
    </row>
    <row r="18" spans="1:4" x14ac:dyDescent="0.25">
      <c r="A18" t="s">
        <v>51</v>
      </c>
      <c r="B18" s="2">
        <v>99</v>
      </c>
      <c r="C18" s="26">
        <v>42688</v>
      </c>
      <c r="D18" s="32" t="str">
        <f>IF(OR(C18&lt;B$2,B18&lt;300),"Consider replacing",Keep using)</f>
        <v>Consider replacing</v>
      </c>
    </row>
    <row r="19" spans="1:4" x14ac:dyDescent="0.25">
      <c r="A19" t="s">
        <v>52</v>
      </c>
      <c r="B19" s="2">
        <v>75</v>
      </c>
      <c r="C19" s="26">
        <v>43282</v>
      </c>
      <c r="D19" s="32" t="str">
        <f>IF(OR(C19&lt;B$2,B19&lt;300),"Consider replacing",Keep using)</f>
        <v>Consider replacing</v>
      </c>
    </row>
    <row r="20" spans="1:4" x14ac:dyDescent="0.25">
      <c r="A20" t="s">
        <v>38</v>
      </c>
      <c r="B20" s="2">
        <v>1048</v>
      </c>
      <c r="C20" s="26">
        <v>44166</v>
      </c>
      <c r="D20" s="32" t="e">
        <f>IF(OR(C20&lt;B$2,B20&lt;300),"Consider replacing",Keep using)</f>
        <v>#NAME?</v>
      </c>
    </row>
    <row r="21" spans="1:4" x14ac:dyDescent="0.25">
      <c r="A21" t="s">
        <v>39</v>
      </c>
      <c r="B21" s="2">
        <v>50</v>
      </c>
      <c r="C21" s="26">
        <v>42095</v>
      </c>
      <c r="D21" s="32" t="str">
        <f>IF(OR(C21&lt;B$2,B21&lt;300),"Consider replacing",Keep using)</f>
        <v>Consider replacing</v>
      </c>
    </row>
    <row r="22" spans="1:4" x14ac:dyDescent="0.25">
      <c r="A22" t="s">
        <v>40</v>
      </c>
      <c r="B22" s="2">
        <v>65</v>
      </c>
      <c r="C22" s="26">
        <v>43276</v>
      </c>
      <c r="D22" s="32" t="str">
        <f>IF(OR(C22&lt;B$2,B22&lt;300),"Consider replacing",Keep using)</f>
        <v>Consider replacing</v>
      </c>
    </row>
    <row r="23" spans="1:4" x14ac:dyDescent="0.25">
      <c r="A23" t="s">
        <v>41</v>
      </c>
      <c r="B23" s="2">
        <v>699</v>
      </c>
      <c r="C23" s="26">
        <v>44088</v>
      </c>
      <c r="D23" s="32" t="e">
        <f>IF(OR(C23&lt;B$2,B23&lt;300),"Consider replacing",Keep using)</f>
        <v>#NAME?</v>
      </c>
    </row>
    <row r="24" spans="1:4" x14ac:dyDescent="0.25">
      <c r="A24" t="s">
        <v>53</v>
      </c>
      <c r="B24" s="2">
        <v>685</v>
      </c>
      <c r="C24" s="26">
        <v>43008</v>
      </c>
      <c r="D24" s="32" t="e">
        <f>IF(OR(C24&lt;B$2,B24&lt;300),"Consider replacing",Keep using)</f>
        <v>#NAME?</v>
      </c>
    </row>
    <row r="25" spans="1:4" x14ac:dyDescent="0.25">
      <c r="A25" t="s">
        <v>58</v>
      </c>
      <c r="B25" s="2">
        <v>195</v>
      </c>
      <c r="C25" s="26">
        <v>44311</v>
      </c>
      <c r="D25" s="32" t="str">
        <f>IF(OR(C25&lt;B$2,B25&lt;300),"Consider replacing",Keep using)</f>
        <v>Consider replacing</v>
      </c>
    </row>
    <row r="26" spans="1:4" x14ac:dyDescent="0.25">
      <c r="A26" t="s">
        <v>54</v>
      </c>
      <c r="B26" s="2">
        <v>107</v>
      </c>
      <c r="C26" s="26">
        <v>42322</v>
      </c>
      <c r="D26" s="32" t="str">
        <f>IF(OR(C26&lt;B$2,B26&lt;300),"Consider replacing",Keep using)</f>
        <v>Consider replacing</v>
      </c>
    </row>
    <row r="27" spans="1:4" x14ac:dyDescent="0.25">
      <c r="A27" t="s">
        <v>54</v>
      </c>
      <c r="B27" s="2">
        <v>693</v>
      </c>
      <c r="C27" s="26">
        <v>44311</v>
      </c>
      <c r="D27" s="32" t="e">
        <f>IF(OR(C27&lt;B$2,B27&lt;300),"Consider replacing",Keep using)</f>
        <v>#NAME?</v>
      </c>
    </row>
    <row r="28" spans="1:4" x14ac:dyDescent="0.25">
      <c r="A28" t="s">
        <v>48</v>
      </c>
      <c r="B28" s="2">
        <v>399</v>
      </c>
      <c r="C28" s="26">
        <v>42688</v>
      </c>
      <c r="D28" s="32" t="str">
        <f>IF(OR(C28&lt;B$2,B28&lt;300),"Consider replacing",Keep using)</f>
        <v>Consider replacing</v>
      </c>
    </row>
    <row r="29" spans="1:4" x14ac:dyDescent="0.25">
      <c r="A29" t="s">
        <v>35</v>
      </c>
      <c r="B29" s="2">
        <v>138</v>
      </c>
      <c r="C29" s="26">
        <v>43753</v>
      </c>
      <c r="D29" s="32" t="str">
        <f>IF(OR(C29&lt;B$2,B29&lt;300),"Consider replacing",Keep using)</f>
        <v>Consider replacing</v>
      </c>
    </row>
  </sheetData>
  <sortState ref="A7:C29">
    <sortCondition ref="A7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8"/>
  <sheetViews>
    <sheetView workbookViewId="0">
      <selection activeCell="B8" sqref="B8"/>
    </sheetView>
  </sheetViews>
  <sheetFormatPr defaultRowHeight="15" x14ac:dyDescent="0.25"/>
  <cols>
    <col min="1" max="1" width="21" customWidth="1"/>
    <col min="2" max="2" width="11.5703125" bestFit="1" customWidth="1"/>
    <col min="3" max="3" width="15.7109375" customWidth="1"/>
    <col min="4" max="7" width="13.7109375" customWidth="1"/>
    <col min="8" max="8" width="14.28515625" customWidth="1"/>
    <col min="9" max="9" width="9.7109375" bestFit="1" customWidth="1"/>
  </cols>
  <sheetData>
    <row r="1" spans="1:9" x14ac:dyDescent="0.25">
      <c r="A1" s="43" t="s">
        <v>15</v>
      </c>
      <c r="B1" s="30"/>
      <c r="C1" s="30"/>
      <c r="D1" s="30"/>
      <c r="F1" s="33" t="s">
        <v>34</v>
      </c>
      <c r="G1" s="34"/>
      <c r="H1" s="35"/>
    </row>
    <row r="2" spans="1:9" x14ac:dyDescent="0.25">
      <c r="A2" s="13" t="s">
        <v>16</v>
      </c>
      <c r="B2" s="20">
        <v>25000</v>
      </c>
      <c r="C2" s="37" t="s">
        <v>67</v>
      </c>
      <c r="D2" s="38">
        <v>12</v>
      </c>
      <c r="F2" s="13" t="s">
        <v>32</v>
      </c>
      <c r="G2" s="27"/>
      <c r="H2" s="28">
        <v>44440</v>
      </c>
    </row>
    <row r="3" spans="1:9" x14ac:dyDescent="0.25">
      <c r="A3" s="13" t="s">
        <v>17</v>
      </c>
      <c r="B3" s="20">
        <v>5000</v>
      </c>
      <c r="C3" s="13" t="s">
        <v>20</v>
      </c>
      <c r="D3" s="15">
        <v>5</v>
      </c>
      <c r="F3" s="13" t="s">
        <v>33</v>
      </c>
      <c r="G3" s="27"/>
      <c r="H3" s="28">
        <f>EDATE(H2,D3*D2+1)</f>
        <v>46296</v>
      </c>
    </row>
    <row r="4" spans="1:9" x14ac:dyDescent="0.25">
      <c r="A4" s="13" t="s">
        <v>18</v>
      </c>
      <c r="B4" s="20">
        <f>B2-B3</f>
        <v>20000</v>
      </c>
      <c r="C4" s="13" t="s">
        <v>19</v>
      </c>
      <c r="D4" s="36">
        <v>0.06</v>
      </c>
      <c r="F4" s="13" t="s">
        <v>65</v>
      </c>
      <c r="G4" s="27"/>
      <c r="H4" s="44">
        <f>YEARFRAC(H2,H3)</f>
        <v>5.083333333333333</v>
      </c>
    </row>
    <row r="5" spans="1:9" x14ac:dyDescent="0.25">
      <c r="A5" s="17" t="s">
        <v>21</v>
      </c>
      <c r="B5" s="21">
        <f>PMT(D4/D2,D3*D2,-B4)</f>
        <v>386.65603058855828</v>
      </c>
      <c r="C5" s="17" t="s">
        <v>66</v>
      </c>
      <c r="D5" s="39">
        <f>D4/12</f>
        <v>5.0000000000000001E-3</v>
      </c>
      <c r="F5" s="17"/>
      <c r="G5" s="45"/>
      <c r="H5" s="21"/>
    </row>
    <row r="6" spans="1:9" x14ac:dyDescent="0.25">
      <c r="D6" s="1"/>
    </row>
    <row r="7" spans="1:9" ht="30" x14ac:dyDescent="0.25">
      <c r="A7" s="42" t="s">
        <v>22</v>
      </c>
      <c r="B7" s="42" t="s">
        <v>23</v>
      </c>
      <c r="C7" s="42" t="s">
        <v>21</v>
      </c>
      <c r="D7" s="42" t="s">
        <v>24</v>
      </c>
      <c r="E7" s="42" t="s">
        <v>25</v>
      </c>
      <c r="F7" s="42" t="s">
        <v>26</v>
      </c>
      <c r="G7" s="42" t="s">
        <v>31</v>
      </c>
      <c r="H7" s="42" t="s">
        <v>30</v>
      </c>
    </row>
    <row r="8" spans="1:9" x14ac:dyDescent="0.25">
      <c r="A8" s="22">
        <v>1</v>
      </c>
      <c r="B8" s="3">
        <f>B2</f>
        <v>25000</v>
      </c>
      <c r="C8" s="3">
        <f t="shared" ref="C8:C39" si="0">B$5</f>
        <v>386.65603058855828</v>
      </c>
      <c r="D8" s="5">
        <f>IPMT(D$4,A8,D$3*D$2,-B$4)</f>
        <v>1200</v>
      </c>
      <c r="E8" s="5">
        <f>PPMT(D$5,1,D$3*D$2,-B$4)</f>
        <v>286.65603058855834</v>
      </c>
      <c r="F8" s="3">
        <f t="shared" ref="F8:F39" si="1">B8-E8</f>
        <v>24713.343969411442</v>
      </c>
      <c r="G8" s="3">
        <f>-CUMPRINC(D$5,D$3*D$2,B$4,A8,A8,0)</f>
        <v>286.65603058855828</v>
      </c>
      <c r="I8" s="26"/>
    </row>
    <row r="9" spans="1:9" x14ac:dyDescent="0.25">
      <c r="A9" s="22">
        <v>2</v>
      </c>
      <c r="B9" s="3">
        <f>F8</f>
        <v>24713.343969411442</v>
      </c>
      <c r="C9" s="3">
        <f t="shared" si="0"/>
        <v>386.65603058855828</v>
      </c>
      <c r="D9" s="5">
        <f t="shared" ref="D9:D67" si="2">IPMT(D$4,A9,D$3*D$2,-B$4)</f>
        <v>1197.7491341800778</v>
      </c>
      <c r="E9" s="5">
        <f t="shared" ref="E9:E67" si="3">PPMT(D$5,1,D$3*D$2,-B$4)</f>
        <v>286.65603058855834</v>
      </c>
      <c r="F9" s="3">
        <f t="shared" si="1"/>
        <v>24426.687938822884</v>
      </c>
      <c r="G9" s="3">
        <f t="shared" ref="G9:G67" si="4">-CUMPRINC(D$5,D$3*D$2,B$4,A9,A9,0)</f>
        <v>288.08931074150109</v>
      </c>
      <c r="I9" s="26"/>
    </row>
    <row r="10" spans="1:9" x14ac:dyDescent="0.25">
      <c r="A10" s="22">
        <v>3</v>
      </c>
      <c r="B10" s="3">
        <f t="shared" ref="B10:B67" si="5">F9</f>
        <v>24426.687938822884</v>
      </c>
      <c r="C10" s="3">
        <f t="shared" si="0"/>
        <v>386.65603058855828</v>
      </c>
      <c r="D10" s="5">
        <f t="shared" si="2"/>
        <v>1195.3632164109606</v>
      </c>
      <c r="E10" s="5">
        <f t="shared" si="3"/>
        <v>286.65603058855834</v>
      </c>
      <c r="F10" s="3">
        <f t="shared" si="1"/>
        <v>24140.031908234327</v>
      </c>
      <c r="G10" s="3">
        <f t="shared" si="4"/>
        <v>289.52975729520858</v>
      </c>
      <c r="I10" s="26"/>
    </row>
    <row r="11" spans="1:9" x14ac:dyDescent="0.25">
      <c r="A11" s="22">
        <v>4</v>
      </c>
      <c r="B11" s="3">
        <f t="shared" si="5"/>
        <v>24140.031908234327</v>
      </c>
      <c r="C11" s="3">
        <f t="shared" si="0"/>
        <v>386.65603058855828</v>
      </c>
      <c r="D11" s="5">
        <f t="shared" si="2"/>
        <v>1192.8341435756961</v>
      </c>
      <c r="E11" s="5">
        <f t="shared" si="3"/>
        <v>286.65603058855834</v>
      </c>
      <c r="F11" s="3">
        <f t="shared" si="1"/>
        <v>23853.375877645769</v>
      </c>
      <c r="G11" s="3">
        <f t="shared" si="4"/>
        <v>290.97740608168459</v>
      </c>
      <c r="I11" s="26"/>
    </row>
    <row r="12" spans="1:9" x14ac:dyDescent="0.25">
      <c r="A12" s="22">
        <v>5</v>
      </c>
      <c r="B12" s="3">
        <f t="shared" si="5"/>
        <v>23853.375877645769</v>
      </c>
      <c r="C12" s="3">
        <f t="shared" si="0"/>
        <v>386.65603058855828</v>
      </c>
      <c r="D12" s="5">
        <f t="shared" si="2"/>
        <v>1190.1533263703157</v>
      </c>
      <c r="E12" s="5">
        <f t="shared" si="3"/>
        <v>286.65603058855834</v>
      </c>
      <c r="F12" s="3">
        <f t="shared" si="1"/>
        <v>23566.719847057211</v>
      </c>
      <c r="G12" s="3">
        <f t="shared" si="4"/>
        <v>292.43229311209302</v>
      </c>
      <c r="I12" s="26"/>
    </row>
    <row r="13" spans="1:9" x14ac:dyDescent="0.25">
      <c r="A13" s="22">
        <v>6</v>
      </c>
      <c r="B13" s="3">
        <f t="shared" si="5"/>
        <v>23566.719847057211</v>
      </c>
      <c r="C13" s="3">
        <f t="shared" si="0"/>
        <v>386.65603058855828</v>
      </c>
      <c r="D13" s="5">
        <f t="shared" si="2"/>
        <v>1187.3116601326126</v>
      </c>
      <c r="E13" s="5">
        <f t="shared" si="3"/>
        <v>286.65603058855834</v>
      </c>
      <c r="F13" s="3">
        <f t="shared" si="1"/>
        <v>23280.063816468653</v>
      </c>
      <c r="G13" s="3">
        <f t="shared" si="4"/>
        <v>293.89445457765351</v>
      </c>
      <c r="I13" s="26"/>
    </row>
    <row r="14" spans="1:9" x14ac:dyDescent="0.25">
      <c r="A14" s="22">
        <v>7</v>
      </c>
      <c r="B14" s="3">
        <f t="shared" si="5"/>
        <v>23280.063816468653</v>
      </c>
      <c r="C14" s="3">
        <f t="shared" si="0"/>
        <v>386.65603058855828</v>
      </c>
      <c r="D14" s="5">
        <f t="shared" si="2"/>
        <v>1184.2994939206474</v>
      </c>
      <c r="E14" s="5">
        <f t="shared" si="3"/>
        <v>286.65603058855834</v>
      </c>
      <c r="F14" s="3">
        <f t="shared" si="1"/>
        <v>22993.407785880096</v>
      </c>
      <c r="G14" s="3">
        <f t="shared" si="4"/>
        <v>295.36392685054182</v>
      </c>
      <c r="I14" s="26"/>
    </row>
    <row r="15" spans="1:9" x14ac:dyDescent="0.25">
      <c r="A15" s="22">
        <v>8</v>
      </c>
      <c r="B15" s="3">
        <f t="shared" si="5"/>
        <v>22993.407785880096</v>
      </c>
      <c r="C15" s="3">
        <f t="shared" si="0"/>
        <v>386.65603058855828</v>
      </c>
      <c r="D15" s="5">
        <f t="shared" si="2"/>
        <v>1181.1065977359642</v>
      </c>
      <c r="E15" s="5">
        <f t="shared" si="3"/>
        <v>286.65603058855834</v>
      </c>
      <c r="F15" s="3">
        <f t="shared" si="1"/>
        <v>22706.751755291538</v>
      </c>
      <c r="G15" s="3">
        <f t="shared" si="4"/>
        <v>296.84074648479447</v>
      </c>
      <c r="I15" s="26"/>
    </row>
    <row r="16" spans="1:9" x14ac:dyDescent="0.25">
      <c r="A16" s="22">
        <v>9</v>
      </c>
      <c r="B16" s="3">
        <f t="shared" si="5"/>
        <v>22706.751755291538</v>
      </c>
      <c r="C16" s="3">
        <f t="shared" si="0"/>
        <v>386.65603058855828</v>
      </c>
      <c r="D16" s="5">
        <f t="shared" si="2"/>
        <v>1177.7221277801998</v>
      </c>
      <c r="E16" s="5">
        <f t="shared" si="3"/>
        <v>286.65603058855834</v>
      </c>
      <c r="F16" s="3">
        <f t="shared" si="1"/>
        <v>22420.09572470298</v>
      </c>
      <c r="G16" s="3">
        <f t="shared" si="4"/>
        <v>298.32495021721849</v>
      </c>
      <c r="I16" s="26"/>
    </row>
    <row r="17" spans="1:9" x14ac:dyDescent="0.25">
      <c r="A17" s="22">
        <v>10</v>
      </c>
      <c r="B17" s="3">
        <f t="shared" si="5"/>
        <v>22420.09572470298</v>
      </c>
      <c r="C17" s="3">
        <f t="shared" si="0"/>
        <v>386.65603058855828</v>
      </c>
      <c r="D17" s="5">
        <f t="shared" si="2"/>
        <v>1174.1345896270898</v>
      </c>
      <c r="E17" s="5">
        <f t="shared" si="3"/>
        <v>286.65603058855834</v>
      </c>
      <c r="F17" s="3">
        <f t="shared" si="1"/>
        <v>22133.439694114422</v>
      </c>
      <c r="G17" s="3">
        <f t="shared" si="4"/>
        <v>299.81657496830456</v>
      </c>
      <c r="I17" s="26"/>
    </row>
    <row r="18" spans="1:9" x14ac:dyDescent="0.25">
      <c r="A18" s="22">
        <v>11</v>
      </c>
      <c r="B18" s="3">
        <f t="shared" si="5"/>
        <v>22133.439694114422</v>
      </c>
      <c r="C18" s="3">
        <f t="shared" si="0"/>
        <v>386.65603058855828</v>
      </c>
      <c r="D18" s="5">
        <f t="shared" si="2"/>
        <v>1170.331799184793</v>
      </c>
      <c r="E18" s="5">
        <f t="shared" si="3"/>
        <v>286.65603058855834</v>
      </c>
      <c r="F18" s="3">
        <f t="shared" si="1"/>
        <v>21846.783663525865</v>
      </c>
      <c r="G18" s="3">
        <f t="shared" si="4"/>
        <v>301.31565784314603</v>
      </c>
      <c r="I18" s="26"/>
    </row>
    <row r="19" spans="1:9" x14ac:dyDescent="0.25">
      <c r="A19" s="22">
        <v>12</v>
      </c>
      <c r="B19" s="3">
        <f t="shared" si="5"/>
        <v>21846.783663525865</v>
      </c>
      <c r="C19" s="3">
        <f t="shared" si="0"/>
        <v>386.65603058855828</v>
      </c>
      <c r="D19" s="5">
        <f t="shared" si="2"/>
        <v>1166.3008413159585</v>
      </c>
      <c r="E19" s="5">
        <f t="shared" si="3"/>
        <v>286.65603058855834</v>
      </c>
      <c r="F19" s="3">
        <f t="shared" si="1"/>
        <v>21560.127632937307</v>
      </c>
      <c r="G19" s="3">
        <f t="shared" si="4"/>
        <v>302.82223613236187</v>
      </c>
      <c r="H19" s="5">
        <f>CUMIPMT(D$4/D$2,D$3*D$2,B$4,A8,A19,0)</f>
        <v>-1103.8090221696325</v>
      </c>
      <c r="I19" s="26"/>
    </row>
    <row r="20" spans="1:9" x14ac:dyDescent="0.25">
      <c r="A20" s="22">
        <v>13</v>
      </c>
      <c r="B20" s="3">
        <f t="shared" si="5"/>
        <v>21560.127632937307</v>
      </c>
      <c r="C20" s="3">
        <f t="shared" si="0"/>
        <v>386.65603058855828</v>
      </c>
      <c r="D20" s="5">
        <f t="shared" si="2"/>
        <v>1162.0280259749941</v>
      </c>
      <c r="E20" s="5">
        <f t="shared" si="3"/>
        <v>286.65603058855834</v>
      </c>
      <c r="F20" s="3">
        <f t="shared" si="1"/>
        <v>21273.471602348749</v>
      </c>
      <c r="G20" s="3">
        <f t="shared" si="4"/>
        <v>304.33634731302368</v>
      </c>
      <c r="I20" s="26"/>
    </row>
    <row r="21" spans="1:9" x14ac:dyDescent="0.25">
      <c r="A21" s="22">
        <v>14</v>
      </c>
      <c r="B21" s="3">
        <f t="shared" si="5"/>
        <v>21273.471602348749</v>
      </c>
      <c r="C21" s="3">
        <f t="shared" si="0"/>
        <v>386.65603058855828</v>
      </c>
      <c r="D21" s="5">
        <f t="shared" si="2"/>
        <v>1157.4988417135714</v>
      </c>
      <c r="E21" s="5">
        <f t="shared" si="3"/>
        <v>286.65603058855834</v>
      </c>
      <c r="F21" s="3">
        <f t="shared" si="1"/>
        <v>20986.815571760191</v>
      </c>
      <c r="G21" s="3">
        <f t="shared" si="4"/>
        <v>305.85802904958871</v>
      </c>
      <c r="I21" s="26"/>
    </row>
    <row r="22" spans="1:9" x14ac:dyDescent="0.25">
      <c r="A22" s="22">
        <v>15</v>
      </c>
      <c r="B22" s="3">
        <f t="shared" si="5"/>
        <v>20986.815571760191</v>
      </c>
      <c r="C22" s="3">
        <f t="shared" si="0"/>
        <v>386.65603058855828</v>
      </c>
      <c r="D22" s="5">
        <f t="shared" si="2"/>
        <v>1152.6979063964638</v>
      </c>
      <c r="E22" s="5">
        <f t="shared" si="3"/>
        <v>286.65603058855834</v>
      </c>
      <c r="F22" s="3">
        <f t="shared" si="1"/>
        <v>20700.159541171633</v>
      </c>
      <c r="G22" s="3">
        <f t="shared" si="4"/>
        <v>307.38731919483666</v>
      </c>
      <c r="I22" s="26"/>
    </row>
    <row r="23" spans="1:9" x14ac:dyDescent="0.25">
      <c r="A23" s="22">
        <v>16</v>
      </c>
      <c r="B23" s="3">
        <f t="shared" si="5"/>
        <v>20700.159541171633</v>
      </c>
      <c r="C23" s="3">
        <f t="shared" si="0"/>
        <v>386.65603058855828</v>
      </c>
      <c r="D23" s="5">
        <f t="shared" si="2"/>
        <v>1147.6089149603295</v>
      </c>
      <c r="E23" s="5">
        <f t="shared" si="3"/>
        <v>286.65603058855834</v>
      </c>
      <c r="F23" s="3">
        <f t="shared" si="1"/>
        <v>20413.503510583076</v>
      </c>
      <c r="G23" s="3">
        <f t="shared" si="4"/>
        <v>308.92425579081089</v>
      </c>
      <c r="I23" s="26"/>
    </row>
    <row r="24" spans="1:9" x14ac:dyDescent="0.25">
      <c r="A24" s="22">
        <v>17</v>
      </c>
      <c r="B24" s="3">
        <f t="shared" si="5"/>
        <v>20413.503510583076</v>
      </c>
      <c r="C24" s="3">
        <f t="shared" si="0"/>
        <v>386.65603058855828</v>
      </c>
      <c r="D24" s="5">
        <f t="shared" si="2"/>
        <v>1142.2145840380272</v>
      </c>
      <c r="E24" s="5">
        <f t="shared" si="3"/>
        <v>286.65603058855834</v>
      </c>
      <c r="F24" s="3">
        <f t="shared" si="1"/>
        <v>20126.847479994518</v>
      </c>
      <c r="G24" s="3">
        <f t="shared" si="4"/>
        <v>310.46887706976491</v>
      </c>
      <c r="I24" s="26"/>
    </row>
    <row r="25" spans="1:9" x14ac:dyDescent="0.25">
      <c r="A25" s="22">
        <v>18</v>
      </c>
      <c r="B25" s="3">
        <f t="shared" si="5"/>
        <v>20126.847479994518</v>
      </c>
      <c r="C25" s="3">
        <f t="shared" si="0"/>
        <v>386.65603058855828</v>
      </c>
      <c r="D25" s="5">
        <f t="shared" si="2"/>
        <v>1136.4965932603866</v>
      </c>
      <c r="E25" s="5">
        <f t="shared" si="3"/>
        <v>286.65603058855834</v>
      </c>
      <c r="F25" s="3">
        <f t="shared" si="1"/>
        <v>19840.19144940596</v>
      </c>
      <c r="G25" s="3">
        <f t="shared" si="4"/>
        <v>312.02122145511373</v>
      </c>
      <c r="I25" s="26"/>
    </row>
    <row r="26" spans="1:9" x14ac:dyDescent="0.25">
      <c r="A26" s="22">
        <v>19</v>
      </c>
      <c r="B26" s="3">
        <f t="shared" si="5"/>
        <v>19840.19144940596</v>
      </c>
      <c r="C26" s="3">
        <f t="shared" si="0"/>
        <v>386.65603058855828</v>
      </c>
      <c r="D26" s="5">
        <f t="shared" si="2"/>
        <v>1130.4355230360879</v>
      </c>
      <c r="E26" s="5">
        <f t="shared" si="3"/>
        <v>286.65603058855834</v>
      </c>
      <c r="F26" s="3">
        <f t="shared" si="1"/>
        <v>19553.535418817402</v>
      </c>
      <c r="G26" s="3">
        <f t="shared" si="4"/>
        <v>313.58132756238939</v>
      </c>
      <c r="I26" s="26"/>
    </row>
    <row r="27" spans="1:9" x14ac:dyDescent="0.25">
      <c r="A27" s="22">
        <v>20</v>
      </c>
      <c r="B27" s="3">
        <f t="shared" si="5"/>
        <v>19553.535418817402</v>
      </c>
      <c r="C27" s="3">
        <f t="shared" si="0"/>
        <v>386.65603058855828</v>
      </c>
      <c r="D27" s="5">
        <f t="shared" si="2"/>
        <v>1124.0107885983309</v>
      </c>
      <c r="E27" s="5">
        <f t="shared" si="3"/>
        <v>286.65603058855834</v>
      </c>
      <c r="F27" s="3">
        <f t="shared" si="1"/>
        <v>19266.879388228845</v>
      </c>
      <c r="G27" s="3">
        <f t="shared" si="4"/>
        <v>315.14923420020131</v>
      </c>
      <c r="I27" s="26"/>
    </row>
    <row r="28" spans="1:9" x14ac:dyDescent="0.25">
      <c r="A28" s="22">
        <v>21</v>
      </c>
      <c r="B28" s="3">
        <f t="shared" si="5"/>
        <v>19266.879388228845</v>
      </c>
      <c r="C28" s="3">
        <f t="shared" si="0"/>
        <v>386.65603058855828</v>
      </c>
      <c r="D28" s="5">
        <f t="shared" si="2"/>
        <v>1117.2005700943091</v>
      </c>
      <c r="E28" s="5">
        <f t="shared" si="3"/>
        <v>286.65603058855834</v>
      </c>
      <c r="F28" s="3">
        <f t="shared" si="1"/>
        <v>18980.223357640287</v>
      </c>
      <c r="G28" s="3">
        <f t="shared" si="4"/>
        <v>316.72498037120221</v>
      </c>
      <c r="I28" s="26"/>
    </row>
    <row r="29" spans="1:9" x14ac:dyDescent="0.25">
      <c r="A29" s="22">
        <v>22</v>
      </c>
      <c r="B29" s="3">
        <f t="shared" si="5"/>
        <v>18980.223357640287</v>
      </c>
      <c r="C29" s="3">
        <f t="shared" si="0"/>
        <v>386.65603058855828</v>
      </c>
      <c r="D29" s="5">
        <f t="shared" si="2"/>
        <v>1109.9817384800454</v>
      </c>
      <c r="E29" s="5">
        <f t="shared" si="3"/>
        <v>286.65603058855834</v>
      </c>
      <c r="F29" s="3">
        <f t="shared" si="1"/>
        <v>18693.567327051729</v>
      </c>
      <c r="G29" s="3">
        <f t="shared" si="4"/>
        <v>318.30860527305828</v>
      </c>
      <c r="I29" s="26"/>
    </row>
    <row r="30" spans="1:9" x14ac:dyDescent="0.25">
      <c r="A30" s="22">
        <v>23</v>
      </c>
      <c r="B30" s="3">
        <f t="shared" si="5"/>
        <v>18693.567327051729</v>
      </c>
      <c r="C30" s="3">
        <f t="shared" si="0"/>
        <v>386.65603058855828</v>
      </c>
      <c r="D30" s="5">
        <f t="shared" si="2"/>
        <v>1102.3297769689261</v>
      </c>
      <c r="E30" s="5">
        <f t="shared" si="3"/>
        <v>286.65603058855834</v>
      </c>
      <c r="F30" s="3">
        <f t="shared" si="1"/>
        <v>18406.911296463171</v>
      </c>
      <c r="G30" s="3">
        <f t="shared" si="4"/>
        <v>319.90014829942356</v>
      </c>
      <c r="I30" s="26"/>
    </row>
    <row r="31" spans="1:9" x14ac:dyDescent="0.25">
      <c r="A31" s="22">
        <v>24</v>
      </c>
      <c r="B31" s="3">
        <f t="shared" si="5"/>
        <v>18406.911296463171</v>
      </c>
      <c r="C31" s="3">
        <f t="shared" si="0"/>
        <v>386.65603058855828</v>
      </c>
      <c r="D31" s="5">
        <f t="shared" si="2"/>
        <v>1094.2186977671395</v>
      </c>
      <c r="E31" s="5">
        <f t="shared" si="3"/>
        <v>286.65603058855834</v>
      </c>
      <c r="F31" s="3">
        <f t="shared" si="1"/>
        <v>18120.255265874614</v>
      </c>
      <c r="G31" s="3">
        <f t="shared" si="4"/>
        <v>321.4996490409207</v>
      </c>
      <c r="H31" s="5">
        <f>-CUMIPMT(D$4/D$2,D$3*D$2,B$4,A20,A31,0)</f>
        <v>885.71237244236499</v>
      </c>
      <c r="I31" s="26"/>
    </row>
    <row r="32" spans="1:9" x14ac:dyDescent="0.25">
      <c r="A32" s="22">
        <v>25</v>
      </c>
      <c r="B32" s="3">
        <f t="shared" si="5"/>
        <v>18120.255265874614</v>
      </c>
      <c r="C32" s="3">
        <f t="shared" si="0"/>
        <v>386.65603058855828</v>
      </c>
      <c r="D32" s="5">
        <f t="shared" si="2"/>
        <v>1085.6209538132459</v>
      </c>
      <c r="E32" s="5">
        <f t="shared" si="3"/>
        <v>286.65603058855834</v>
      </c>
      <c r="F32" s="3">
        <f t="shared" si="1"/>
        <v>17833.599235286056</v>
      </c>
      <c r="G32" s="3">
        <f t="shared" si="4"/>
        <v>323.10714728612533</v>
      </c>
      <c r="I32" s="26"/>
    </row>
    <row r="33" spans="1:9" x14ac:dyDescent="0.25">
      <c r="A33" s="22">
        <v>26</v>
      </c>
      <c r="B33" s="3">
        <f t="shared" si="5"/>
        <v>17833.599235286056</v>
      </c>
      <c r="C33" s="3">
        <f t="shared" si="0"/>
        <v>386.65603058855828</v>
      </c>
      <c r="D33" s="5">
        <f t="shared" si="2"/>
        <v>1076.5073452221184</v>
      </c>
      <c r="E33" s="5">
        <f t="shared" si="3"/>
        <v>286.65603058855834</v>
      </c>
      <c r="F33" s="3">
        <f t="shared" si="1"/>
        <v>17546.943204697498</v>
      </c>
      <c r="G33" s="3">
        <f t="shared" si="4"/>
        <v>324.722683022556</v>
      </c>
      <c r="I33" s="26"/>
    </row>
    <row r="34" spans="1:9" x14ac:dyDescent="0.25">
      <c r="A34" s="22">
        <v>27</v>
      </c>
      <c r="B34" s="3">
        <f t="shared" si="5"/>
        <v>17546.943204697498</v>
      </c>
      <c r="C34" s="3">
        <f t="shared" si="0"/>
        <v>386.65603058855828</v>
      </c>
      <c r="D34" s="5">
        <f t="shared" si="2"/>
        <v>1066.8469201155235</v>
      </c>
      <c r="E34" s="5">
        <f t="shared" si="3"/>
        <v>286.65603058855834</v>
      </c>
      <c r="F34" s="3">
        <f t="shared" si="1"/>
        <v>17260.28717410894</v>
      </c>
      <c r="G34" s="3">
        <f t="shared" si="4"/>
        <v>326.34629643766868</v>
      </c>
      <c r="I34" s="26"/>
    </row>
    <row r="35" spans="1:9" x14ac:dyDescent="0.25">
      <c r="A35" s="22">
        <v>28</v>
      </c>
      <c r="B35" s="3">
        <f t="shared" si="5"/>
        <v>17260.28717410894</v>
      </c>
      <c r="C35" s="3">
        <f t="shared" si="0"/>
        <v>386.65603058855828</v>
      </c>
      <c r="D35" s="5">
        <f t="shared" si="2"/>
        <v>1056.6068695025328</v>
      </c>
      <c r="E35" s="5">
        <f t="shared" si="3"/>
        <v>286.65603058855834</v>
      </c>
      <c r="F35" s="3">
        <f t="shared" si="1"/>
        <v>16973.631143520382</v>
      </c>
      <c r="G35" s="3">
        <f t="shared" si="4"/>
        <v>327.97802791985708</v>
      </c>
      <c r="I35" s="26"/>
    </row>
    <row r="36" spans="1:9" x14ac:dyDescent="0.25">
      <c r="A36" s="22">
        <v>29</v>
      </c>
      <c r="B36" s="3">
        <f t="shared" si="5"/>
        <v>16973.631143520382</v>
      </c>
      <c r="C36" s="3">
        <f t="shared" si="0"/>
        <v>386.65603058855828</v>
      </c>
      <c r="D36" s="5">
        <f t="shared" si="2"/>
        <v>1045.7524158527629</v>
      </c>
      <c r="E36" s="5">
        <f t="shared" si="3"/>
        <v>286.65603058855834</v>
      </c>
      <c r="F36" s="3">
        <f t="shared" si="1"/>
        <v>16686.975112931825</v>
      </c>
      <c r="G36" s="3">
        <f t="shared" si="4"/>
        <v>329.61791805945637</v>
      </c>
      <c r="I36" s="26"/>
    </row>
    <row r="37" spans="1:9" x14ac:dyDescent="0.25">
      <c r="A37" s="22">
        <v>30</v>
      </c>
      <c r="B37" s="3">
        <f t="shared" si="5"/>
        <v>16686.975112931825</v>
      </c>
      <c r="C37" s="3">
        <f t="shared" si="0"/>
        <v>386.65603058855828</v>
      </c>
      <c r="D37" s="5">
        <f t="shared" si="2"/>
        <v>1034.2466949840064</v>
      </c>
      <c r="E37" s="5">
        <f t="shared" si="3"/>
        <v>286.65603058855834</v>
      </c>
      <c r="F37" s="3">
        <f t="shared" si="1"/>
        <v>16400.319082343267</v>
      </c>
      <c r="G37" s="3">
        <f t="shared" si="4"/>
        <v>331.26600764975365</v>
      </c>
      <c r="I37" s="26"/>
    </row>
    <row r="38" spans="1:9" x14ac:dyDescent="0.25">
      <c r="A38" s="22">
        <v>31</v>
      </c>
      <c r="B38" s="3">
        <f t="shared" si="5"/>
        <v>16400.319082343267</v>
      </c>
      <c r="C38" s="3">
        <f t="shared" si="0"/>
        <v>386.65603058855828</v>
      </c>
      <c r="D38" s="5">
        <f t="shared" si="2"/>
        <v>1022.0506308631248</v>
      </c>
      <c r="E38" s="5">
        <f t="shared" si="3"/>
        <v>286.65603058855834</v>
      </c>
      <c r="F38" s="3">
        <f t="shared" si="1"/>
        <v>16113.663051754709</v>
      </c>
      <c r="G38" s="3">
        <f t="shared" si="4"/>
        <v>332.92233768800241</v>
      </c>
      <c r="I38" s="26"/>
    </row>
    <row r="39" spans="1:9" x14ac:dyDescent="0.25">
      <c r="A39" s="22">
        <v>32</v>
      </c>
      <c r="B39" s="3">
        <f t="shared" si="5"/>
        <v>16113.663051754709</v>
      </c>
      <c r="C39" s="3">
        <f t="shared" si="0"/>
        <v>386.65603058855828</v>
      </c>
      <c r="D39" s="5">
        <f t="shared" si="2"/>
        <v>1009.1228028949902</v>
      </c>
      <c r="E39" s="5">
        <f t="shared" si="3"/>
        <v>286.65603058855834</v>
      </c>
      <c r="F39" s="3">
        <f t="shared" si="1"/>
        <v>15827.007021166151</v>
      </c>
      <c r="G39" s="3">
        <f t="shared" si="4"/>
        <v>334.58694937644242</v>
      </c>
      <c r="I39" s="26"/>
    </row>
    <row r="40" spans="1:9" x14ac:dyDescent="0.25">
      <c r="A40" s="22">
        <v>33</v>
      </c>
      <c r="B40" s="3">
        <f t="shared" si="5"/>
        <v>15827.007021166151</v>
      </c>
      <c r="C40" s="3">
        <f t="shared" ref="C40:C71" si="6">B$5</f>
        <v>386.65603058855828</v>
      </c>
      <c r="D40" s="5">
        <f t="shared" si="2"/>
        <v>995.41930524876739</v>
      </c>
      <c r="E40" s="5">
        <f t="shared" si="3"/>
        <v>286.65603058855834</v>
      </c>
      <c r="F40" s="3">
        <f t="shared" ref="F40:F71" si="7">B40-E40</f>
        <v>15540.350990577594</v>
      </c>
      <c r="G40" s="3">
        <f t="shared" si="4"/>
        <v>336.25988412332464</v>
      </c>
      <c r="I40" s="26"/>
    </row>
    <row r="41" spans="1:9" x14ac:dyDescent="0.25">
      <c r="A41" s="22">
        <v>34</v>
      </c>
      <c r="B41" s="3">
        <f t="shared" si="5"/>
        <v>15540.350990577594</v>
      </c>
      <c r="C41" s="3">
        <f t="shared" si="6"/>
        <v>386.65603058855828</v>
      </c>
      <c r="D41" s="5">
        <f t="shared" si="2"/>
        <v>980.89359774377135</v>
      </c>
      <c r="E41" s="5">
        <f t="shared" si="3"/>
        <v>286.65603058855834</v>
      </c>
      <c r="F41" s="3">
        <f t="shared" si="7"/>
        <v>15253.694959989036</v>
      </c>
      <c r="G41" s="3">
        <f t="shared" si="4"/>
        <v>337.94118354394124</v>
      </c>
      <c r="I41" s="26"/>
    </row>
    <row r="42" spans="1:9" x14ac:dyDescent="0.25">
      <c r="A42" s="22">
        <v>35</v>
      </c>
      <c r="B42" s="3">
        <f t="shared" si="5"/>
        <v>15253.694959989036</v>
      </c>
      <c r="C42" s="3">
        <f t="shared" si="6"/>
        <v>386.65603058855828</v>
      </c>
      <c r="D42" s="5">
        <f t="shared" si="2"/>
        <v>965.49634778847565</v>
      </c>
      <c r="E42" s="5">
        <f t="shared" si="3"/>
        <v>286.65603058855834</v>
      </c>
      <c r="F42" s="3">
        <f t="shared" si="7"/>
        <v>14967.038929400478</v>
      </c>
      <c r="G42" s="3">
        <f t="shared" si="4"/>
        <v>339.6308894616609</v>
      </c>
      <c r="I42" s="26"/>
    </row>
    <row r="43" spans="1:9" x14ac:dyDescent="0.25">
      <c r="A43" s="22">
        <v>36</v>
      </c>
      <c r="B43" s="3">
        <f t="shared" si="5"/>
        <v>14967.038929400478</v>
      </c>
      <c r="C43" s="3">
        <f t="shared" si="6"/>
        <v>386.65603058855828</v>
      </c>
      <c r="D43" s="5">
        <f t="shared" si="2"/>
        <v>949.1752628358621</v>
      </c>
      <c r="E43" s="5">
        <f t="shared" si="3"/>
        <v>286.65603058855834</v>
      </c>
      <c r="F43" s="3">
        <f t="shared" si="7"/>
        <v>14680.38289881192</v>
      </c>
      <c r="G43" s="3">
        <f t="shared" si="4"/>
        <v>341.32904390896925</v>
      </c>
      <c r="H43" s="5">
        <f>-CUMIPMT(D$4/D$2,D$3*D$2,B$4,A32,A43,0)</f>
        <v>654.16399858494106</v>
      </c>
      <c r="I43" s="26"/>
    </row>
    <row r="44" spans="1:9" x14ac:dyDescent="0.25">
      <c r="A44" s="22">
        <v>37</v>
      </c>
      <c r="B44" s="3">
        <f t="shared" si="5"/>
        <v>14680.38289881192</v>
      </c>
      <c r="C44" s="3">
        <f t="shared" si="6"/>
        <v>386.65603058855828</v>
      </c>
      <c r="D44" s="5">
        <f t="shared" si="2"/>
        <v>931.87491278609161</v>
      </c>
      <c r="E44" s="5">
        <f t="shared" si="3"/>
        <v>286.65603058855834</v>
      </c>
      <c r="F44" s="3">
        <f t="shared" si="7"/>
        <v>14393.726868223363</v>
      </c>
      <c r="G44" s="3">
        <f t="shared" si="4"/>
        <v>343.03568912851404</v>
      </c>
      <c r="I44" s="26"/>
    </row>
    <row r="45" spans="1:9" x14ac:dyDescent="0.25">
      <c r="A45" s="22">
        <v>38</v>
      </c>
      <c r="B45" s="3">
        <f t="shared" si="5"/>
        <v>14393.726868223363</v>
      </c>
      <c r="C45" s="3">
        <f t="shared" si="6"/>
        <v>386.65603058855828</v>
      </c>
      <c r="D45" s="5">
        <f t="shared" si="2"/>
        <v>913.53654173333518</v>
      </c>
      <c r="E45" s="5">
        <f t="shared" si="3"/>
        <v>286.65603058855834</v>
      </c>
      <c r="F45" s="3">
        <f t="shared" si="7"/>
        <v>14107.070837634805</v>
      </c>
      <c r="G45" s="3">
        <f t="shared" si="4"/>
        <v>344.7508675741567</v>
      </c>
      <c r="I45" s="26"/>
    </row>
    <row r="46" spans="1:9" x14ac:dyDescent="0.25">
      <c r="A46" s="22">
        <v>39</v>
      </c>
      <c r="B46" s="3">
        <f t="shared" si="5"/>
        <v>14107.070837634805</v>
      </c>
      <c r="C46" s="3">
        <f t="shared" si="6"/>
        <v>386.65603058855828</v>
      </c>
      <c r="D46" s="5">
        <f t="shared" si="2"/>
        <v>894.09786841741322</v>
      </c>
      <c r="E46" s="5">
        <f t="shared" si="3"/>
        <v>286.65603058855834</v>
      </c>
      <c r="F46" s="3">
        <f t="shared" si="7"/>
        <v>13820.414807046247</v>
      </c>
      <c r="G46" s="3">
        <f t="shared" si="4"/>
        <v>346.47462191202743</v>
      </c>
      <c r="I46" s="26"/>
    </row>
    <row r="47" spans="1:9" x14ac:dyDescent="0.25">
      <c r="A47" s="22">
        <v>40</v>
      </c>
      <c r="B47" s="3">
        <f t="shared" si="5"/>
        <v>13820.414807046247</v>
      </c>
      <c r="C47" s="3">
        <f t="shared" si="6"/>
        <v>386.65603058855828</v>
      </c>
      <c r="D47" s="5">
        <f t="shared" si="2"/>
        <v>873.49287470253591</v>
      </c>
      <c r="E47" s="5">
        <f t="shared" si="3"/>
        <v>286.65603058855834</v>
      </c>
      <c r="F47" s="3">
        <f t="shared" si="7"/>
        <v>13533.758776457689</v>
      </c>
      <c r="G47" s="3">
        <f t="shared" si="4"/>
        <v>348.2069950215876</v>
      </c>
      <c r="I47" s="26"/>
    </row>
    <row r="48" spans="1:9" x14ac:dyDescent="0.25">
      <c r="A48" s="22">
        <v>41</v>
      </c>
      <c r="B48" s="3">
        <f t="shared" si="5"/>
        <v>13533.758776457689</v>
      </c>
      <c r="C48" s="3">
        <f t="shared" si="6"/>
        <v>386.65603058855828</v>
      </c>
      <c r="D48" s="5">
        <f t="shared" si="2"/>
        <v>851.651581364766</v>
      </c>
      <c r="E48" s="5">
        <f t="shared" si="3"/>
        <v>286.65603058855834</v>
      </c>
      <c r="F48" s="3">
        <f t="shared" si="7"/>
        <v>13247.102745869131</v>
      </c>
      <c r="G48" s="3">
        <f t="shared" si="4"/>
        <v>349.94802999669554</v>
      </c>
      <c r="I48" s="26"/>
    </row>
    <row r="49" spans="1:9" x14ac:dyDescent="0.25">
      <c r="A49" s="22">
        <v>42</v>
      </c>
      <c r="B49" s="3">
        <f t="shared" si="5"/>
        <v>13247.102745869131</v>
      </c>
      <c r="C49" s="3">
        <f t="shared" si="6"/>
        <v>386.65603058855828</v>
      </c>
      <c r="D49" s="5">
        <f t="shared" si="2"/>
        <v>828.49981042672971</v>
      </c>
      <c r="E49" s="5">
        <f t="shared" si="3"/>
        <v>286.65603058855834</v>
      </c>
      <c r="F49" s="3">
        <f t="shared" si="7"/>
        <v>12960.446715280574</v>
      </c>
      <c r="G49" s="3">
        <f t="shared" si="4"/>
        <v>351.69777014667898</v>
      </c>
      <c r="I49" s="26"/>
    </row>
    <row r="50" spans="1:9" x14ac:dyDescent="0.25">
      <c r="A50" s="22">
        <v>43</v>
      </c>
      <c r="B50" s="3">
        <f t="shared" si="5"/>
        <v>12960.446715280574</v>
      </c>
      <c r="C50" s="3">
        <f t="shared" si="6"/>
        <v>386.65603058855828</v>
      </c>
      <c r="D50" s="5">
        <f t="shared" si="2"/>
        <v>803.9589332324116</v>
      </c>
      <c r="E50" s="5">
        <f t="shared" si="3"/>
        <v>286.65603058855834</v>
      </c>
      <c r="F50" s="3">
        <f t="shared" si="7"/>
        <v>12673.790684692016</v>
      </c>
      <c r="G50" s="3">
        <f t="shared" si="4"/>
        <v>353.45625899741242</v>
      </c>
      <c r="I50" s="26"/>
    </row>
    <row r="51" spans="1:9" x14ac:dyDescent="0.25">
      <c r="A51" s="22">
        <v>44</v>
      </c>
      <c r="B51" s="3">
        <f t="shared" si="5"/>
        <v>12673.790684692016</v>
      </c>
      <c r="C51" s="3">
        <f t="shared" si="6"/>
        <v>386.65603058855828</v>
      </c>
      <c r="D51" s="5">
        <f t="shared" si="2"/>
        <v>777.94560340643432</v>
      </c>
      <c r="E51" s="5">
        <f t="shared" si="3"/>
        <v>286.65603058855834</v>
      </c>
      <c r="F51" s="3">
        <f t="shared" si="7"/>
        <v>12387.134654103458</v>
      </c>
      <c r="G51" s="3">
        <f t="shared" si="4"/>
        <v>355.22354029239949</v>
      </c>
      <c r="I51" s="26"/>
    </row>
    <row r="52" spans="1:9" x14ac:dyDescent="0.25">
      <c r="A52" s="22">
        <v>45</v>
      </c>
      <c r="B52" s="3">
        <f t="shared" si="5"/>
        <v>12387.134654103458</v>
      </c>
      <c r="C52" s="3">
        <f t="shared" si="6"/>
        <v>386.65603058855828</v>
      </c>
      <c r="D52" s="5">
        <f t="shared" si="2"/>
        <v>750.37147379089811</v>
      </c>
      <c r="E52" s="5">
        <f t="shared" si="3"/>
        <v>286.65603058855834</v>
      </c>
      <c r="F52" s="3">
        <f t="shared" si="7"/>
        <v>12100.4786235149</v>
      </c>
      <c r="G52" s="3">
        <f t="shared" si="4"/>
        <v>356.99965799386149</v>
      </c>
      <c r="I52" s="26"/>
    </row>
    <row r="53" spans="1:9" x14ac:dyDescent="0.25">
      <c r="A53" s="22">
        <v>46</v>
      </c>
      <c r="B53" s="3">
        <f t="shared" si="5"/>
        <v>12100.4786235149</v>
      </c>
      <c r="C53" s="3">
        <f t="shared" si="6"/>
        <v>386.65603058855828</v>
      </c>
      <c r="D53" s="5">
        <f t="shared" si="2"/>
        <v>721.14289639843003</v>
      </c>
      <c r="E53" s="5">
        <f t="shared" si="3"/>
        <v>286.65603058855834</v>
      </c>
      <c r="F53" s="3">
        <f t="shared" si="7"/>
        <v>11813.822592926343</v>
      </c>
      <c r="G53" s="3">
        <f t="shared" si="4"/>
        <v>358.78465628383083</v>
      </c>
      <c r="I53" s="26"/>
    </row>
    <row r="54" spans="1:9" x14ac:dyDescent="0.25">
      <c r="A54" s="22">
        <v>47</v>
      </c>
      <c r="B54" s="3">
        <f t="shared" si="5"/>
        <v>11813.822592926343</v>
      </c>
      <c r="C54" s="3">
        <f t="shared" si="6"/>
        <v>386.65603058855828</v>
      </c>
      <c r="D54" s="5">
        <f t="shared" si="2"/>
        <v>690.16060436241366</v>
      </c>
      <c r="E54" s="5">
        <f t="shared" si="3"/>
        <v>286.65603058855834</v>
      </c>
      <c r="F54" s="3">
        <f t="shared" si="7"/>
        <v>11527.166562337785</v>
      </c>
      <c r="G54" s="3">
        <f t="shared" si="4"/>
        <v>360.57857956524987</v>
      </c>
      <c r="I54" s="26"/>
    </row>
    <row r="55" spans="1:9" x14ac:dyDescent="0.25">
      <c r="A55" s="22">
        <v>48</v>
      </c>
      <c r="B55" s="3">
        <f t="shared" si="5"/>
        <v>11527.166562337785</v>
      </c>
      <c r="C55" s="3">
        <f t="shared" si="6"/>
        <v>386.65603058855828</v>
      </c>
      <c r="D55" s="5">
        <f t="shared" si="2"/>
        <v>657.31937480423642</v>
      </c>
      <c r="E55" s="5">
        <f t="shared" si="3"/>
        <v>286.65603058855834</v>
      </c>
      <c r="F55" s="3">
        <f t="shared" si="7"/>
        <v>11240.510531749227</v>
      </c>
      <c r="G55" s="3">
        <f t="shared" si="4"/>
        <v>362.38147246307619</v>
      </c>
      <c r="H55" s="5">
        <f>-CUMIPMT(D$4/D$2,D$3*D$2,B$4,A44,A55,0)</f>
        <v>408.33422768720811</v>
      </c>
      <c r="I55" s="26"/>
    </row>
    <row r="56" spans="1:9" x14ac:dyDescent="0.25">
      <c r="A56" s="22">
        <v>49</v>
      </c>
      <c r="B56" s="3">
        <f t="shared" si="5"/>
        <v>11240.510531749227</v>
      </c>
      <c r="C56" s="3">
        <f t="shared" si="6"/>
        <v>386.65603058855828</v>
      </c>
      <c r="D56" s="5">
        <f t="shared" si="2"/>
        <v>622.50767147256852</v>
      </c>
      <c r="E56" s="5">
        <f t="shared" si="3"/>
        <v>286.65603058855834</v>
      </c>
      <c r="F56" s="3">
        <f t="shared" si="7"/>
        <v>10953.854501160669</v>
      </c>
      <c r="G56" s="3">
        <f t="shared" si="4"/>
        <v>364.19337982539156</v>
      </c>
      <c r="I56" s="26"/>
    </row>
    <row r="57" spans="1:9" x14ac:dyDescent="0.25">
      <c r="A57" s="22">
        <v>50</v>
      </c>
      <c r="B57" s="3">
        <f t="shared" si="5"/>
        <v>10953.854501160669</v>
      </c>
      <c r="C57" s="3">
        <f t="shared" si="6"/>
        <v>386.65603058855828</v>
      </c>
      <c r="D57" s="5">
        <f t="shared" si="2"/>
        <v>585.60726594100072</v>
      </c>
      <c r="E57" s="5">
        <f t="shared" si="3"/>
        <v>286.65603058855834</v>
      </c>
      <c r="F57" s="3">
        <f t="shared" si="7"/>
        <v>10667.198470572112</v>
      </c>
      <c r="G57" s="3">
        <f t="shared" si="4"/>
        <v>366.01434672451853</v>
      </c>
      <c r="I57" s="26"/>
    </row>
    <row r="58" spans="1:9" x14ac:dyDescent="0.25">
      <c r="A58" s="22">
        <v>51</v>
      </c>
      <c r="B58" s="3">
        <f t="shared" si="5"/>
        <v>10667.198470572112</v>
      </c>
      <c r="C58" s="3">
        <f t="shared" si="6"/>
        <v>386.65603058855828</v>
      </c>
      <c r="D58" s="5">
        <f t="shared" si="2"/>
        <v>546.49283607753853</v>
      </c>
      <c r="E58" s="5">
        <f t="shared" si="3"/>
        <v>286.65603058855834</v>
      </c>
      <c r="F58" s="3">
        <f t="shared" si="7"/>
        <v>10380.542439983554</v>
      </c>
      <c r="G58" s="3">
        <f t="shared" si="4"/>
        <v>367.84441845814109</v>
      </c>
      <c r="I58" s="26"/>
    </row>
    <row r="59" spans="1:9" x14ac:dyDescent="0.25">
      <c r="A59" s="22">
        <v>52</v>
      </c>
      <c r="B59" s="3">
        <f t="shared" si="5"/>
        <v>10380.542439983554</v>
      </c>
      <c r="C59" s="3">
        <f t="shared" si="6"/>
        <v>386.65603058855828</v>
      </c>
      <c r="D59" s="5">
        <f t="shared" si="2"/>
        <v>505.03154042226885</v>
      </c>
      <c r="E59" s="5">
        <f t="shared" si="3"/>
        <v>286.65603058855834</v>
      </c>
      <c r="F59" s="3">
        <f t="shared" si="7"/>
        <v>10093.886409394996</v>
      </c>
      <c r="G59" s="3">
        <f t="shared" si="4"/>
        <v>369.68364055043179</v>
      </c>
      <c r="I59" s="26"/>
    </row>
    <row r="60" spans="1:9" x14ac:dyDescent="0.25">
      <c r="A60" s="22">
        <v>53</v>
      </c>
      <c r="B60" s="3">
        <f t="shared" si="5"/>
        <v>10093.886409394996</v>
      </c>
      <c r="C60" s="3">
        <f t="shared" si="6"/>
        <v>386.65603058855828</v>
      </c>
      <c r="D60" s="5">
        <f t="shared" si="2"/>
        <v>461.08256702768279</v>
      </c>
      <c r="E60" s="5">
        <f t="shared" si="3"/>
        <v>286.65603058855834</v>
      </c>
      <c r="F60" s="3">
        <f t="shared" si="7"/>
        <v>9807.2303788064382</v>
      </c>
      <c r="G60" s="3">
        <f t="shared" si="4"/>
        <v>371.53205875318395</v>
      </c>
      <c r="I60" s="26"/>
    </row>
    <row r="61" spans="1:9" x14ac:dyDescent="0.25">
      <c r="A61" s="22">
        <v>54</v>
      </c>
      <c r="B61" s="3">
        <f t="shared" si="5"/>
        <v>9807.2303788064382</v>
      </c>
      <c r="C61" s="3">
        <f t="shared" si="6"/>
        <v>386.65603058855828</v>
      </c>
      <c r="D61" s="5">
        <f t="shared" si="2"/>
        <v>414.49665522942172</v>
      </c>
      <c r="E61" s="5">
        <f t="shared" si="3"/>
        <v>286.65603058855834</v>
      </c>
      <c r="F61" s="3">
        <f t="shared" si="7"/>
        <v>9520.5743482178805</v>
      </c>
      <c r="G61" s="3">
        <f t="shared" si="4"/>
        <v>373.38971904694989</v>
      </c>
      <c r="I61" s="26"/>
    </row>
    <row r="62" spans="1:9" x14ac:dyDescent="0.25">
      <c r="A62" s="22">
        <v>55</v>
      </c>
      <c r="B62" s="3">
        <f t="shared" si="5"/>
        <v>9520.5743482178805</v>
      </c>
      <c r="C62" s="3">
        <f t="shared" si="6"/>
        <v>386.65603058855828</v>
      </c>
      <c r="D62" s="5">
        <f t="shared" si="2"/>
        <v>365.11558872326492</v>
      </c>
      <c r="E62" s="5">
        <f t="shared" si="3"/>
        <v>286.65603058855834</v>
      </c>
      <c r="F62" s="3">
        <f t="shared" si="7"/>
        <v>9233.9183176293227</v>
      </c>
      <c r="G62" s="3">
        <f t="shared" si="4"/>
        <v>375.2566676421846</v>
      </c>
      <c r="I62" s="26"/>
    </row>
    <row r="63" spans="1:9" x14ac:dyDescent="0.25">
      <c r="A63" s="22">
        <v>56</v>
      </c>
      <c r="B63" s="3">
        <f t="shared" si="5"/>
        <v>9233.9183176293227</v>
      </c>
      <c r="C63" s="3">
        <f t="shared" si="6"/>
        <v>386.65603058855828</v>
      </c>
      <c r="D63" s="5">
        <f t="shared" si="2"/>
        <v>312.77165822673885</v>
      </c>
      <c r="E63" s="5">
        <f t="shared" si="3"/>
        <v>286.65603058855834</v>
      </c>
      <c r="F63" s="3">
        <f t="shared" si="7"/>
        <v>8947.2622870407649</v>
      </c>
      <c r="G63" s="3">
        <f t="shared" si="4"/>
        <v>377.13295098039561</v>
      </c>
      <c r="I63" s="26"/>
    </row>
    <row r="64" spans="1:9" x14ac:dyDescent="0.25">
      <c r="A64" s="22">
        <v>57</v>
      </c>
      <c r="B64" s="3">
        <f t="shared" si="5"/>
        <v>8947.2622870407649</v>
      </c>
      <c r="C64" s="3">
        <f t="shared" si="6"/>
        <v>386.65603058855828</v>
      </c>
      <c r="D64" s="5">
        <f t="shared" si="2"/>
        <v>257.28709190042105</v>
      </c>
      <c r="E64" s="5">
        <f t="shared" si="3"/>
        <v>286.65603058855834</v>
      </c>
      <c r="F64" s="3">
        <f t="shared" si="7"/>
        <v>8660.6062564522072</v>
      </c>
      <c r="G64" s="3">
        <f t="shared" si="4"/>
        <v>379.01861573529754</v>
      </c>
      <c r="I64" s="26"/>
    </row>
    <row r="65" spans="1:9" x14ac:dyDescent="0.25">
      <c r="A65" s="22">
        <v>58</v>
      </c>
      <c r="B65" s="3">
        <f t="shared" si="5"/>
        <v>8660.6062564522072</v>
      </c>
      <c r="C65" s="3">
        <f t="shared" si="6"/>
        <v>386.65603058855828</v>
      </c>
      <c r="D65" s="5">
        <f t="shared" si="2"/>
        <v>198.47345159452422</v>
      </c>
      <c r="E65" s="5">
        <f t="shared" si="3"/>
        <v>286.65603058855834</v>
      </c>
      <c r="F65" s="3">
        <f t="shared" si="7"/>
        <v>8373.9502258636494</v>
      </c>
      <c r="G65" s="3">
        <f t="shared" si="4"/>
        <v>380.91370881397404</v>
      </c>
      <c r="I65" s="26"/>
    </row>
    <row r="66" spans="1:9" x14ac:dyDescent="0.25">
      <c r="A66" s="22">
        <v>59</v>
      </c>
      <c r="B66" s="3">
        <f t="shared" si="5"/>
        <v>8373.9502258636494</v>
      </c>
      <c r="C66" s="3">
        <f t="shared" si="6"/>
        <v>386.65603058855828</v>
      </c>
      <c r="D66" s="5">
        <f t="shared" si="2"/>
        <v>136.13099287027364</v>
      </c>
      <c r="E66" s="5">
        <f t="shared" si="3"/>
        <v>286.65603058855834</v>
      </c>
      <c r="F66" s="3">
        <f t="shared" si="7"/>
        <v>8087.2941952750907</v>
      </c>
      <c r="G66" s="3">
        <f t="shared" si="4"/>
        <v>382.81827735804393</v>
      </c>
      <c r="I66" s="26"/>
    </row>
    <row r="67" spans="1:9" ht="17.25" x14ac:dyDescent="0.4">
      <c r="A67" s="22">
        <v>60</v>
      </c>
      <c r="B67" s="3">
        <f t="shared" si="5"/>
        <v>8087.2941952750907</v>
      </c>
      <c r="C67" s="23">
        <f t="shared" si="6"/>
        <v>386.65603058855828</v>
      </c>
      <c r="D67" s="5">
        <f t="shared" si="2"/>
        <v>70.04798662256799</v>
      </c>
      <c r="E67" s="5">
        <f t="shared" si="3"/>
        <v>286.65603058855834</v>
      </c>
      <c r="F67" s="3">
        <f t="shared" si="7"/>
        <v>7800.638164686532</v>
      </c>
      <c r="G67" s="3">
        <f t="shared" si="4"/>
        <v>384.73236874483416</v>
      </c>
      <c r="H67" s="24">
        <f>-CUMIPMT(D$4/D$2,D$3*D$2,B$4,A56,A67,0)</f>
        <v>147.34221442935177</v>
      </c>
      <c r="I67" s="26"/>
    </row>
    <row r="68" spans="1:9" ht="17.25" x14ac:dyDescent="0.4">
      <c r="A68" s="25" t="s">
        <v>7</v>
      </c>
      <c r="C68" s="11">
        <f>SUM(C8:C67)</f>
        <v>23199.361835313481</v>
      </c>
      <c r="D68" s="11">
        <f t="shared" ref="D68:H68" si="8">SUM(D8:D67)</f>
        <v>54250.865819922066</v>
      </c>
      <c r="E68" s="11">
        <f t="shared" si="8"/>
        <v>17199.361835313488</v>
      </c>
      <c r="F68" s="3"/>
      <c r="G68" s="3"/>
      <c r="H68" s="11">
        <f t="shared" si="8"/>
        <v>991.74379097423343</v>
      </c>
    </row>
  </sheetData>
  <pageMargins left="0.2" right="0.2" top="0.75" bottom="0.75" header="0.3" footer="0.3"/>
  <pageSetup scale="87" fitToHeight="2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H6" sqref="H6"/>
    </sheetView>
  </sheetViews>
  <sheetFormatPr defaultRowHeight="15" x14ac:dyDescent="0.25"/>
  <cols>
    <col min="1" max="1" width="17.7109375" customWidth="1"/>
    <col min="2" max="2" width="9.7109375" customWidth="1"/>
    <col min="3" max="7" width="8.85546875" customWidth="1"/>
    <col min="8" max="8" width="13.5703125" bestFit="1" customWidth="1"/>
    <col min="9" max="9" width="12.5703125" bestFit="1" customWidth="1"/>
  </cols>
  <sheetData>
    <row r="1" spans="1:9" x14ac:dyDescent="0.25">
      <c r="A1" s="29" t="s">
        <v>15</v>
      </c>
      <c r="B1" s="12"/>
      <c r="D1" s="46" t="s">
        <v>10</v>
      </c>
      <c r="E1" s="47"/>
      <c r="F1" s="47"/>
      <c r="G1" s="40">
        <v>25000</v>
      </c>
    </row>
    <row r="2" spans="1:9" x14ac:dyDescent="0.25">
      <c r="A2" s="13" t="s">
        <v>9</v>
      </c>
      <c r="B2" s="14">
        <v>0.08</v>
      </c>
      <c r="D2" s="48" t="s">
        <v>28</v>
      </c>
      <c r="E2" s="49"/>
      <c r="F2" s="49"/>
      <c r="G2" s="16">
        <v>50000</v>
      </c>
    </row>
    <row r="3" spans="1:9" x14ac:dyDescent="0.25">
      <c r="A3" s="17" t="s">
        <v>27</v>
      </c>
      <c r="B3" s="41">
        <v>5</v>
      </c>
      <c r="D3" s="50" t="s">
        <v>29</v>
      </c>
      <c r="E3" s="51"/>
      <c r="F3" s="51"/>
      <c r="G3" s="18">
        <v>20000</v>
      </c>
    </row>
    <row r="5" spans="1:9" x14ac:dyDescent="0.25">
      <c r="B5" s="4" t="s">
        <v>4</v>
      </c>
      <c r="C5" s="6" t="s">
        <v>0</v>
      </c>
      <c r="D5" s="6" t="s">
        <v>1</v>
      </c>
      <c r="E5" s="6" t="s">
        <v>2</v>
      </c>
      <c r="F5" s="6" t="s">
        <v>5</v>
      </c>
      <c r="G5" s="6" t="s">
        <v>6</v>
      </c>
      <c r="H5" s="6" t="s">
        <v>11</v>
      </c>
      <c r="I5" s="6" t="s">
        <v>14</v>
      </c>
    </row>
    <row r="6" spans="1:9" x14ac:dyDescent="0.25">
      <c r="A6" t="s">
        <v>8</v>
      </c>
      <c r="B6" s="2"/>
      <c r="C6" s="2">
        <f>$G2</f>
        <v>50000</v>
      </c>
      <c r="D6" s="2">
        <f>$G2</f>
        <v>50000</v>
      </c>
      <c r="E6" s="2">
        <f>$G2</f>
        <v>50000</v>
      </c>
      <c r="F6" s="2">
        <f>$G2</f>
        <v>50000</v>
      </c>
      <c r="G6" s="2">
        <f>$G2</f>
        <v>50000</v>
      </c>
      <c r="H6" s="19">
        <f>PV(B2,B3*12,-G2)</f>
        <v>618827.59110955382</v>
      </c>
    </row>
    <row r="7" spans="1:9" x14ac:dyDescent="0.25">
      <c r="A7" t="s">
        <v>12</v>
      </c>
      <c r="B7" s="2">
        <f>-G1</f>
        <v>-25000</v>
      </c>
      <c r="C7" s="2"/>
      <c r="D7" s="2"/>
      <c r="E7" s="2"/>
      <c r="F7" s="2"/>
      <c r="G7" s="2"/>
      <c r="H7" s="7">
        <f>B7</f>
        <v>-25000</v>
      </c>
    </row>
    <row r="8" spans="1:9" ht="17.25" x14ac:dyDescent="0.4">
      <c r="A8" t="s">
        <v>3</v>
      </c>
      <c r="B8" s="2"/>
      <c r="C8" s="9">
        <f>$G3</f>
        <v>20000</v>
      </c>
      <c r="D8" s="9">
        <f>$G3</f>
        <v>20000</v>
      </c>
      <c r="E8" s="9">
        <f>$G3</f>
        <v>20000</v>
      </c>
      <c r="F8" s="9">
        <f>$G3</f>
        <v>20000</v>
      </c>
      <c r="G8" s="9">
        <f>$G3</f>
        <v>20000</v>
      </c>
      <c r="H8" s="8">
        <f>PV(B2,B3,G3)</f>
        <v>-79854.200741561741</v>
      </c>
    </row>
    <row r="9" spans="1:9" ht="17.25" x14ac:dyDescent="0.4">
      <c r="A9" t="s">
        <v>13</v>
      </c>
      <c r="B9" s="2"/>
      <c r="C9" s="10">
        <f>C6-C8</f>
        <v>30000</v>
      </c>
      <c r="D9" s="10">
        <f t="shared" ref="D9:G9" si="0">D6-D8</f>
        <v>30000</v>
      </c>
      <c r="E9" s="10">
        <f t="shared" si="0"/>
        <v>30000</v>
      </c>
      <c r="F9" s="10">
        <f t="shared" si="0"/>
        <v>30000</v>
      </c>
      <c r="G9" s="10">
        <f t="shared" si="0"/>
        <v>30000</v>
      </c>
      <c r="H9" s="11">
        <f>SUM(H6:H8)</f>
        <v>513973.39036799211</v>
      </c>
      <c r="I9" s="3">
        <f>NPV(B2,C9,D9,E9,F9)+B7</f>
        <v>74363.80520132996</v>
      </c>
    </row>
    <row r="10" spans="1:9" x14ac:dyDescent="0.25">
      <c r="B10" s="2"/>
      <c r="C10" s="2"/>
      <c r="D10" s="2"/>
      <c r="E10" s="2"/>
      <c r="F10" s="2"/>
      <c r="G10" s="2"/>
    </row>
  </sheetData>
  <mergeCells count="3">
    <mergeCell ref="D1:F1"/>
    <mergeCell ref="D2:F2"/>
    <mergeCell ref="D3:F3"/>
  </mergeCells>
  <printOptions horizontalCentered="1"/>
  <pageMargins left="0.2" right="0.2" top="0.75" bottom="0.75" header="0.3" footer="0.3"/>
  <pageSetup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2009-10-26T00:14:32Z</outs:dateTime>
      <outs:isPinned>true</outs:isPinned>
    </outs:relatedDate>
    <outs:relatedDate>
      <outs:type>2</outs:type>
      <outs:displayName>Created</outs:displayName>
      <outs:dateTime>2007-09-19T15:17:00Z</outs:dateTime>
      <outs:isPinned>true</outs:isPinned>
    </outs:relatedDate>
    <outs:relatedDate>
      <outs:type>4</outs:type>
      <outs:displayName>Last Printed</outs:displayName>
      <outs:dateTime>2009-10-26T00:10:59Z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0F9DCF-200A-4FDD-B15A-62EB1B0CFB2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Equipment</vt:lpstr>
      <vt:lpstr>Loan</vt:lpstr>
      <vt:lpstr>PV and NPV</vt:lpstr>
      <vt:lpstr>Loan!Criteria</vt:lpstr>
      <vt:lpstr>Loan!Extract</vt:lpstr>
      <vt:lpstr>Loan!Print_Titles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2015-08-29T15:02:56Z</cp:lastPrinted>
  <dcterms:created xsi:type="dcterms:W3CDTF">2007-09-19T15:17:00Z</dcterms:created>
  <dcterms:modified xsi:type="dcterms:W3CDTF">2018-06-10T22:06:13Z</dcterms:modified>
</cp:coreProperties>
</file>