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bham.sharepoint.com/sites/PrecisionTox-Project/Shared Documents/General/Working Groups folders/Exposure Working Group/Important Excels INFO - data/"/>
    </mc:Choice>
  </mc:AlternateContent>
  <xr:revisionPtr revIDLastSave="0" documentId="8_{3D252136-417C-49BC-A114-2FB5DFDD3A36}" xr6:coauthVersionLast="47" xr6:coauthVersionMax="47" xr10:uidLastSave="{00000000-0000-0000-0000-000000000000}"/>
  <bookViews>
    <workbookView xWindow="-120" yWindow="-120" windowWidth="29040" windowHeight="15720" tabRatio="813" xr2:uid="{AE108DD3-C5E5-4D0E-B7F6-2053F643EA02}"/>
  </bookViews>
  <sheets>
    <sheet name="250 comps. shipping INFO" sheetId="1" r:id="rId1"/>
    <sheet name="leg." sheetId="4" r:id="rId2"/>
    <sheet name="250 comps. purchasing info" sheetId="2" r:id="rId3"/>
    <sheet name="leg.2" sheetId="5" r:id="rId4"/>
    <sheet name="250 comps. aliquoting info" sheetId="3" r:id="rId5"/>
    <sheet name="leg.3" sheetId="6" r:id="rId6"/>
    <sheet name="SUMMARY table of CHEMICAL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8" i="1" l="1"/>
  <c r="A106" i="7" l="1"/>
  <c r="B106" i="7"/>
  <c r="C106" i="7"/>
  <c r="D106" i="7"/>
  <c r="E106" i="7"/>
  <c r="F106" i="7"/>
  <c r="A107" i="7"/>
  <c r="B107" i="7"/>
  <c r="C107" i="7"/>
  <c r="D107" i="7"/>
  <c r="E107" i="7"/>
  <c r="F107" i="7"/>
  <c r="A102" i="7"/>
  <c r="B102" i="7"/>
  <c r="C102" i="7"/>
  <c r="D102" i="7"/>
  <c r="E102" i="7"/>
  <c r="F102" i="7"/>
  <c r="A103" i="7"/>
  <c r="B103" i="7"/>
  <c r="C103" i="7"/>
  <c r="D103" i="7"/>
  <c r="E103" i="7"/>
  <c r="F103" i="7"/>
  <c r="A104" i="7"/>
  <c r="B104" i="7"/>
  <c r="C104" i="7"/>
  <c r="D104" i="7"/>
  <c r="E104" i="7"/>
  <c r="F104" i="7"/>
  <c r="A105" i="7"/>
  <c r="B105" i="7"/>
  <c r="C105" i="7"/>
  <c r="D105" i="7"/>
  <c r="E105" i="7"/>
  <c r="F105" i="7"/>
  <c r="A79" i="7"/>
  <c r="B79" i="7"/>
  <c r="C79" i="7"/>
  <c r="D79" i="7"/>
  <c r="E79" i="7"/>
  <c r="F79" i="7"/>
  <c r="A80" i="7"/>
  <c r="B80" i="7"/>
  <c r="C80" i="7"/>
  <c r="D80" i="7"/>
  <c r="E80" i="7"/>
  <c r="F80" i="7"/>
  <c r="A81" i="7"/>
  <c r="B81" i="7"/>
  <c r="C81" i="7"/>
  <c r="D81" i="7"/>
  <c r="E81" i="7"/>
  <c r="F81" i="7"/>
  <c r="A82" i="7"/>
  <c r="B82" i="7"/>
  <c r="C82" i="7"/>
  <c r="D82" i="7"/>
  <c r="E82" i="7"/>
  <c r="F82" i="7"/>
  <c r="A83" i="7"/>
  <c r="B83" i="7"/>
  <c r="C83" i="7"/>
  <c r="D83" i="7"/>
  <c r="E83" i="7"/>
  <c r="F83" i="7"/>
  <c r="A84" i="7"/>
  <c r="B84" i="7"/>
  <c r="C84" i="7"/>
  <c r="D84" i="7"/>
  <c r="E84" i="7"/>
  <c r="F84" i="7"/>
  <c r="A85" i="7"/>
  <c r="B85" i="7"/>
  <c r="C85" i="7"/>
  <c r="D85" i="7"/>
  <c r="E85" i="7"/>
  <c r="F85" i="7"/>
  <c r="A86" i="7"/>
  <c r="B86" i="7"/>
  <c r="C86" i="7"/>
  <c r="D86" i="7"/>
  <c r="E86" i="7"/>
  <c r="F86" i="7"/>
  <c r="A87" i="7"/>
  <c r="B87" i="7"/>
  <c r="C87" i="7"/>
  <c r="D87" i="7"/>
  <c r="E87" i="7"/>
  <c r="F87" i="7"/>
  <c r="A88" i="7"/>
  <c r="B88" i="7"/>
  <c r="C88" i="7"/>
  <c r="D88" i="7"/>
  <c r="E88" i="7"/>
  <c r="F88" i="7"/>
  <c r="A89" i="7"/>
  <c r="B89" i="7"/>
  <c r="C89" i="7"/>
  <c r="D89" i="7"/>
  <c r="E89" i="7"/>
  <c r="F89" i="7"/>
  <c r="A90" i="7"/>
  <c r="B90" i="7"/>
  <c r="C90" i="7"/>
  <c r="D90" i="7"/>
  <c r="E90" i="7"/>
  <c r="F90" i="7"/>
  <c r="A91" i="7"/>
  <c r="B91" i="7"/>
  <c r="C91" i="7"/>
  <c r="D91" i="7"/>
  <c r="E91" i="7"/>
  <c r="F91" i="7"/>
  <c r="A92" i="7"/>
  <c r="B92" i="7"/>
  <c r="C92" i="7"/>
  <c r="D92" i="7"/>
  <c r="E92" i="7"/>
  <c r="F92" i="7"/>
  <c r="A93" i="7"/>
  <c r="B93" i="7"/>
  <c r="C93" i="7"/>
  <c r="D93" i="7"/>
  <c r="E93" i="7"/>
  <c r="F93" i="7"/>
  <c r="A94" i="7"/>
  <c r="B94" i="7"/>
  <c r="C94" i="7"/>
  <c r="D94" i="7"/>
  <c r="E94" i="7"/>
  <c r="F94" i="7"/>
  <c r="A95" i="7"/>
  <c r="B95" i="7"/>
  <c r="C95" i="7"/>
  <c r="D95" i="7"/>
  <c r="E95" i="7"/>
  <c r="F95" i="7"/>
  <c r="A96" i="7"/>
  <c r="B96" i="7"/>
  <c r="C96" i="7"/>
  <c r="D96" i="7"/>
  <c r="E96" i="7"/>
  <c r="F96" i="7"/>
  <c r="A97" i="7"/>
  <c r="B97" i="7"/>
  <c r="C97" i="7"/>
  <c r="D97" i="7"/>
  <c r="E97" i="7"/>
  <c r="F97" i="7"/>
  <c r="A98" i="7"/>
  <c r="B98" i="7"/>
  <c r="C98" i="7"/>
  <c r="D98" i="7"/>
  <c r="E98" i="7"/>
  <c r="F98" i="7"/>
  <c r="A99" i="7"/>
  <c r="B99" i="7"/>
  <c r="C99" i="7"/>
  <c r="D99" i="7"/>
  <c r="E99" i="7"/>
  <c r="F99" i="7"/>
  <c r="A100" i="7"/>
  <c r="B100" i="7"/>
  <c r="C100" i="7"/>
  <c r="D100" i="7"/>
  <c r="E100" i="7"/>
  <c r="F100" i="7"/>
  <c r="A101" i="7"/>
  <c r="B101" i="7"/>
  <c r="C101" i="7"/>
  <c r="D101" i="7"/>
  <c r="E101" i="7"/>
  <c r="F101" i="7"/>
  <c r="F78" i="7"/>
  <c r="E78" i="7"/>
  <c r="D78" i="7"/>
  <c r="C78" i="7"/>
  <c r="B78" i="7"/>
  <c r="A78" i="7"/>
  <c r="F223" i="3" l="1"/>
  <c r="E223" i="3"/>
  <c r="A247" i="3"/>
  <c r="B247" i="3"/>
  <c r="C247" i="3"/>
  <c r="F247" i="3"/>
  <c r="H247" i="3"/>
  <c r="I247" i="3"/>
  <c r="N247" i="3"/>
  <c r="U247" i="3" s="1"/>
  <c r="O247" i="3"/>
  <c r="Q247" i="3"/>
  <c r="A248" i="3"/>
  <c r="B248" i="3"/>
  <c r="C248" i="3"/>
  <c r="F248" i="3"/>
  <c r="H248" i="3"/>
  <c r="I248" i="3"/>
  <c r="N248" i="3"/>
  <c r="U248" i="3" s="1"/>
  <c r="O248" i="3"/>
  <c r="Q248" i="3"/>
  <c r="A249" i="3"/>
  <c r="B249" i="3"/>
  <c r="C249" i="3"/>
  <c r="F249" i="3"/>
  <c r="H249" i="3"/>
  <c r="I249" i="3"/>
  <c r="N249" i="3"/>
  <c r="U249" i="3" s="1"/>
  <c r="O249" i="3"/>
  <c r="Q249" i="3"/>
  <c r="A250" i="3"/>
  <c r="B250" i="3"/>
  <c r="C250" i="3"/>
  <c r="F250" i="3"/>
  <c r="H250" i="3"/>
  <c r="I250" i="3"/>
  <c r="N250" i="3"/>
  <c r="U250" i="3" s="1"/>
  <c r="O250" i="3"/>
  <c r="P250" i="3"/>
  <c r="Q250" i="3"/>
  <c r="A251" i="3"/>
  <c r="B251" i="3"/>
  <c r="C251" i="3"/>
  <c r="F251" i="3"/>
  <c r="H251" i="3"/>
  <c r="I251" i="3"/>
  <c r="N251" i="3"/>
  <c r="U251" i="3" s="1"/>
  <c r="O251" i="3"/>
  <c r="P251" i="3"/>
  <c r="Q251" i="3"/>
  <c r="A252" i="3"/>
  <c r="B252" i="3"/>
  <c r="C252" i="3"/>
  <c r="F252" i="3"/>
  <c r="H252" i="3"/>
  <c r="I252" i="3"/>
  <c r="N252" i="3"/>
  <c r="U252" i="3" s="1"/>
  <c r="O252" i="3"/>
  <c r="Q252" i="3"/>
  <c r="A253" i="3"/>
  <c r="B253" i="3"/>
  <c r="C253" i="3"/>
  <c r="F253" i="3"/>
  <c r="H253" i="3"/>
  <c r="I253" i="3"/>
  <c r="N253" i="3"/>
  <c r="U253" i="3" s="1"/>
  <c r="O253" i="3"/>
  <c r="P253" i="3"/>
  <c r="Q253" i="3"/>
  <c r="A254" i="3"/>
  <c r="B254" i="3"/>
  <c r="C254" i="3"/>
  <c r="F254" i="3"/>
  <c r="H254" i="3"/>
  <c r="I254" i="3"/>
  <c r="N254" i="3"/>
  <c r="O254" i="3"/>
  <c r="P254" i="3"/>
  <c r="Q254" i="3"/>
  <c r="U254" i="3"/>
  <c r="A224" i="3"/>
  <c r="A225" i="3"/>
  <c r="B225" i="3"/>
  <c r="C225" i="3"/>
  <c r="F225" i="3"/>
  <c r="H225" i="3"/>
  <c r="I225" i="3"/>
  <c r="N225" i="3"/>
  <c r="U225" i="3" s="1"/>
  <c r="O225" i="3"/>
  <c r="Q225" i="3"/>
  <c r="A226" i="3"/>
  <c r="B226" i="3"/>
  <c r="C226" i="3"/>
  <c r="F226" i="3"/>
  <c r="H226" i="3"/>
  <c r="I226" i="3"/>
  <c r="N226" i="3"/>
  <c r="U226" i="3" s="1"/>
  <c r="O226" i="3"/>
  <c r="Q226" i="3"/>
  <c r="S226" i="3"/>
  <c r="A227" i="3"/>
  <c r="B227" i="3"/>
  <c r="C227" i="3"/>
  <c r="F227" i="3"/>
  <c r="H227" i="3"/>
  <c r="I227" i="3"/>
  <c r="N227" i="3"/>
  <c r="U227" i="3" s="1"/>
  <c r="O227" i="3"/>
  <c r="Q227" i="3"/>
  <c r="A228" i="3"/>
  <c r="B228" i="3"/>
  <c r="C228" i="3"/>
  <c r="F228" i="3"/>
  <c r="H228" i="3"/>
  <c r="I228" i="3"/>
  <c r="N228" i="3"/>
  <c r="U228" i="3" s="1"/>
  <c r="O228" i="3"/>
  <c r="Q228" i="3"/>
  <c r="A229" i="3"/>
  <c r="B229" i="3"/>
  <c r="C229" i="3"/>
  <c r="F229" i="3"/>
  <c r="H229" i="3"/>
  <c r="I229" i="3"/>
  <c r="N229" i="3"/>
  <c r="U229" i="3" s="1"/>
  <c r="O229" i="3"/>
  <c r="Q229" i="3"/>
  <c r="A230" i="3"/>
  <c r="B230" i="3"/>
  <c r="C230" i="3"/>
  <c r="F230" i="3"/>
  <c r="H230" i="3"/>
  <c r="I230" i="3"/>
  <c r="N230" i="3"/>
  <c r="U230" i="3" s="1"/>
  <c r="O230" i="3"/>
  <c r="Q230" i="3"/>
  <c r="A231" i="3"/>
  <c r="B231" i="3"/>
  <c r="C231" i="3"/>
  <c r="F231" i="3"/>
  <c r="H231" i="3"/>
  <c r="I231" i="3"/>
  <c r="N231" i="3"/>
  <c r="U231" i="3" s="1"/>
  <c r="O231" i="3"/>
  <c r="Q231" i="3"/>
  <c r="A232" i="3"/>
  <c r="B232" i="3"/>
  <c r="C232" i="3"/>
  <c r="F232" i="3"/>
  <c r="H232" i="3"/>
  <c r="I232" i="3"/>
  <c r="N232" i="3"/>
  <c r="U232" i="3" s="1"/>
  <c r="O232" i="3"/>
  <c r="Q232" i="3"/>
  <c r="A233" i="3"/>
  <c r="B233" i="3"/>
  <c r="C233" i="3"/>
  <c r="F233" i="3"/>
  <c r="H233" i="3"/>
  <c r="I233" i="3"/>
  <c r="N233" i="3"/>
  <c r="U233" i="3" s="1"/>
  <c r="O233" i="3"/>
  <c r="P233" i="3"/>
  <c r="Q233" i="3"/>
  <c r="A234" i="3"/>
  <c r="B234" i="3"/>
  <c r="C234" i="3"/>
  <c r="F234" i="3"/>
  <c r="H234" i="3"/>
  <c r="I234" i="3"/>
  <c r="N234" i="3"/>
  <c r="U234" i="3" s="1"/>
  <c r="O234" i="3"/>
  <c r="Q234" i="3"/>
  <c r="A235" i="3"/>
  <c r="B235" i="3"/>
  <c r="C235" i="3"/>
  <c r="F235" i="3"/>
  <c r="H235" i="3"/>
  <c r="I235" i="3"/>
  <c r="N235" i="3"/>
  <c r="U235" i="3" s="1"/>
  <c r="O235" i="3"/>
  <c r="P235" i="3"/>
  <c r="Q235" i="3"/>
  <c r="A236" i="3"/>
  <c r="B236" i="3"/>
  <c r="C236" i="3"/>
  <c r="F236" i="3"/>
  <c r="H236" i="3"/>
  <c r="I236" i="3"/>
  <c r="N236" i="3"/>
  <c r="U236" i="3" s="1"/>
  <c r="O236" i="3"/>
  <c r="Q236" i="3"/>
  <c r="A237" i="3"/>
  <c r="B237" i="3"/>
  <c r="C237" i="3"/>
  <c r="F237" i="3"/>
  <c r="H237" i="3"/>
  <c r="I237" i="3"/>
  <c r="N237" i="3"/>
  <c r="U237" i="3" s="1"/>
  <c r="O237" i="3"/>
  <c r="Q237" i="3"/>
  <c r="A238" i="3"/>
  <c r="B238" i="3"/>
  <c r="C238" i="3"/>
  <c r="F238" i="3"/>
  <c r="H238" i="3"/>
  <c r="I238" i="3"/>
  <c r="N238" i="3"/>
  <c r="U238" i="3" s="1"/>
  <c r="O238" i="3"/>
  <c r="Q238" i="3"/>
  <c r="A239" i="3"/>
  <c r="B239" i="3"/>
  <c r="C239" i="3"/>
  <c r="F239" i="3"/>
  <c r="H239" i="3"/>
  <c r="I239" i="3"/>
  <c r="N239" i="3"/>
  <c r="U239" i="3" s="1"/>
  <c r="O239" i="3"/>
  <c r="Q239" i="3"/>
  <c r="A240" i="3"/>
  <c r="B240" i="3"/>
  <c r="C240" i="3"/>
  <c r="F240" i="3"/>
  <c r="H240" i="3"/>
  <c r="I240" i="3"/>
  <c r="N240" i="3"/>
  <c r="U240" i="3" s="1"/>
  <c r="O240" i="3"/>
  <c r="Q240" i="3"/>
  <c r="A241" i="3"/>
  <c r="B241" i="3"/>
  <c r="C241" i="3"/>
  <c r="F241" i="3"/>
  <c r="H241" i="3"/>
  <c r="I241" i="3"/>
  <c r="N241" i="3"/>
  <c r="U241" i="3" s="1"/>
  <c r="O241" i="3"/>
  <c r="Q241" i="3"/>
  <c r="A242" i="3"/>
  <c r="B242" i="3"/>
  <c r="C242" i="3"/>
  <c r="F242" i="3"/>
  <c r="H242" i="3"/>
  <c r="I242" i="3"/>
  <c r="N242" i="3"/>
  <c r="U242" i="3" s="1"/>
  <c r="O242" i="3"/>
  <c r="Q242" i="3"/>
  <c r="A243" i="3"/>
  <c r="B243" i="3"/>
  <c r="C243" i="3"/>
  <c r="F243" i="3"/>
  <c r="H243" i="3"/>
  <c r="I243" i="3"/>
  <c r="N243" i="3"/>
  <c r="U243" i="3" s="1"/>
  <c r="O243" i="3"/>
  <c r="Q243" i="3"/>
  <c r="A244" i="3"/>
  <c r="B244" i="3"/>
  <c r="C244" i="3"/>
  <c r="F244" i="3"/>
  <c r="H244" i="3"/>
  <c r="I244" i="3"/>
  <c r="N244" i="3"/>
  <c r="U244" i="3" s="1"/>
  <c r="O244" i="3"/>
  <c r="P244" i="3"/>
  <c r="Q244" i="3"/>
  <c r="A245" i="3"/>
  <c r="B245" i="3"/>
  <c r="C245" i="3"/>
  <c r="F245" i="3"/>
  <c r="H245" i="3"/>
  <c r="I245" i="3"/>
  <c r="N245" i="3"/>
  <c r="U245" i="3" s="1"/>
  <c r="O245" i="3"/>
  <c r="P245" i="3"/>
  <c r="Q245" i="3"/>
  <c r="A246" i="3"/>
  <c r="B246" i="3"/>
  <c r="C246" i="3"/>
  <c r="F246" i="3"/>
  <c r="H246" i="3"/>
  <c r="I246" i="3"/>
  <c r="N246" i="3"/>
  <c r="U246" i="3" s="1"/>
  <c r="O246" i="3"/>
  <c r="Q246" i="3"/>
  <c r="Q245" i="2"/>
  <c r="Q233" i="2"/>
  <c r="Q244" i="2"/>
  <c r="Q253" i="2"/>
  <c r="Q254" i="2"/>
  <c r="C226" i="2"/>
  <c r="D226" i="2"/>
  <c r="E226" i="2"/>
  <c r="F226" i="2"/>
  <c r="G226" i="2"/>
  <c r="I226" i="2"/>
  <c r="O226" i="2" s="1"/>
  <c r="Q226" i="2" s="1"/>
  <c r="C227" i="2"/>
  <c r="D227" i="2"/>
  <c r="E227" i="2"/>
  <c r="F227" i="2"/>
  <c r="G227" i="2"/>
  <c r="H227" i="2"/>
  <c r="S227" i="3" s="1"/>
  <c r="I227" i="2"/>
  <c r="T227" i="3" s="1"/>
  <c r="C228" i="2"/>
  <c r="D228" i="2"/>
  <c r="E228" i="2"/>
  <c r="F228" i="2"/>
  <c r="G228" i="2"/>
  <c r="H228" i="2"/>
  <c r="S228" i="3" s="1"/>
  <c r="I228" i="2"/>
  <c r="T228" i="3" s="1"/>
  <c r="C229" i="2"/>
  <c r="D229" i="2"/>
  <c r="E229" i="2"/>
  <c r="F229" i="2"/>
  <c r="G229" i="2"/>
  <c r="H229" i="2"/>
  <c r="S229" i="3" s="1"/>
  <c r="I229" i="2"/>
  <c r="T229" i="3" s="1"/>
  <c r="C230" i="2"/>
  <c r="D230" i="2"/>
  <c r="E230" i="2"/>
  <c r="F230" i="2"/>
  <c r="G230" i="2"/>
  <c r="H230" i="2"/>
  <c r="S230" i="3" s="1"/>
  <c r="I230" i="2"/>
  <c r="T230" i="3" s="1"/>
  <c r="C231" i="2"/>
  <c r="D231" i="2"/>
  <c r="E231" i="2"/>
  <c r="F231" i="2"/>
  <c r="G231" i="2"/>
  <c r="H231" i="2"/>
  <c r="S231" i="3" s="1"/>
  <c r="I231" i="2"/>
  <c r="T231" i="3" s="1"/>
  <c r="C232" i="2"/>
  <c r="D232" i="2"/>
  <c r="E232" i="2"/>
  <c r="F232" i="2"/>
  <c r="G232" i="2"/>
  <c r="H232" i="2"/>
  <c r="S232" i="3" s="1"/>
  <c r="I232" i="2"/>
  <c r="T232" i="3" s="1"/>
  <c r="C233" i="2"/>
  <c r="D233" i="2"/>
  <c r="E233" i="2"/>
  <c r="F233" i="2"/>
  <c r="G233" i="2"/>
  <c r="H233" i="2"/>
  <c r="S233" i="3" s="1"/>
  <c r="I233" i="2"/>
  <c r="T233" i="3" s="1"/>
  <c r="C234" i="2"/>
  <c r="D234" i="2"/>
  <c r="E234" i="2"/>
  <c r="F234" i="2"/>
  <c r="G234" i="2"/>
  <c r="H234" i="2"/>
  <c r="S234" i="3" s="1"/>
  <c r="I234" i="2"/>
  <c r="T234" i="3" s="1"/>
  <c r="C235" i="2"/>
  <c r="D235" i="2"/>
  <c r="E235" i="2"/>
  <c r="F235" i="2"/>
  <c r="G235" i="2"/>
  <c r="H235" i="2"/>
  <c r="S235" i="3" s="1"/>
  <c r="I235" i="2"/>
  <c r="T235" i="3" s="1"/>
  <c r="C236" i="2"/>
  <c r="D236" i="2"/>
  <c r="E236" i="2"/>
  <c r="F236" i="2"/>
  <c r="G236" i="2"/>
  <c r="H236" i="2"/>
  <c r="S236" i="3" s="1"/>
  <c r="I236" i="2"/>
  <c r="T236" i="3" s="1"/>
  <c r="C237" i="2"/>
  <c r="D237" i="2"/>
  <c r="E237" i="2"/>
  <c r="F237" i="2"/>
  <c r="G237" i="2"/>
  <c r="H237" i="2"/>
  <c r="S237" i="3" s="1"/>
  <c r="I237" i="2"/>
  <c r="T237" i="3" s="1"/>
  <c r="C238" i="2"/>
  <c r="D238" i="2"/>
  <c r="E238" i="2"/>
  <c r="F238" i="2"/>
  <c r="G238" i="2"/>
  <c r="H238" i="2"/>
  <c r="S238" i="3" s="1"/>
  <c r="I238" i="2"/>
  <c r="O238" i="2" s="1"/>
  <c r="Q238" i="2" s="1"/>
  <c r="C239" i="2"/>
  <c r="D239" i="2"/>
  <c r="E239" i="2"/>
  <c r="F239" i="2"/>
  <c r="G239" i="2"/>
  <c r="H239" i="2"/>
  <c r="S239" i="3" s="1"/>
  <c r="I239" i="2"/>
  <c r="T239" i="3" s="1"/>
  <c r="C240" i="2"/>
  <c r="D240" i="2"/>
  <c r="E240" i="2"/>
  <c r="F240" i="2"/>
  <c r="G240" i="2"/>
  <c r="H240" i="2"/>
  <c r="S240" i="3" s="1"/>
  <c r="I240" i="2"/>
  <c r="T240" i="3" s="1"/>
  <c r="C241" i="2"/>
  <c r="D241" i="2"/>
  <c r="E241" i="2"/>
  <c r="F241" i="2"/>
  <c r="G241" i="2"/>
  <c r="H241" i="2"/>
  <c r="S241" i="3" s="1"/>
  <c r="I241" i="2"/>
  <c r="T241" i="3" s="1"/>
  <c r="C242" i="2"/>
  <c r="D242" i="2"/>
  <c r="E242" i="2"/>
  <c r="F242" i="2"/>
  <c r="G242" i="2"/>
  <c r="H242" i="2"/>
  <c r="S242" i="3" s="1"/>
  <c r="I242" i="2"/>
  <c r="T242" i="3" s="1"/>
  <c r="C243" i="2"/>
  <c r="D243" i="2"/>
  <c r="E243" i="2"/>
  <c r="F243" i="2"/>
  <c r="G243" i="2"/>
  <c r="H243" i="2"/>
  <c r="S243" i="3" s="1"/>
  <c r="I243" i="2"/>
  <c r="T243" i="3" s="1"/>
  <c r="C244" i="2"/>
  <c r="D244" i="2"/>
  <c r="E244" i="2"/>
  <c r="F244" i="2"/>
  <c r="G244" i="2"/>
  <c r="H244" i="2"/>
  <c r="I244" i="2"/>
  <c r="T244" i="3" s="1"/>
  <c r="C245" i="2"/>
  <c r="D245" i="2"/>
  <c r="E245" i="2"/>
  <c r="F245" i="2"/>
  <c r="G245" i="2"/>
  <c r="H245" i="2"/>
  <c r="L245" i="2" s="1"/>
  <c r="E245" i="3" s="1"/>
  <c r="G245" i="3" s="1"/>
  <c r="I245" i="2"/>
  <c r="T245" i="3" s="1"/>
  <c r="C246" i="2"/>
  <c r="D246" i="2"/>
  <c r="E246" i="2"/>
  <c r="F246" i="2"/>
  <c r="G246" i="2"/>
  <c r="H246" i="2"/>
  <c r="S246" i="3" s="1"/>
  <c r="I246" i="2"/>
  <c r="T246" i="3" s="1"/>
  <c r="C247" i="2"/>
  <c r="D247" i="2"/>
  <c r="E247" i="2"/>
  <c r="F247" i="2"/>
  <c r="G247" i="2"/>
  <c r="H247" i="2"/>
  <c r="S247" i="3" s="1"/>
  <c r="I247" i="2"/>
  <c r="T247" i="3" s="1"/>
  <c r="C248" i="2"/>
  <c r="D248" i="2"/>
  <c r="E248" i="2"/>
  <c r="F248" i="2"/>
  <c r="G248" i="2"/>
  <c r="H248" i="2"/>
  <c r="S248" i="3" s="1"/>
  <c r="I248" i="2"/>
  <c r="T248" i="3" s="1"/>
  <c r="C249" i="2"/>
  <c r="D249" i="2"/>
  <c r="E249" i="2"/>
  <c r="F249" i="2"/>
  <c r="G249" i="2"/>
  <c r="H249" i="2"/>
  <c r="S249" i="3" s="1"/>
  <c r="I249" i="2"/>
  <c r="T249" i="3" s="1"/>
  <c r="C250" i="2"/>
  <c r="D250" i="2"/>
  <c r="E250" i="2"/>
  <c r="F250" i="2"/>
  <c r="G250" i="2"/>
  <c r="H250" i="2"/>
  <c r="S250" i="3" s="1"/>
  <c r="I250" i="2"/>
  <c r="T250" i="3" s="1"/>
  <c r="C251" i="2"/>
  <c r="D251" i="2"/>
  <c r="E251" i="2"/>
  <c r="F251" i="2"/>
  <c r="G251" i="2"/>
  <c r="H251" i="2"/>
  <c r="S251" i="3" s="1"/>
  <c r="I251" i="2"/>
  <c r="T251" i="3" s="1"/>
  <c r="C252" i="2"/>
  <c r="D252" i="2"/>
  <c r="E252" i="2"/>
  <c r="F252" i="2"/>
  <c r="G252" i="2"/>
  <c r="H252" i="2"/>
  <c r="S252" i="3" s="1"/>
  <c r="I252" i="2"/>
  <c r="T252" i="3" s="1"/>
  <c r="C253" i="2"/>
  <c r="D253" i="2"/>
  <c r="E253" i="2"/>
  <c r="F253" i="2"/>
  <c r="G253" i="2"/>
  <c r="H253" i="2"/>
  <c r="L253" i="2" s="1"/>
  <c r="E253" i="3" s="1"/>
  <c r="G253" i="3" s="1"/>
  <c r="I253" i="2"/>
  <c r="T253" i="3" s="1"/>
  <c r="C254" i="2"/>
  <c r="D254" i="2"/>
  <c r="E254" i="2"/>
  <c r="F254" i="2"/>
  <c r="G254" i="2"/>
  <c r="H254" i="2"/>
  <c r="S254" i="3" s="1"/>
  <c r="I254" i="2"/>
  <c r="T254" i="3" s="1"/>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C225" i="2"/>
  <c r="W225" i="1"/>
  <c r="M225" i="3" s="1"/>
  <c r="W226" i="1"/>
  <c r="M226" i="3" s="1"/>
  <c r="W227" i="1"/>
  <c r="M227" i="3" s="1"/>
  <c r="W228" i="1"/>
  <c r="M228" i="3" s="1"/>
  <c r="W229" i="1"/>
  <c r="M229" i="3" s="1"/>
  <c r="W230" i="1"/>
  <c r="M230" i="3" s="1"/>
  <c r="W231" i="1"/>
  <c r="M231" i="3" s="1"/>
  <c r="W232" i="1"/>
  <c r="M232" i="3" s="1"/>
  <c r="W233" i="1"/>
  <c r="M233" i="3" s="1"/>
  <c r="W234" i="1"/>
  <c r="M234" i="3" s="1"/>
  <c r="W235" i="1"/>
  <c r="M235" i="3" s="1"/>
  <c r="W236" i="1"/>
  <c r="M236" i="3" s="1"/>
  <c r="W237" i="1"/>
  <c r="M237" i="3" s="1"/>
  <c r="W238" i="1"/>
  <c r="M238" i="3" s="1"/>
  <c r="W239" i="1"/>
  <c r="M239" i="3" s="1"/>
  <c r="W240" i="1"/>
  <c r="M240" i="3" s="1"/>
  <c r="W241" i="1"/>
  <c r="M241" i="3" s="1"/>
  <c r="W242" i="1"/>
  <c r="M242" i="3" s="1"/>
  <c r="W243" i="1"/>
  <c r="M243" i="3" s="1"/>
  <c r="W244" i="1"/>
  <c r="M244" i="3" s="1"/>
  <c r="W245" i="1"/>
  <c r="M245" i="3" s="1"/>
  <c r="W246" i="1"/>
  <c r="M246" i="3" s="1"/>
  <c r="W247" i="1"/>
  <c r="M247" i="3" s="1"/>
  <c r="W248" i="1"/>
  <c r="M248" i="3" s="1"/>
  <c r="W249" i="1"/>
  <c r="M249" i="3" s="1"/>
  <c r="W250" i="1"/>
  <c r="M250" i="3" s="1"/>
  <c r="W251" i="1"/>
  <c r="M251" i="3" s="1"/>
  <c r="W252" i="1"/>
  <c r="M252" i="3" s="1"/>
  <c r="W253" i="1"/>
  <c r="M253" i="3" s="1"/>
  <c r="W254" i="1"/>
  <c r="M254" i="3" s="1"/>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I225" i="2"/>
  <c r="T225" i="3" s="1"/>
  <c r="H225" i="2"/>
  <c r="S225" i="3" s="1"/>
  <c r="G225" i="2"/>
  <c r="F225" i="2"/>
  <c r="E225" i="2"/>
  <c r="D225" i="2"/>
  <c r="B225" i="2"/>
  <c r="A225" i="2"/>
  <c r="L224" i="2"/>
  <c r="T226" i="3" l="1"/>
  <c r="S245" i="3"/>
  <c r="S253" i="3"/>
  <c r="O252" i="2"/>
  <c r="Q252" i="2" s="1"/>
  <c r="L244" i="2"/>
  <c r="E244" i="3" s="1"/>
  <c r="G244" i="3" s="1"/>
  <c r="O236" i="2"/>
  <c r="Q236" i="2" s="1"/>
  <c r="O228" i="2"/>
  <c r="Q228" i="2" s="1"/>
  <c r="S244" i="3"/>
  <c r="T238" i="3"/>
  <c r="P238" i="3"/>
  <c r="P226" i="3"/>
  <c r="O229" i="2"/>
  <c r="L254" i="2"/>
  <c r="E254" i="3" s="1"/>
  <c r="G254" i="3" s="1"/>
  <c r="O246" i="2"/>
  <c r="L238" i="2"/>
  <c r="E238" i="3" s="1"/>
  <c r="G238" i="3" s="1"/>
  <c r="O230" i="2"/>
  <c r="L247" i="2"/>
  <c r="E247" i="3" s="1"/>
  <c r="G247" i="3" s="1"/>
  <c r="L239" i="2"/>
  <c r="E239" i="3" s="1"/>
  <c r="G239" i="3" s="1"/>
  <c r="L231" i="2"/>
  <c r="E231" i="3" s="1"/>
  <c r="G231" i="3" s="1"/>
  <c r="O248" i="2"/>
  <c r="O240" i="2"/>
  <c r="O232" i="2"/>
  <c r="O225" i="2"/>
  <c r="L251" i="2"/>
  <c r="E251" i="3" s="1"/>
  <c r="G251" i="3" s="1"/>
  <c r="L243" i="2"/>
  <c r="E243" i="3" s="1"/>
  <c r="G243" i="3" s="1"/>
  <c r="L249" i="2"/>
  <c r="E249" i="3" s="1"/>
  <c r="G249" i="3" s="1"/>
  <c r="L241" i="2"/>
  <c r="E241" i="3" s="1"/>
  <c r="G241" i="3" s="1"/>
  <c r="L233" i="2"/>
  <c r="E233" i="3" s="1"/>
  <c r="G233" i="3" s="1"/>
  <c r="O249" i="2"/>
  <c r="O231" i="2"/>
  <c r="L250" i="2"/>
  <c r="E250" i="3" s="1"/>
  <c r="G250" i="3" s="1"/>
  <c r="L242" i="2"/>
  <c r="E242" i="3" s="1"/>
  <c r="G242" i="3" s="1"/>
  <c r="L234" i="2"/>
  <c r="E234" i="3" s="1"/>
  <c r="G234" i="3" s="1"/>
  <c r="L232" i="2"/>
  <c r="E232" i="3" s="1"/>
  <c r="G232" i="3" s="1"/>
  <c r="L235" i="2"/>
  <c r="E235" i="3" s="1"/>
  <c r="G235" i="3" s="1"/>
  <c r="O227" i="2"/>
  <c r="O247" i="2"/>
  <c r="L248" i="2"/>
  <c r="E248" i="3" s="1"/>
  <c r="G248" i="3" s="1"/>
  <c r="O237" i="2"/>
  <c r="L229" i="2"/>
  <c r="E229" i="3" s="1"/>
  <c r="G229" i="3" s="1"/>
  <c r="L237" i="2"/>
  <c r="E237" i="3" s="1"/>
  <c r="G237" i="3" s="1"/>
  <c r="L240" i="2"/>
  <c r="E240" i="3" s="1"/>
  <c r="G240" i="3" s="1"/>
  <c r="L230" i="2"/>
  <c r="E230" i="3" s="1"/>
  <c r="G230" i="3" s="1"/>
  <c r="O239" i="2"/>
  <c r="O243" i="2"/>
  <c r="O234" i="2"/>
  <c r="L236" i="2"/>
  <c r="E236" i="3" s="1"/>
  <c r="G236" i="3" s="1"/>
  <c r="O242" i="2"/>
  <c r="L225" i="2"/>
  <c r="E225" i="3" s="1"/>
  <c r="G225" i="3" s="1"/>
  <c r="L252" i="2"/>
  <c r="E252" i="3" s="1"/>
  <c r="G252" i="3" s="1"/>
  <c r="O241" i="2"/>
  <c r="L246" i="2"/>
  <c r="E246" i="3" s="1"/>
  <c r="G246" i="3" s="1"/>
  <c r="L228" i="2"/>
  <c r="E228" i="3" s="1"/>
  <c r="G228" i="3" s="1"/>
  <c r="L227" i="2"/>
  <c r="E227" i="3" s="1"/>
  <c r="G227" i="3" s="1"/>
  <c r="L226" i="2"/>
  <c r="E226" i="3" s="1"/>
  <c r="G226" i="3" s="1"/>
  <c r="Q250" i="2"/>
  <c r="Q235" i="2"/>
  <c r="Q251" i="2"/>
  <c r="P252" i="3" l="1"/>
  <c r="P228" i="3"/>
  <c r="P236" i="3"/>
  <c r="Q249" i="2"/>
  <c r="P249" i="3"/>
  <c r="Q248" i="2"/>
  <c r="P248" i="3"/>
  <c r="Q246" i="2"/>
  <c r="P246" i="3"/>
  <c r="Q243" i="2"/>
  <c r="P243" i="3"/>
  <c r="Q242" i="2"/>
  <c r="P242" i="3"/>
  <c r="Q241" i="2"/>
  <c r="P241" i="3"/>
  <c r="Q240" i="2"/>
  <c r="P240" i="3"/>
  <c r="Q239" i="2"/>
  <c r="P239" i="3"/>
  <c r="Q237" i="2"/>
  <c r="P237" i="3"/>
  <c r="Q247" i="2"/>
  <c r="P247" i="3"/>
  <c r="Q232" i="2"/>
  <c r="P232" i="3"/>
  <c r="Q231" i="2"/>
  <c r="P231" i="3"/>
  <c r="Q230" i="2"/>
  <c r="P230" i="3"/>
  <c r="Q227" i="2"/>
  <c r="P227" i="3"/>
  <c r="Q229" i="2"/>
  <c r="P229" i="3"/>
  <c r="Q234" i="2"/>
  <c r="P234" i="3"/>
  <c r="Q225" i="2"/>
  <c r="P225" i="3"/>
  <c r="W224" i="1"/>
  <c r="A166" i="2" l="1"/>
  <c r="L153" i="2"/>
  <c r="L154" i="2"/>
  <c r="L28" i="2"/>
  <c r="N28" i="2"/>
  <c r="O28" i="2" s="1"/>
  <c r="Q28" i="2" s="1"/>
  <c r="I28" i="3"/>
  <c r="H28" i="3"/>
  <c r="F28" i="3"/>
  <c r="C28" i="3"/>
  <c r="A28" i="3"/>
  <c r="I27" i="3"/>
  <c r="H27" i="3"/>
  <c r="F27" i="3"/>
  <c r="C27" i="3"/>
  <c r="A27" i="3"/>
  <c r="A28" i="2"/>
  <c r="B28" i="2"/>
  <c r="B28" i="3" s="1"/>
  <c r="C28" i="2"/>
  <c r="D28" i="2"/>
  <c r="E28" i="2"/>
  <c r="F28" i="2"/>
  <c r="G28" i="2"/>
  <c r="H28" i="2"/>
  <c r="I28" i="2"/>
  <c r="K28" i="3"/>
  <c r="U28" i="3" s="1"/>
  <c r="W28" i="3"/>
  <c r="W28" i="1"/>
  <c r="E28" i="3" l="1"/>
  <c r="G28" i="3" s="1"/>
  <c r="I25" i="3" l="1"/>
  <c r="I26" i="3"/>
  <c r="F25" i="3"/>
  <c r="F26" i="3"/>
  <c r="I27" i="2" l="1"/>
  <c r="L27" i="2"/>
  <c r="E27" i="3" s="1"/>
  <c r="G27" i="3" s="1"/>
  <c r="L26" i="2"/>
  <c r="L25" i="2"/>
  <c r="E25" i="3" s="1"/>
  <c r="H27" i="2"/>
  <c r="G27" i="2"/>
  <c r="F27" i="2"/>
  <c r="E27" i="2"/>
  <c r="D27" i="2"/>
  <c r="C27" i="2"/>
  <c r="B27" i="2"/>
  <c r="B27" i="3" s="1"/>
  <c r="I26" i="2"/>
  <c r="H26" i="2"/>
  <c r="G26" i="2"/>
  <c r="F26" i="2"/>
  <c r="E26" i="2"/>
  <c r="D26" i="2"/>
  <c r="C26" i="2"/>
  <c r="B26" i="2"/>
  <c r="B26" i="3" s="1"/>
  <c r="I25" i="2"/>
  <c r="H25" i="2"/>
  <c r="G25" i="2"/>
  <c r="F25" i="2"/>
  <c r="E25" i="2"/>
  <c r="D25" i="2"/>
  <c r="C25" i="2"/>
  <c r="B25" i="2"/>
  <c r="B25" i="3" s="1"/>
  <c r="A27" i="2"/>
  <c r="A26" i="2"/>
  <c r="A25" i="2"/>
  <c r="A26" i="3"/>
  <c r="A25" i="3"/>
  <c r="E26" i="3" l="1"/>
  <c r="G26" i="3" s="1"/>
  <c r="N26" i="2"/>
  <c r="O26" i="2" s="1"/>
  <c r="Q26" i="2" s="1"/>
  <c r="N25" i="2"/>
  <c r="O25" i="2" s="1"/>
  <c r="Q25" i="2" s="1"/>
  <c r="N27" i="2"/>
  <c r="O27" i="2" s="1"/>
  <c r="W27" i="3"/>
  <c r="K27" i="3"/>
  <c r="U27" i="3" s="1"/>
  <c r="W26" i="3"/>
  <c r="K26" i="3"/>
  <c r="U26" i="3" s="1"/>
  <c r="H26" i="3"/>
  <c r="C26" i="3"/>
  <c r="C25" i="3"/>
  <c r="G25" i="3"/>
  <c r="H25" i="3"/>
  <c r="K25" i="3"/>
  <c r="U25" i="3" s="1"/>
  <c r="W25" i="3"/>
  <c r="W27" i="1"/>
  <c r="W26" i="1"/>
  <c r="W25" i="1"/>
  <c r="U176" i="3"/>
  <c r="N223" i="3" l="1"/>
  <c r="U34" i="3" l="1"/>
  <c r="L34" i="3" l="1"/>
  <c r="R34" i="3"/>
  <c r="N175" i="3"/>
  <c r="N174" i="3"/>
  <c r="N172" i="3"/>
  <c r="N171" i="3"/>
  <c r="N170" i="3"/>
  <c r="N169" i="3"/>
  <c r="N165" i="3"/>
  <c r="N54" i="3" l="1"/>
  <c r="N15" i="3"/>
  <c r="L219" i="2" l="1"/>
  <c r="L218" i="2"/>
  <c r="L216" i="2"/>
  <c r="L215" i="2"/>
  <c r="L214" i="2"/>
  <c r="L213" i="2"/>
  <c r="L205" i="2"/>
  <c r="L204" i="2"/>
  <c r="N209" i="2"/>
  <c r="L208" i="2"/>
  <c r="N208" i="2" s="1"/>
  <c r="O208" i="2" s="1"/>
  <c r="L207" i="2"/>
  <c r="N207" i="2" s="1"/>
  <c r="O207" i="2" s="1"/>
  <c r="L206" i="2"/>
  <c r="N206" i="2" s="1"/>
  <c r="O206" i="2" s="1"/>
  <c r="L203" i="2"/>
  <c r="L201" i="2"/>
  <c r="L198" i="2"/>
  <c r="L196" i="2"/>
  <c r="N196" i="2" s="1"/>
  <c r="O196" i="2" s="1"/>
  <c r="L195" i="2"/>
  <c r="N195" i="2" s="1"/>
  <c r="O195" i="2" s="1"/>
  <c r="L193" i="2"/>
  <c r="N193" i="2" s="1"/>
  <c r="O193" i="2" s="1"/>
  <c r="N194" i="2"/>
  <c r="L191" i="2"/>
  <c r="L192" i="2"/>
  <c r="L189" i="2"/>
  <c r="L188" i="2"/>
  <c r="N188" i="2" s="1"/>
  <c r="O188" i="2" s="1"/>
  <c r="L187" i="2"/>
  <c r="L186" i="2"/>
  <c r="L185" i="2"/>
  <c r="L184" i="2"/>
  <c r="N184" i="2" s="1"/>
  <c r="O184" i="2" s="1"/>
  <c r="L183" i="2"/>
  <c r="L182" i="2"/>
  <c r="L180" i="2"/>
  <c r="L179" i="2"/>
  <c r="O217" i="2"/>
  <c r="O220" i="2"/>
  <c r="O221" i="2"/>
  <c r="H178" i="2"/>
  <c r="I178" i="2"/>
  <c r="H179" i="2"/>
  <c r="I179" i="2"/>
  <c r="H180" i="2"/>
  <c r="I180" i="2"/>
  <c r="H181" i="2"/>
  <c r="I181" i="2"/>
  <c r="H182" i="2"/>
  <c r="I182" i="2"/>
  <c r="H183" i="2"/>
  <c r="I183" i="2"/>
  <c r="H184" i="2"/>
  <c r="I184" i="2"/>
  <c r="H185" i="2"/>
  <c r="I185" i="2"/>
  <c r="H186" i="2"/>
  <c r="I186" i="2"/>
  <c r="H187" i="2"/>
  <c r="I187" i="2"/>
  <c r="H188" i="2"/>
  <c r="I188" i="2"/>
  <c r="H189" i="2"/>
  <c r="I189" i="2"/>
  <c r="H190" i="2"/>
  <c r="I190" i="2"/>
  <c r="H191" i="2"/>
  <c r="I191" i="2"/>
  <c r="H192" i="2"/>
  <c r="I192" i="2"/>
  <c r="H193" i="2"/>
  <c r="I193" i="2"/>
  <c r="H194" i="2"/>
  <c r="I194" i="2"/>
  <c r="H195" i="2"/>
  <c r="I195" i="2"/>
  <c r="H196" i="2"/>
  <c r="I196" i="2"/>
  <c r="H197" i="2"/>
  <c r="I197" i="2"/>
  <c r="H198" i="2"/>
  <c r="I198" i="2"/>
  <c r="H199" i="2"/>
  <c r="I199" i="2"/>
  <c r="H200" i="2"/>
  <c r="I200" i="2"/>
  <c r="H201" i="2"/>
  <c r="I201" i="2"/>
  <c r="H202" i="2"/>
  <c r="I202" i="2"/>
  <c r="H203" i="2"/>
  <c r="I203" i="2"/>
  <c r="H204" i="2"/>
  <c r="I204" i="2"/>
  <c r="H205" i="2"/>
  <c r="I205" i="2"/>
  <c r="H206" i="2"/>
  <c r="I206" i="2"/>
  <c r="H207" i="2"/>
  <c r="I207" i="2"/>
  <c r="H208" i="2"/>
  <c r="I208" i="2"/>
  <c r="H209" i="2"/>
  <c r="I209" i="2"/>
  <c r="H210" i="2"/>
  <c r="I210" i="2"/>
  <c r="H211" i="2"/>
  <c r="I211" i="2"/>
  <c r="H212" i="2"/>
  <c r="I212" i="2"/>
  <c r="H213" i="2"/>
  <c r="I213" i="2"/>
  <c r="H214" i="2"/>
  <c r="I214" i="2"/>
  <c r="H215" i="2"/>
  <c r="I215" i="2"/>
  <c r="H216" i="2"/>
  <c r="I216" i="2"/>
  <c r="H217" i="2"/>
  <c r="I217" i="2"/>
  <c r="H218" i="2"/>
  <c r="I218" i="2"/>
  <c r="H219" i="2"/>
  <c r="I219" i="2"/>
  <c r="H220" i="2"/>
  <c r="I220" i="2"/>
  <c r="H221" i="2"/>
  <c r="I221"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N163" i="2" l="1"/>
  <c r="N179" i="2"/>
  <c r="O179" i="2" s="1"/>
  <c r="L178" i="2"/>
  <c r="L177" i="2"/>
  <c r="E177" i="3" s="1"/>
  <c r="L176" i="2"/>
  <c r="L175" i="2"/>
  <c r="L174" i="2"/>
  <c r="L173" i="2"/>
  <c r="L171" i="2"/>
  <c r="L170" i="2"/>
  <c r="L169" i="2"/>
  <c r="L168" i="2"/>
  <c r="L167" i="2"/>
  <c r="N167" i="2" s="1"/>
  <c r="O167" i="2" s="1"/>
  <c r="L166" i="2"/>
  <c r="L165" i="2"/>
  <c r="Q179" i="2"/>
  <c r="Q184" i="2"/>
  <c r="Q188" i="2"/>
  <c r="Q193" i="2"/>
  <c r="Q194" i="2"/>
  <c r="Q196" i="2"/>
  <c r="Q202" i="2"/>
  <c r="Q206" i="2"/>
  <c r="Q207" i="2"/>
  <c r="Q208" i="2"/>
  <c r="Q209" i="2"/>
  <c r="Q212" i="2"/>
  <c r="Q217" i="2"/>
  <c r="Q220" i="2"/>
  <c r="Q221" i="2"/>
  <c r="Q222" i="2"/>
  <c r="Q163" i="2"/>
  <c r="O164" i="3"/>
  <c r="Q164" i="3"/>
  <c r="U164" i="3"/>
  <c r="L164" i="3" s="1"/>
  <c r="O165" i="3"/>
  <c r="U165" i="3" s="1"/>
  <c r="Q165" i="3"/>
  <c r="O166" i="3"/>
  <c r="N166" i="3" s="1"/>
  <c r="U166" i="3" s="1"/>
  <c r="L166" i="3" s="1"/>
  <c r="Q166" i="3"/>
  <c r="O167" i="3"/>
  <c r="Q167" i="3"/>
  <c r="U167" i="3"/>
  <c r="L167" i="3" s="1"/>
  <c r="O168" i="3"/>
  <c r="N168" i="3" s="1"/>
  <c r="U168" i="3" s="1"/>
  <c r="L168" i="3" s="1"/>
  <c r="Q168" i="3"/>
  <c r="O169" i="3"/>
  <c r="Q169" i="3"/>
  <c r="U169" i="3"/>
  <c r="O170" i="3"/>
  <c r="Q170" i="3"/>
  <c r="U170" i="3"/>
  <c r="O171" i="3"/>
  <c r="Q171" i="3"/>
  <c r="U171" i="3"/>
  <c r="O172" i="3"/>
  <c r="Q172" i="3"/>
  <c r="U172" i="3"/>
  <c r="O173" i="3"/>
  <c r="U173" i="3" s="1"/>
  <c r="L173" i="3" s="1"/>
  <c r="Q173" i="3"/>
  <c r="O174" i="3"/>
  <c r="Q174" i="3"/>
  <c r="U174" i="3"/>
  <c r="O175" i="3"/>
  <c r="Q175" i="3"/>
  <c r="U175" i="3"/>
  <c r="O176" i="3"/>
  <c r="Q176" i="3"/>
  <c r="L176" i="3"/>
  <c r="O177" i="3"/>
  <c r="N177" i="3" s="1"/>
  <c r="U177" i="3" s="1"/>
  <c r="L177" i="3" s="1"/>
  <c r="Q177" i="3"/>
  <c r="O178" i="3"/>
  <c r="N178" i="3" s="1"/>
  <c r="Q178" i="3"/>
  <c r="O179" i="3"/>
  <c r="N179" i="3" s="1"/>
  <c r="U179" i="3" s="1"/>
  <c r="L179" i="3" s="1"/>
  <c r="Q179" i="3"/>
  <c r="O180" i="3"/>
  <c r="N180" i="3" s="1"/>
  <c r="U180" i="3" s="1"/>
  <c r="L180" i="3" s="1"/>
  <c r="Q180" i="3"/>
  <c r="O181" i="3"/>
  <c r="N181" i="3" s="1"/>
  <c r="U181" i="3" s="1"/>
  <c r="L181" i="3" s="1"/>
  <c r="Q181" i="3"/>
  <c r="O182" i="3"/>
  <c r="N182" i="3" s="1"/>
  <c r="U182" i="3" s="1"/>
  <c r="L182" i="3" s="1"/>
  <c r="Q182" i="3"/>
  <c r="O183" i="3"/>
  <c r="N183" i="3" s="1"/>
  <c r="U183" i="3" s="1"/>
  <c r="L183" i="3" s="1"/>
  <c r="Q183" i="3"/>
  <c r="O184" i="3"/>
  <c r="N184" i="3" s="1"/>
  <c r="U184" i="3" s="1"/>
  <c r="L184" i="3" s="1"/>
  <c r="Q184" i="3"/>
  <c r="O185" i="3"/>
  <c r="N185" i="3" s="1"/>
  <c r="U185" i="3" s="1"/>
  <c r="L185" i="3" s="1"/>
  <c r="Q185" i="3"/>
  <c r="O186" i="3"/>
  <c r="N186" i="3" s="1"/>
  <c r="U186" i="3" s="1"/>
  <c r="L186" i="3" s="1"/>
  <c r="Q186" i="3"/>
  <c r="O187" i="3"/>
  <c r="N187" i="3" s="1"/>
  <c r="U187" i="3" s="1"/>
  <c r="L187" i="3" s="1"/>
  <c r="Q187" i="3"/>
  <c r="O188" i="3"/>
  <c r="N188" i="3" s="1"/>
  <c r="U188" i="3" s="1"/>
  <c r="L188" i="3" s="1"/>
  <c r="Q188" i="3"/>
  <c r="O189" i="3"/>
  <c r="N189" i="3" s="1"/>
  <c r="U189" i="3" s="1"/>
  <c r="L189" i="3" s="1"/>
  <c r="Q189" i="3"/>
  <c r="O190" i="3"/>
  <c r="N190" i="3" s="1"/>
  <c r="U190" i="3" s="1"/>
  <c r="L190" i="3" s="1"/>
  <c r="Q190" i="3"/>
  <c r="O191" i="3"/>
  <c r="N191" i="3" s="1"/>
  <c r="U191" i="3" s="1"/>
  <c r="L191" i="3" s="1"/>
  <c r="Q191" i="3"/>
  <c r="O192" i="3"/>
  <c r="N192" i="3" s="1"/>
  <c r="U192" i="3" s="1"/>
  <c r="L192" i="3" s="1"/>
  <c r="Q192" i="3"/>
  <c r="O193" i="3"/>
  <c r="N193" i="3" s="1"/>
  <c r="U193" i="3" s="1"/>
  <c r="L193" i="3" s="1"/>
  <c r="Q193" i="3"/>
  <c r="O194" i="3"/>
  <c r="N194" i="3" s="1"/>
  <c r="U194" i="3" s="1"/>
  <c r="L194" i="3" s="1"/>
  <c r="P194" i="3"/>
  <c r="Q194" i="3"/>
  <c r="O195" i="3"/>
  <c r="N195" i="3" s="1"/>
  <c r="U195" i="3" s="1"/>
  <c r="L195" i="3" s="1"/>
  <c r="Q195" i="3"/>
  <c r="O196" i="3"/>
  <c r="N196" i="3" s="1"/>
  <c r="U196" i="3" s="1"/>
  <c r="L196" i="3" s="1"/>
  <c r="Q196" i="3"/>
  <c r="O197" i="3"/>
  <c r="N197" i="3" s="1"/>
  <c r="U197" i="3" s="1"/>
  <c r="L197" i="3" s="1"/>
  <c r="Q197" i="3"/>
  <c r="O198" i="3"/>
  <c r="N198" i="3" s="1"/>
  <c r="U198" i="3" s="1"/>
  <c r="L198" i="3" s="1"/>
  <c r="Q198" i="3"/>
  <c r="O199" i="3"/>
  <c r="N199" i="3" s="1"/>
  <c r="U199" i="3" s="1"/>
  <c r="L199" i="3" s="1"/>
  <c r="Q199" i="3"/>
  <c r="O200" i="3"/>
  <c r="N200" i="3" s="1"/>
  <c r="U200" i="3" s="1"/>
  <c r="L200" i="3" s="1"/>
  <c r="Q200" i="3"/>
  <c r="O201" i="3"/>
  <c r="N201" i="3" s="1"/>
  <c r="U201" i="3" s="1"/>
  <c r="L201" i="3" s="1"/>
  <c r="Q201" i="3"/>
  <c r="O202" i="3"/>
  <c r="N202" i="3" s="1"/>
  <c r="U202" i="3" s="1"/>
  <c r="L202" i="3" s="1"/>
  <c r="Q202" i="3"/>
  <c r="O203" i="3"/>
  <c r="N203" i="3" s="1"/>
  <c r="U203" i="3" s="1"/>
  <c r="L203" i="3" s="1"/>
  <c r="Q203" i="3"/>
  <c r="O204" i="3"/>
  <c r="N204" i="3" s="1"/>
  <c r="U204" i="3" s="1"/>
  <c r="L204" i="3" s="1"/>
  <c r="Q204" i="3"/>
  <c r="O205" i="3"/>
  <c r="N205" i="3" s="1"/>
  <c r="U205" i="3" s="1"/>
  <c r="L205" i="3" s="1"/>
  <c r="Q205" i="3"/>
  <c r="O206" i="3"/>
  <c r="N206" i="3" s="1"/>
  <c r="U206" i="3" s="1"/>
  <c r="L206" i="3" s="1"/>
  <c r="Q206" i="3"/>
  <c r="O207" i="3"/>
  <c r="N207" i="3" s="1"/>
  <c r="U207" i="3" s="1"/>
  <c r="L207" i="3" s="1"/>
  <c r="P207" i="3"/>
  <c r="Q207" i="3"/>
  <c r="O208" i="3"/>
  <c r="N208" i="3" s="1"/>
  <c r="U208" i="3" s="1"/>
  <c r="L208" i="3" s="1"/>
  <c r="P208" i="3"/>
  <c r="Q208" i="3"/>
  <c r="O209" i="3"/>
  <c r="N209" i="3" s="1"/>
  <c r="U209" i="3" s="1"/>
  <c r="L209" i="3" s="1"/>
  <c r="Q209" i="3"/>
  <c r="O210" i="3"/>
  <c r="N210" i="3" s="1"/>
  <c r="U210" i="3" s="1"/>
  <c r="L210" i="3" s="1"/>
  <c r="Q210" i="3"/>
  <c r="O211" i="3"/>
  <c r="N211" i="3" s="1"/>
  <c r="U211" i="3" s="1"/>
  <c r="L211" i="3" s="1"/>
  <c r="Q211" i="3"/>
  <c r="O212" i="3"/>
  <c r="N212" i="3" s="1"/>
  <c r="U212" i="3" s="1"/>
  <c r="L212" i="3" s="1"/>
  <c r="Q212" i="3"/>
  <c r="O213" i="3"/>
  <c r="N213" i="3" s="1"/>
  <c r="U213" i="3" s="1"/>
  <c r="L213" i="3" s="1"/>
  <c r="Q213" i="3"/>
  <c r="O214" i="3"/>
  <c r="N214" i="3" s="1"/>
  <c r="U214" i="3" s="1"/>
  <c r="L214" i="3" s="1"/>
  <c r="Q214" i="3"/>
  <c r="O215" i="3"/>
  <c r="N215" i="3" s="1"/>
  <c r="U215" i="3" s="1"/>
  <c r="L215" i="3" s="1"/>
  <c r="Q215" i="3"/>
  <c r="O216" i="3"/>
  <c r="N216" i="3" s="1"/>
  <c r="U216" i="3" s="1"/>
  <c r="L216" i="3" s="1"/>
  <c r="Q216" i="3"/>
  <c r="O217" i="3"/>
  <c r="N217" i="3" s="1"/>
  <c r="U217" i="3" s="1"/>
  <c r="L217" i="3" s="1"/>
  <c r="Q217" i="3"/>
  <c r="O218" i="3"/>
  <c r="N218" i="3" s="1"/>
  <c r="U218" i="3" s="1"/>
  <c r="L218" i="3" s="1"/>
  <c r="Q218" i="3"/>
  <c r="O219" i="3"/>
  <c r="N219" i="3" s="1"/>
  <c r="U219" i="3" s="1"/>
  <c r="L219" i="3" s="1"/>
  <c r="Q219" i="3"/>
  <c r="O220" i="3"/>
  <c r="N220" i="3" s="1"/>
  <c r="U220" i="3" s="1"/>
  <c r="L220" i="3" s="1"/>
  <c r="Q220" i="3"/>
  <c r="O221" i="3"/>
  <c r="N221" i="3" s="1"/>
  <c r="U221" i="3" s="1"/>
  <c r="L221" i="3" s="1"/>
  <c r="P221" i="3"/>
  <c r="Q221" i="3"/>
  <c r="O222" i="3"/>
  <c r="N222" i="3" s="1"/>
  <c r="U222" i="3" s="1"/>
  <c r="L222" i="3" s="1"/>
  <c r="P222" i="3"/>
  <c r="Q222" i="3"/>
  <c r="S222" i="3"/>
  <c r="T222" i="3"/>
  <c r="O223" i="3"/>
  <c r="U223" i="3" s="1"/>
  <c r="Q223" i="3"/>
  <c r="Q163" i="3"/>
  <c r="O163" i="3"/>
  <c r="F164" i="3"/>
  <c r="H164" i="3"/>
  <c r="I164" i="3"/>
  <c r="F165" i="3"/>
  <c r="H165" i="3"/>
  <c r="I165" i="3"/>
  <c r="F166" i="3"/>
  <c r="H166" i="3"/>
  <c r="I166" i="3"/>
  <c r="F167" i="3"/>
  <c r="H167" i="3"/>
  <c r="I167" i="3"/>
  <c r="F168" i="3"/>
  <c r="H168" i="3"/>
  <c r="I168" i="3"/>
  <c r="F169" i="3"/>
  <c r="H169" i="3"/>
  <c r="I169" i="3"/>
  <c r="E170" i="3"/>
  <c r="F170" i="3"/>
  <c r="H170" i="3"/>
  <c r="I170" i="3"/>
  <c r="E171" i="3"/>
  <c r="F171" i="3"/>
  <c r="H171" i="3"/>
  <c r="I171" i="3"/>
  <c r="F172" i="3"/>
  <c r="H172" i="3"/>
  <c r="I172" i="3"/>
  <c r="F173" i="3"/>
  <c r="H173" i="3"/>
  <c r="I173" i="3"/>
  <c r="F174" i="3"/>
  <c r="H174" i="3"/>
  <c r="I174" i="3"/>
  <c r="F175" i="3"/>
  <c r="H175" i="3"/>
  <c r="I175" i="3"/>
  <c r="F176" i="3"/>
  <c r="H176" i="3"/>
  <c r="I176" i="3"/>
  <c r="F177" i="3"/>
  <c r="H177" i="3"/>
  <c r="I177" i="3"/>
  <c r="F178" i="3"/>
  <c r="H178" i="3"/>
  <c r="I178" i="3"/>
  <c r="E179" i="3"/>
  <c r="F179" i="3"/>
  <c r="H179" i="3"/>
  <c r="I179" i="3"/>
  <c r="E180" i="3"/>
  <c r="F180" i="3"/>
  <c r="H180" i="3"/>
  <c r="I180" i="3"/>
  <c r="E181" i="3"/>
  <c r="F181" i="3"/>
  <c r="H181" i="3"/>
  <c r="I181" i="3"/>
  <c r="E182" i="3"/>
  <c r="F182" i="3"/>
  <c r="H182" i="3"/>
  <c r="I182" i="3"/>
  <c r="E183" i="3"/>
  <c r="F183" i="3"/>
  <c r="H183" i="3"/>
  <c r="I183" i="3"/>
  <c r="E184" i="3"/>
  <c r="F184" i="3"/>
  <c r="H184" i="3"/>
  <c r="I184" i="3"/>
  <c r="E185" i="3"/>
  <c r="F185" i="3"/>
  <c r="H185" i="3"/>
  <c r="I185" i="3"/>
  <c r="E186" i="3"/>
  <c r="F186" i="3"/>
  <c r="H186" i="3"/>
  <c r="I186" i="3"/>
  <c r="E187" i="3"/>
  <c r="F187" i="3"/>
  <c r="H187" i="3"/>
  <c r="I187" i="3"/>
  <c r="E188" i="3"/>
  <c r="F188" i="3"/>
  <c r="H188" i="3"/>
  <c r="I188" i="3"/>
  <c r="E189" i="3"/>
  <c r="F189" i="3"/>
  <c r="H189" i="3"/>
  <c r="I189" i="3"/>
  <c r="E190" i="3"/>
  <c r="F190" i="3"/>
  <c r="H190" i="3"/>
  <c r="I190" i="3"/>
  <c r="E191" i="3"/>
  <c r="F191" i="3"/>
  <c r="H191" i="3"/>
  <c r="I191" i="3"/>
  <c r="E192" i="3"/>
  <c r="F192" i="3"/>
  <c r="H192" i="3"/>
  <c r="I192" i="3"/>
  <c r="E193" i="3"/>
  <c r="F193" i="3"/>
  <c r="H193" i="3"/>
  <c r="I193" i="3"/>
  <c r="E194" i="3"/>
  <c r="F194" i="3"/>
  <c r="H194" i="3"/>
  <c r="I194" i="3"/>
  <c r="E195" i="3"/>
  <c r="F195" i="3"/>
  <c r="H195" i="3"/>
  <c r="I195" i="3"/>
  <c r="E196" i="3"/>
  <c r="F196" i="3"/>
  <c r="H196" i="3"/>
  <c r="I196" i="3"/>
  <c r="E197" i="3"/>
  <c r="F197" i="3"/>
  <c r="H197" i="3"/>
  <c r="I197" i="3"/>
  <c r="E198" i="3"/>
  <c r="F198" i="3"/>
  <c r="H198" i="3"/>
  <c r="I198" i="3"/>
  <c r="E199" i="3"/>
  <c r="F199" i="3"/>
  <c r="H199" i="3"/>
  <c r="I199" i="3"/>
  <c r="E200" i="3"/>
  <c r="F200" i="3"/>
  <c r="H200" i="3"/>
  <c r="I200" i="3"/>
  <c r="E201" i="3"/>
  <c r="F201" i="3"/>
  <c r="H201" i="3"/>
  <c r="I201" i="3"/>
  <c r="E202" i="3"/>
  <c r="F202" i="3"/>
  <c r="H202" i="3"/>
  <c r="I202" i="3"/>
  <c r="E203" i="3"/>
  <c r="F203" i="3"/>
  <c r="H203" i="3"/>
  <c r="I203" i="3"/>
  <c r="E204" i="3"/>
  <c r="F204" i="3"/>
  <c r="H204" i="3"/>
  <c r="I204" i="3"/>
  <c r="E205" i="3"/>
  <c r="F205" i="3"/>
  <c r="H205" i="3"/>
  <c r="I205" i="3"/>
  <c r="E206" i="3"/>
  <c r="F206" i="3"/>
  <c r="H206" i="3"/>
  <c r="I206" i="3"/>
  <c r="E207" i="3"/>
  <c r="F207" i="3"/>
  <c r="H207" i="3"/>
  <c r="I207" i="3"/>
  <c r="E208" i="3"/>
  <c r="F208" i="3"/>
  <c r="H208" i="3"/>
  <c r="I208" i="3"/>
  <c r="E209" i="3"/>
  <c r="F209" i="3"/>
  <c r="H209" i="3"/>
  <c r="I209" i="3"/>
  <c r="E210" i="3"/>
  <c r="F210" i="3"/>
  <c r="H210" i="3"/>
  <c r="I210" i="3"/>
  <c r="E211" i="3"/>
  <c r="F211" i="3"/>
  <c r="H211" i="3"/>
  <c r="I211" i="3"/>
  <c r="E212" i="3"/>
  <c r="F212" i="3"/>
  <c r="H212" i="3"/>
  <c r="I212" i="3"/>
  <c r="E213" i="3"/>
  <c r="F213" i="3"/>
  <c r="H213" i="3"/>
  <c r="I213" i="3"/>
  <c r="E214" i="3"/>
  <c r="F214" i="3"/>
  <c r="H214" i="3"/>
  <c r="I214" i="3"/>
  <c r="E215" i="3"/>
  <c r="F215" i="3"/>
  <c r="H215" i="3"/>
  <c r="I215" i="3"/>
  <c r="E216" i="3"/>
  <c r="F216" i="3"/>
  <c r="H216" i="3"/>
  <c r="I216" i="3"/>
  <c r="E217" i="3"/>
  <c r="F217" i="3"/>
  <c r="H217" i="3"/>
  <c r="I217" i="3"/>
  <c r="E218" i="3"/>
  <c r="F218" i="3"/>
  <c r="H218" i="3"/>
  <c r="I218" i="3"/>
  <c r="E219" i="3"/>
  <c r="F219" i="3"/>
  <c r="H219" i="3"/>
  <c r="I219" i="3"/>
  <c r="E220" i="3"/>
  <c r="F220" i="3"/>
  <c r="H220" i="3"/>
  <c r="I220" i="3"/>
  <c r="E221" i="3"/>
  <c r="F221" i="3"/>
  <c r="H221" i="3"/>
  <c r="I221" i="3"/>
  <c r="E222" i="3"/>
  <c r="F222" i="3"/>
  <c r="H222" i="3"/>
  <c r="I222" i="3"/>
  <c r="H223" i="3"/>
  <c r="I223" i="3"/>
  <c r="I163" i="3"/>
  <c r="H163" i="3"/>
  <c r="F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163" i="3"/>
  <c r="C211" i="3"/>
  <c r="C212" i="3"/>
  <c r="C213" i="3"/>
  <c r="C214" i="3"/>
  <c r="C215" i="3"/>
  <c r="C216" i="3"/>
  <c r="C217" i="3"/>
  <c r="C218" i="3"/>
  <c r="C219" i="3"/>
  <c r="C220" i="3"/>
  <c r="C221" i="3"/>
  <c r="C222" i="3"/>
  <c r="C223" i="3"/>
  <c r="W211" i="3"/>
  <c r="W212" i="3"/>
  <c r="W213" i="3"/>
  <c r="W214" i="3"/>
  <c r="W215" i="3"/>
  <c r="W216" i="3"/>
  <c r="W217" i="3"/>
  <c r="W218" i="3"/>
  <c r="W219" i="3"/>
  <c r="W220" i="3"/>
  <c r="W221" i="3"/>
  <c r="W222" i="3"/>
  <c r="A211" i="3"/>
  <c r="A212" i="3"/>
  <c r="A213" i="3"/>
  <c r="A214" i="3"/>
  <c r="A215" i="3"/>
  <c r="A216" i="3"/>
  <c r="A217" i="3"/>
  <c r="A218" i="3"/>
  <c r="A219" i="3"/>
  <c r="A220" i="3"/>
  <c r="A221" i="3"/>
  <c r="A222" i="3"/>
  <c r="A223"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C163" i="3"/>
  <c r="C164" i="3"/>
  <c r="C165" i="3"/>
  <c r="C166" i="3"/>
  <c r="C167" i="3"/>
  <c r="C168" i="3"/>
  <c r="C169" i="3"/>
  <c r="C170" i="3"/>
  <c r="C171" i="3"/>
  <c r="C172" i="3"/>
  <c r="W163" i="3"/>
  <c r="W164" i="3"/>
  <c r="W165" i="3"/>
  <c r="W166" i="3"/>
  <c r="W167" i="3"/>
  <c r="W168" i="3"/>
  <c r="W169" i="3"/>
  <c r="W170" i="3"/>
  <c r="W171" i="3"/>
  <c r="W172" i="3"/>
  <c r="A162" i="3"/>
  <c r="A163" i="3"/>
  <c r="A164" i="3"/>
  <c r="A165" i="3"/>
  <c r="A166" i="3"/>
  <c r="A167" i="3"/>
  <c r="A168" i="3"/>
  <c r="A169" i="3"/>
  <c r="A170" i="3"/>
  <c r="A171" i="3"/>
  <c r="A172" i="3"/>
  <c r="E167" i="2"/>
  <c r="E178" i="2"/>
  <c r="E167" i="3" l="1"/>
  <c r="E174" i="3"/>
  <c r="G174" i="3" s="1"/>
  <c r="E178" i="3"/>
  <c r="G178" i="3" s="1"/>
  <c r="E166" i="3"/>
  <c r="G166" i="3" s="1"/>
  <c r="E175" i="3"/>
  <c r="G175" i="3" s="1"/>
  <c r="E169" i="3"/>
  <c r="G169" i="3" s="1"/>
  <c r="E168" i="3"/>
  <c r="G168" i="3" s="1"/>
  <c r="E176" i="3"/>
  <c r="G176" i="3" s="1"/>
  <c r="E172" i="3"/>
  <c r="G172" i="3" s="1"/>
  <c r="E173" i="3"/>
  <c r="G173" i="3" s="1"/>
  <c r="G189" i="3"/>
  <c r="G170" i="3"/>
  <c r="G221" i="3"/>
  <c r="G213" i="3"/>
  <c r="G220" i="3"/>
  <c r="G218" i="3"/>
  <c r="G216" i="3"/>
  <c r="G214" i="3"/>
  <c r="G212" i="3"/>
  <c r="G204" i="3"/>
  <c r="G201" i="3"/>
  <c r="G219" i="3"/>
  <c r="G222" i="3"/>
  <c r="G199" i="3"/>
  <c r="G198" i="3"/>
  <c r="G196" i="3"/>
  <c r="G194" i="3"/>
  <c r="G192" i="3"/>
  <c r="G190" i="3"/>
  <c r="G193" i="3"/>
  <c r="G167" i="3"/>
  <c r="G197" i="3"/>
  <c r="G191" i="3"/>
  <c r="G171" i="3"/>
  <c r="G209" i="3"/>
  <c r="G207" i="3"/>
  <c r="G205" i="3"/>
  <c r="G188" i="3"/>
  <c r="G186" i="3"/>
  <c r="G184" i="3"/>
  <c r="G182" i="3"/>
  <c r="G180" i="3"/>
  <c r="Q167" i="2"/>
  <c r="G177" i="3"/>
  <c r="G210" i="3"/>
  <c r="G208" i="3"/>
  <c r="G206" i="3"/>
  <c r="G185" i="3"/>
  <c r="G183" i="3"/>
  <c r="G181" i="3"/>
  <c r="G217" i="3"/>
  <c r="G215" i="3"/>
  <c r="G202" i="3"/>
  <c r="G200" i="3"/>
  <c r="G195" i="3"/>
  <c r="G211" i="3"/>
  <c r="G187" i="3"/>
  <c r="G203" i="3"/>
  <c r="G179" i="3"/>
  <c r="E169" i="2" l="1"/>
  <c r="E164" i="2" l="1"/>
  <c r="F164" i="2"/>
  <c r="G164" i="2"/>
  <c r="E165" i="2"/>
  <c r="F165" i="2"/>
  <c r="G165" i="2"/>
  <c r="E166" i="2"/>
  <c r="F166" i="2"/>
  <c r="G166" i="2"/>
  <c r="F167" i="2"/>
  <c r="G167" i="2"/>
  <c r="E168" i="2"/>
  <c r="F168" i="2"/>
  <c r="G168" i="2"/>
  <c r="F169" i="2"/>
  <c r="G169" i="2"/>
  <c r="E170" i="2"/>
  <c r="F170" i="2"/>
  <c r="G170" i="2"/>
  <c r="E171" i="2"/>
  <c r="F171" i="2"/>
  <c r="G171" i="2"/>
  <c r="E172" i="2"/>
  <c r="F172" i="2"/>
  <c r="G172" i="2"/>
  <c r="E173" i="2"/>
  <c r="F173" i="2"/>
  <c r="G173" i="2"/>
  <c r="E174" i="2"/>
  <c r="F174" i="2"/>
  <c r="G174" i="2"/>
  <c r="E175" i="2"/>
  <c r="F175" i="2"/>
  <c r="G175" i="2"/>
  <c r="E176" i="2"/>
  <c r="F176" i="2"/>
  <c r="G176" i="2"/>
  <c r="E177" i="2"/>
  <c r="F177" i="2"/>
  <c r="G177" i="2"/>
  <c r="E163" i="2"/>
  <c r="G163" i="2"/>
  <c r="F163" i="2"/>
  <c r="C164" i="2"/>
  <c r="C165" i="2"/>
  <c r="C166" i="2"/>
  <c r="C167" i="2"/>
  <c r="C168" i="2"/>
  <c r="C169" i="2"/>
  <c r="C170" i="2"/>
  <c r="C171" i="2"/>
  <c r="C172" i="2"/>
  <c r="C173" i="2"/>
  <c r="C174" i="2"/>
  <c r="C175" i="2"/>
  <c r="C176" i="2"/>
  <c r="C177" i="2"/>
  <c r="C163" i="2"/>
  <c r="B177" i="2"/>
  <c r="B176" i="2"/>
  <c r="B175" i="2"/>
  <c r="B174" i="2"/>
  <c r="B173" i="2"/>
  <c r="B172" i="2"/>
  <c r="B171" i="2"/>
  <c r="B170" i="2"/>
  <c r="B169" i="2"/>
  <c r="B168" i="2"/>
  <c r="B167" i="2"/>
  <c r="B166" i="2"/>
  <c r="B165" i="2"/>
  <c r="B164" i="2"/>
  <c r="B163" i="2"/>
  <c r="N173" i="2" l="1"/>
  <c r="O173" i="2" s="1"/>
  <c r="Q173" i="2" l="1"/>
  <c r="W55" i="1"/>
  <c r="N219" i="2" l="1"/>
  <c r="O219" i="2" s="1"/>
  <c r="P220" i="3" s="1"/>
  <c r="N218" i="2"/>
  <c r="O218" i="2" s="1"/>
  <c r="N216" i="2"/>
  <c r="O216" i="2" s="1"/>
  <c r="N215" i="2"/>
  <c r="O215" i="2" s="1"/>
  <c r="N214" i="2"/>
  <c r="O214" i="2" s="1"/>
  <c r="N213" i="2"/>
  <c r="O213" i="2" s="1"/>
  <c r="N211" i="2"/>
  <c r="O211" i="2" s="1"/>
  <c r="P209" i="3" s="1"/>
  <c r="N210" i="2"/>
  <c r="N205" i="2"/>
  <c r="O205" i="2" s="1"/>
  <c r="P206" i="3" s="1"/>
  <c r="N204" i="2"/>
  <c r="O204" i="2" s="1"/>
  <c r="N203" i="2"/>
  <c r="O203" i="2" s="1"/>
  <c r="N201" i="2"/>
  <c r="O201" i="2" s="1"/>
  <c r="N200" i="2"/>
  <c r="N199" i="2"/>
  <c r="N198" i="2"/>
  <c r="O198" i="2" s="1"/>
  <c r="P196" i="3" s="1"/>
  <c r="N197" i="2"/>
  <c r="N192" i="2"/>
  <c r="O192" i="2" s="1"/>
  <c r="P193" i="3" s="1"/>
  <c r="N191" i="2"/>
  <c r="O191" i="2" s="1"/>
  <c r="N190" i="2"/>
  <c r="N189" i="2"/>
  <c r="O189" i="2" s="1"/>
  <c r="P188" i="3" s="1"/>
  <c r="N187" i="2"/>
  <c r="O187" i="2" s="1"/>
  <c r="N186" i="2"/>
  <c r="O186" i="2" s="1"/>
  <c r="N185" i="2"/>
  <c r="O185" i="2" s="1"/>
  <c r="N183" i="2"/>
  <c r="O183" i="2" s="1"/>
  <c r="N182" i="2"/>
  <c r="O182" i="2" s="1"/>
  <c r="N181" i="2"/>
  <c r="N177" i="2"/>
  <c r="O177" i="2" s="1"/>
  <c r="N180" i="2"/>
  <c r="O180" i="2" s="1"/>
  <c r="P179" i="3" s="1"/>
  <c r="N178" i="2"/>
  <c r="O178" i="2" s="1"/>
  <c r="N176" i="2"/>
  <c r="O176" i="2" s="1"/>
  <c r="N175" i="2"/>
  <c r="O175" i="2" s="1"/>
  <c r="P173" i="3" s="1"/>
  <c r="N174" i="2"/>
  <c r="O174" i="2" s="1"/>
  <c r="N172" i="2"/>
  <c r="I172" i="2"/>
  <c r="I171" i="2"/>
  <c r="N171" i="2"/>
  <c r="O171" i="2" s="1"/>
  <c r="N170" i="2"/>
  <c r="O170" i="2" s="1"/>
  <c r="N169" i="2"/>
  <c r="O169" i="2" s="1"/>
  <c r="N168" i="2"/>
  <c r="O168" i="2" s="1"/>
  <c r="S206" i="3"/>
  <c r="S207" i="3"/>
  <c r="S208" i="3"/>
  <c r="S209" i="3"/>
  <c r="S210" i="3"/>
  <c r="S211" i="3"/>
  <c r="S212" i="3"/>
  <c r="S213" i="3"/>
  <c r="S214" i="3"/>
  <c r="S215" i="3"/>
  <c r="S216" i="3"/>
  <c r="S217" i="3"/>
  <c r="S218" i="3"/>
  <c r="S219" i="3"/>
  <c r="S220" i="3"/>
  <c r="S221" i="3"/>
  <c r="S223" i="3"/>
  <c r="N166" i="2"/>
  <c r="O166" i="2" s="1"/>
  <c r="N165" i="2"/>
  <c r="O165" i="2" s="1"/>
  <c r="L164" i="2"/>
  <c r="E163" i="3" l="1"/>
  <c r="G163" i="3" s="1"/>
  <c r="E165" i="3"/>
  <c r="G165" i="3" s="1"/>
  <c r="P202" i="3"/>
  <c r="P212" i="3"/>
  <c r="P167" i="3"/>
  <c r="P184" i="3"/>
  <c r="P217" i="3"/>
  <c r="N164" i="2"/>
  <c r="O164" i="2" s="1"/>
  <c r="Q164" i="2" s="1"/>
  <c r="E164" i="3"/>
  <c r="G164" i="3" s="1"/>
  <c r="G223" i="3"/>
  <c r="P223" i="3"/>
  <c r="P219" i="3"/>
  <c r="Q219" i="2"/>
  <c r="Q186" i="2"/>
  <c r="P186" i="3"/>
  <c r="P198" i="3"/>
  <c r="Q198" i="2"/>
  <c r="Q211" i="2"/>
  <c r="P211" i="3"/>
  <c r="P199" i="3"/>
  <c r="Q199" i="2"/>
  <c r="Q213" i="2"/>
  <c r="P213" i="3"/>
  <c r="Q189" i="2"/>
  <c r="P189" i="3"/>
  <c r="P200" i="3"/>
  <c r="Q200" i="2"/>
  <c r="P214" i="3"/>
  <c r="Q214" i="2"/>
  <c r="Q177" i="2"/>
  <c r="P177" i="3"/>
  <c r="P190" i="3"/>
  <c r="Q190" i="2"/>
  <c r="Q201" i="2"/>
  <c r="P201" i="3"/>
  <c r="P215" i="3"/>
  <c r="Q215" i="2"/>
  <c r="P178" i="3"/>
  <c r="Q181" i="2"/>
  <c r="P181" i="3"/>
  <c r="P191" i="3"/>
  <c r="Q191" i="2"/>
  <c r="Q203" i="2"/>
  <c r="P203" i="3"/>
  <c r="P216" i="3"/>
  <c r="Q216" i="2"/>
  <c r="Q187" i="2"/>
  <c r="P187" i="3"/>
  <c r="P182" i="3"/>
  <c r="Q182" i="2"/>
  <c r="P192" i="3"/>
  <c r="Q192" i="2"/>
  <c r="Q204" i="2"/>
  <c r="P204" i="3"/>
  <c r="Q218" i="2"/>
  <c r="P218" i="3"/>
  <c r="P183" i="3"/>
  <c r="Q183" i="2"/>
  <c r="Q195" i="2"/>
  <c r="P195" i="3"/>
  <c r="Q205" i="2"/>
  <c r="P205" i="3"/>
  <c r="Q180" i="2"/>
  <c r="P180" i="3"/>
  <c r="Q185" i="2"/>
  <c r="P185" i="3"/>
  <c r="Q197" i="2"/>
  <c r="P197" i="3"/>
  <c r="Q210" i="2"/>
  <c r="P210" i="3"/>
  <c r="P176" i="3"/>
  <c r="Q176" i="2"/>
  <c r="P175" i="3"/>
  <c r="Q175" i="2"/>
  <c r="Q174" i="2"/>
  <c r="P174" i="3"/>
  <c r="P172" i="3"/>
  <c r="Q172" i="2"/>
  <c r="Q171" i="2"/>
  <c r="P171" i="3"/>
  <c r="P170" i="3"/>
  <c r="Q170" i="2"/>
  <c r="Q169" i="2"/>
  <c r="P169" i="3"/>
  <c r="P168" i="3"/>
  <c r="Q168" i="2"/>
  <c r="Q166" i="2"/>
  <c r="P166" i="3"/>
  <c r="Q165" i="2"/>
  <c r="D219" i="2"/>
  <c r="D199" i="2"/>
  <c r="P165" i="3" l="1"/>
  <c r="P163" i="3"/>
  <c r="P164" i="3"/>
  <c r="D191" i="2"/>
  <c r="D189" i="2"/>
  <c r="D188" i="2"/>
  <c r="D184" i="2"/>
  <c r="D183" i="2"/>
  <c r="D177" i="2" l="1"/>
  <c r="D174" i="2"/>
  <c r="A222" i="2"/>
  <c r="T223" i="3"/>
  <c r="W223" i="1"/>
  <c r="W222" i="1"/>
  <c r="D212" i="2"/>
  <c r="T212" i="3"/>
  <c r="D213" i="2"/>
  <c r="T213" i="3"/>
  <c r="D214" i="2"/>
  <c r="T214" i="3"/>
  <c r="D215" i="2"/>
  <c r="T215" i="3"/>
  <c r="D216" i="2"/>
  <c r="T216" i="3"/>
  <c r="D217" i="2"/>
  <c r="T217" i="3"/>
  <c r="D218" i="2"/>
  <c r="T218" i="3"/>
  <c r="T219" i="3"/>
  <c r="D220" i="2"/>
  <c r="T220" i="3"/>
  <c r="D221" i="2"/>
  <c r="T221" i="3"/>
  <c r="D207" i="2"/>
  <c r="T207" i="3"/>
  <c r="D208" i="2"/>
  <c r="T208" i="3"/>
  <c r="D209" i="2"/>
  <c r="T209" i="3"/>
  <c r="D210" i="2"/>
  <c r="T210" i="3"/>
  <c r="D211" i="2"/>
  <c r="T211" i="3"/>
  <c r="D206" i="2"/>
  <c r="H164" i="2"/>
  <c r="I164" i="2"/>
  <c r="H165" i="2"/>
  <c r="S165" i="3" s="1"/>
  <c r="I165" i="2"/>
  <c r="H166" i="2"/>
  <c r="I166" i="2"/>
  <c r="H167" i="2"/>
  <c r="I167" i="2"/>
  <c r="H168" i="2"/>
  <c r="I168" i="2"/>
  <c r="H169" i="2"/>
  <c r="S169" i="3" s="1"/>
  <c r="I169" i="2"/>
  <c r="H170" i="2"/>
  <c r="I170" i="2"/>
  <c r="H171" i="2"/>
  <c r="H172" i="2"/>
  <c r="H173" i="2"/>
  <c r="I173" i="2"/>
  <c r="H174" i="2"/>
  <c r="S174" i="3" s="1"/>
  <c r="I174" i="2"/>
  <c r="H175" i="2"/>
  <c r="I175" i="2"/>
  <c r="H176" i="2"/>
  <c r="I176" i="2"/>
  <c r="H177" i="2"/>
  <c r="I177" i="2"/>
  <c r="S178" i="3"/>
  <c r="T178" i="3"/>
  <c r="S179" i="3"/>
  <c r="T179" i="3"/>
  <c r="S180" i="3"/>
  <c r="T180" i="3"/>
  <c r="S181" i="3"/>
  <c r="T181" i="3"/>
  <c r="S182" i="3"/>
  <c r="T182" i="3"/>
  <c r="S183" i="3"/>
  <c r="T183" i="3"/>
  <c r="S184" i="3"/>
  <c r="T184" i="3"/>
  <c r="S185" i="3"/>
  <c r="T185" i="3"/>
  <c r="S186" i="3"/>
  <c r="T186" i="3"/>
  <c r="S187" i="3"/>
  <c r="T187" i="3"/>
  <c r="S188" i="3"/>
  <c r="T188" i="3"/>
  <c r="S189" i="3"/>
  <c r="T189" i="3"/>
  <c r="S190" i="3"/>
  <c r="T190" i="3"/>
  <c r="S191" i="3"/>
  <c r="T191" i="3"/>
  <c r="S192" i="3"/>
  <c r="T192" i="3"/>
  <c r="S193" i="3"/>
  <c r="T193" i="3"/>
  <c r="S194" i="3"/>
  <c r="T194" i="3"/>
  <c r="S195" i="3"/>
  <c r="T195" i="3"/>
  <c r="S196" i="3"/>
  <c r="T196" i="3"/>
  <c r="S197" i="3"/>
  <c r="T197" i="3"/>
  <c r="S198" i="3"/>
  <c r="T198" i="3"/>
  <c r="S199" i="3"/>
  <c r="T199" i="3"/>
  <c r="S200" i="3"/>
  <c r="T200" i="3"/>
  <c r="S201" i="3"/>
  <c r="T201" i="3"/>
  <c r="S202" i="3"/>
  <c r="T202" i="3"/>
  <c r="S203" i="3"/>
  <c r="T203" i="3"/>
  <c r="S204" i="3"/>
  <c r="T204" i="3"/>
  <c r="S205" i="3"/>
  <c r="T205" i="3"/>
  <c r="T206" i="3"/>
  <c r="I163" i="2"/>
  <c r="T163" i="3" s="1"/>
  <c r="H163" i="2"/>
  <c r="T177" i="3" l="1"/>
  <c r="T170" i="3"/>
  <c r="T168" i="3"/>
  <c r="S177" i="3"/>
  <c r="S173" i="3"/>
  <c r="S168" i="3"/>
  <c r="T169" i="3"/>
  <c r="T165" i="3"/>
  <c r="T176" i="3"/>
  <c r="S176" i="3"/>
  <c r="S172" i="3"/>
  <c r="T167" i="3"/>
  <c r="S171" i="3"/>
  <c r="S167" i="3"/>
  <c r="T174" i="3"/>
  <c r="T172" i="3"/>
  <c r="T164" i="3"/>
  <c r="S164" i="3"/>
  <c r="T175" i="3"/>
  <c r="T166" i="3"/>
  <c r="T173" i="3"/>
  <c r="T171" i="3"/>
  <c r="S163" i="3"/>
  <c r="S175" i="3"/>
  <c r="S170" i="3"/>
  <c r="S166" i="3"/>
  <c r="W210" i="1"/>
  <c r="W211" i="1"/>
  <c r="W212" i="1"/>
  <c r="W175" i="1"/>
  <c r="W213" i="1"/>
  <c r="W214" i="1"/>
  <c r="W176" i="1"/>
  <c r="W177" i="1"/>
  <c r="W215" i="1"/>
  <c r="W216" i="1"/>
  <c r="W217" i="1"/>
  <c r="W218" i="1"/>
  <c r="M221" i="3" s="1"/>
  <c r="W219" i="1"/>
  <c r="W220" i="1"/>
  <c r="M223" i="3" s="1"/>
  <c r="W221" i="1"/>
  <c r="A164" i="2"/>
  <c r="D164" i="2"/>
  <c r="A165" i="2"/>
  <c r="D165" i="2"/>
  <c r="D166" i="2"/>
  <c r="A167" i="2"/>
  <c r="D167" i="2"/>
  <c r="A168" i="2"/>
  <c r="D168" i="2"/>
  <c r="A169" i="2"/>
  <c r="D169" i="2"/>
  <c r="A170" i="2"/>
  <c r="D170" i="2"/>
  <c r="A171" i="2"/>
  <c r="D171" i="2"/>
  <c r="D172" i="2"/>
  <c r="A173" i="2"/>
  <c r="D173" i="2"/>
  <c r="A174" i="2"/>
  <c r="A175" i="2"/>
  <c r="D175" i="2"/>
  <c r="A176" i="2"/>
  <c r="D176" i="2"/>
  <c r="A177" i="2"/>
  <c r="A178" i="2"/>
  <c r="D178" i="2"/>
  <c r="D179" i="2"/>
  <c r="D180" i="2"/>
  <c r="D181" i="2"/>
  <c r="D182" i="2"/>
  <c r="D185" i="2"/>
  <c r="D186" i="2"/>
  <c r="D187" i="2"/>
  <c r="D190" i="2"/>
  <c r="D192" i="2"/>
  <c r="D193" i="2"/>
  <c r="D194" i="2"/>
  <c r="D195" i="2"/>
  <c r="D196" i="2"/>
  <c r="D197" i="2"/>
  <c r="D198" i="2"/>
  <c r="D200" i="2"/>
  <c r="D201" i="2"/>
  <c r="D202" i="2"/>
  <c r="D203" i="2"/>
  <c r="D204" i="2"/>
  <c r="D205" i="2"/>
  <c r="D163" i="2"/>
  <c r="A163" i="2"/>
  <c r="W190" i="1"/>
  <c r="W191" i="1"/>
  <c r="W192" i="1"/>
  <c r="W193" i="1"/>
  <c r="W167" i="1"/>
  <c r="W194" i="1"/>
  <c r="M197" i="3" s="1"/>
  <c r="W195" i="1"/>
  <c r="W196" i="1"/>
  <c r="W168" i="1"/>
  <c r="W197" i="1"/>
  <c r="W169" i="1"/>
  <c r="W170" i="1"/>
  <c r="W198" i="1"/>
  <c r="M201" i="3" s="1"/>
  <c r="W171" i="1"/>
  <c r="W199" i="1"/>
  <c r="W200" i="1"/>
  <c r="W201" i="1"/>
  <c r="W202" i="1"/>
  <c r="W203" i="1"/>
  <c r="W204" i="1"/>
  <c r="W205" i="1"/>
  <c r="W206" i="1"/>
  <c r="W207" i="1"/>
  <c r="M210" i="3" s="1"/>
  <c r="W172" i="1"/>
  <c r="W208" i="1"/>
  <c r="M211" i="3" s="1"/>
  <c r="W173" i="1"/>
  <c r="M176" i="3" s="1"/>
  <c r="W174" i="1"/>
  <c r="M177" i="3" s="1"/>
  <c r="W209" i="1"/>
  <c r="M212" i="3" s="1"/>
  <c r="M209" i="3" l="1"/>
  <c r="M215" i="3"/>
  <c r="M206" i="3"/>
  <c r="M220" i="3"/>
  <c r="M194" i="3"/>
  <c r="M171" i="3"/>
  <c r="M205" i="3"/>
  <c r="M202" i="3"/>
  <c r="M208" i="3"/>
  <c r="M204" i="3"/>
  <c r="M170" i="3"/>
  <c r="M193" i="3"/>
  <c r="M219" i="3"/>
  <c r="M217" i="3"/>
  <c r="M214" i="3"/>
  <c r="M175" i="3"/>
  <c r="M207" i="3"/>
  <c r="M203" i="3"/>
  <c r="M173" i="3"/>
  <c r="M199" i="3"/>
  <c r="M196" i="3"/>
  <c r="M222" i="3"/>
  <c r="M218" i="3"/>
  <c r="M216" i="3"/>
  <c r="M213" i="3"/>
  <c r="M172" i="3"/>
  <c r="M198" i="3"/>
  <c r="M195" i="3"/>
  <c r="M174" i="3"/>
  <c r="M200" i="3"/>
  <c r="K52" i="3"/>
  <c r="O43" i="3" l="1"/>
  <c r="N43" i="3"/>
  <c r="Q52" i="3"/>
  <c r="O52" i="3"/>
  <c r="Q49" i="3"/>
  <c r="O49" i="3"/>
  <c r="N49" i="3"/>
  <c r="U48" i="3"/>
  <c r="Q48" i="3"/>
  <c r="O48" i="3"/>
  <c r="Q46" i="3"/>
  <c r="O46" i="3"/>
  <c r="O40" i="3"/>
  <c r="N40" i="3"/>
  <c r="L52" i="3" l="1"/>
  <c r="R52" i="3" s="1"/>
  <c r="L48" i="3"/>
  <c r="R48" i="3" s="1"/>
  <c r="L161" i="2" l="1"/>
  <c r="N161" i="2" s="1"/>
  <c r="O161" i="2" s="1"/>
  <c r="Q161" i="2" s="1"/>
  <c r="L160" i="2"/>
  <c r="N160" i="2" s="1"/>
  <c r="O160" i="2" s="1"/>
  <c r="Q160" i="2" s="1"/>
  <c r="D161" i="2"/>
  <c r="I160" i="2"/>
  <c r="H160" i="2"/>
  <c r="H161" i="2"/>
  <c r="I161" i="2"/>
  <c r="L159" i="2"/>
  <c r="N159" i="2" s="1"/>
  <c r="O159" i="2" s="1"/>
  <c r="Q159" i="2" s="1"/>
  <c r="I159" i="2"/>
  <c r="H159" i="2"/>
  <c r="A160" i="3"/>
  <c r="A161" i="3"/>
  <c r="A159" i="3"/>
  <c r="C157" i="2"/>
  <c r="D157" i="2"/>
  <c r="C158" i="2"/>
  <c r="D158" i="2"/>
  <c r="C156" i="2"/>
  <c r="D156" i="2"/>
  <c r="C155" i="2"/>
  <c r="D155" i="2"/>
  <c r="C154" i="2"/>
  <c r="D154" i="2"/>
  <c r="C153" i="2"/>
  <c r="D153" i="2"/>
  <c r="C151" i="2"/>
  <c r="D151" i="2"/>
  <c r="C152" i="2"/>
  <c r="D152" i="2"/>
  <c r="D150" i="2"/>
  <c r="C141" i="2"/>
  <c r="D141" i="2"/>
  <c r="C142" i="2"/>
  <c r="D142" i="2"/>
  <c r="C143" i="2"/>
  <c r="D143" i="2"/>
  <c r="C144" i="2"/>
  <c r="D144" i="2"/>
  <c r="C145" i="2"/>
  <c r="D145" i="2"/>
  <c r="C146" i="2"/>
  <c r="D146" i="2"/>
  <c r="C147" i="2"/>
  <c r="D147" i="2"/>
  <c r="C148" i="2"/>
  <c r="D148" i="2"/>
  <c r="C149" i="2"/>
  <c r="D149" i="2"/>
  <c r="C150" i="2"/>
  <c r="C129" i="2"/>
  <c r="D129" i="2"/>
  <c r="C130" i="2"/>
  <c r="D130" i="2"/>
  <c r="C131" i="2"/>
  <c r="D131" i="2"/>
  <c r="C132" i="2"/>
  <c r="D132" i="2"/>
  <c r="C133" i="2"/>
  <c r="D133" i="2"/>
  <c r="C134" i="2"/>
  <c r="D134" i="2"/>
  <c r="C135" i="2"/>
  <c r="D135" i="2"/>
  <c r="C136" i="2"/>
  <c r="D136" i="2"/>
  <c r="C137" i="2"/>
  <c r="D137" i="2"/>
  <c r="C138" i="2"/>
  <c r="D138" i="2"/>
  <c r="C139" i="2"/>
  <c r="D139" i="2"/>
  <c r="C140" i="2"/>
  <c r="D140" i="2"/>
  <c r="C121" i="2"/>
  <c r="D121" i="2"/>
  <c r="C122" i="2"/>
  <c r="D122" i="2"/>
  <c r="C123" i="2"/>
  <c r="D123" i="2"/>
  <c r="C124" i="2"/>
  <c r="D124" i="2"/>
  <c r="C125" i="2"/>
  <c r="D125" i="2"/>
  <c r="C126" i="2"/>
  <c r="D126" i="2"/>
  <c r="C127" i="2"/>
  <c r="D127" i="2"/>
  <c r="C128" i="2"/>
  <c r="D128" i="2"/>
  <c r="C117" i="2"/>
  <c r="D117" i="2"/>
  <c r="C118" i="2"/>
  <c r="D118" i="2"/>
  <c r="C119" i="2"/>
  <c r="D119" i="2"/>
  <c r="C120" i="2"/>
  <c r="D120" i="2"/>
  <c r="C114" i="2"/>
  <c r="D114" i="2"/>
  <c r="C115" i="2"/>
  <c r="D115" i="2"/>
  <c r="C116" i="2"/>
  <c r="D116" i="2"/>
  <c r="C111" i="2"/>
  <c r="D111" i="2"/>
  <c r="C112" i="2"/>
  <c r="D112" i="2"/>
  <c r="C113" i="2"/>
  <c r="D113" i="2"/>
  <c r="C104" i="2"/>
  <c r="D104" i="2"/>
  <c r="C105" i="2"/>
  <c r="D105" i="2"/>
  <c r="C106" i="2"/>
  <c r="D106" i="2"/>
  <c r="C107" i="2"/>
  <c r="D107" i="2"/>
  <c r="C108" i="2"/>
  <c r="D108" i="2"/>
  <c r="C109" i="2"/>
  <c r="D109" i="2"/>
  <c r="C110" i="2"/>
  <c r="D110" i="2"/>
  <c r="C98" i="2"/>
  <c r="D98" i="2"/>
  <c r="C99" i="2"/>
  <c r="D99" i="2"/>
  <c r="C100" i="2"/>
  <c r="D100" i="2"/>
  <c r="C101" i="2"/>
  <c r="D101" i="2"/>
  <c r="C102" i="2"/>
  <c r="D102" i="2"/>
  <c r="C103" i="2"/>
  <c r="D103" i="2"/>
  <c r="C85" i="2"/>
  <c r="D85" i="2"/>
  <c r="C86" i="2"/>
  <c r="D86" i="2"/>
  <c r="C87" i="2"/>
  <c r="D87" i="2"/>
  <c r="C88" i="2"/>
  <c r="D88" i="2"/>
  <c r="C89" i="2"/>
  <c r="D89" i="2"/>
  <c r="C90" i="2"/>
  <c r="D90" i="2"/>
  <c r="C91" i="2"/>
  <c r="D91" i="2"/>
  <c r="C92" i="2"/>
  <c r="D92" i="2"/>
  <c r="C93" i="2"/>
  <c r="D93" i="2"/>
  <c r="C94" i="2"/>
  <c r="D94" i="2"/>
  <c r="C95" i="2"/>
  <c r="D95" i="2"/>
  <c r="C96" i="2"/>
  <c r="D96" i="2"/>
  <c r="C97" i="2"/>
  <c r="D97" i="2"/>
  <c r="C73" i="2"/>
  <c r="D73" i="2"/>
  <c r="C74" i="2"/>
  <c r="D74" i="2"/>
  <c r="C75" i="2"/>
  <c r="D75" i="2"/>
  <c r="C76" i="2"/>
  <c r="D76" i="2"/>
  <c r="C77" i="2"/>
  <c r="D77" i="2"/>
  <c r="C78" i="2"/>
  <c r="D78" i="2"/>
  <c r="C79" i="2"/>
  <c r="D79" i="2"/>
  <c r="C80" i="2"/>
  <c r="D80" i="2"/>
  <c r="C81" i="2"/>
  <c r="D81" i="2"/>
  <c r="C82" i="2"/>
  <c r="D82" i="2"/>
  <c r="C83" i="2"/>
  <c r="D83" i="2"/>
  <c r="C84" i="2"/>
  <c r="D84" i="2"/>
  <c r="C70" i="2"/>
  <c r="D70" i="2"/>
  <c r="C71" i="2"/>
  <c r="D71" i="2"/>
  <c r="C72" i="2"/>
  <c r="D72" i="2"/>
  <c r="C68" i="2"/>
  <c r="D68" i="2"/>
  <c r="C69" i="2"/>
  <c r="D69" i="2"/>
  <c r="C67" i="2"/>
  <c r="D67" i="2"/>
  <c r="C160" i="2"/>
  <c r="D160" i="2"/>
  <c r="C161" i="2"/>
  <c r="D159" i="2"/>
  <c r="C159" i="2"/>
  <c r="B159" i="2"/>
  <c r="B160" i="2"/>
  <c r="B161" i="2"/>
  <c r="A160" i="2"/>
  <c r="A161" i="2"/>
  <c r="A159" i="2"/>
  <c r="C160" i="3"/>
  <c r="G160" i="3"/>
  <c r="H160" i="3"/>
  <c r="K160" i="3"/>
  <c r="U160" i="3" s="1"/>
  <c r="W160" i="3"/>
  <c r="C161" i="3"/>
  <c r="G161" i="3"/>
  <c r="H161" i="3"/>
  <c r="K161" i="3"/>
  <c r="U161" i="3" s="1"/>
  <c r="W161" i="3"/>
  <c r="C159" i="3"/>
  <c r="G159" i="3"/>
  <c r="H159" i="3"/>
  <c r="K159" i="3"/>
  <c r="U159" i="3" s="1"/>
  <c r="W159" i="3"/>
  <c r="W160" i="1"/>
  <c r="W161" i="1"/>
  <c r="W159" i="1"/>
  <c r="T161" i="3" l="1"/>
  <c r="T162" i="3"/>
  <c r="S161" i="3"/>
  <c r="S162" i="3"/>
  <c r="S160" i="3"/>
  <c r="T160" i="3"/>
  <c r="S159" i="3"/>
  <c r="T159" i="3"/>
  <c r="L65" i="2"/>
  <c r="L64" i="2"/>
  <c r="L63" i="2"/>
  <c r="L62" i="2"/>
  <c r="L61" i="2"/>
  <c r="L60" i="2"/>
  <c r="L59" i="2"/>
  <c r="L58" i="2"/>
  <c r="L57" i="2"/>
  <c r="L56" i="2"/>
  <c r="L55" i="2"/>
  <c r="Y49" i="3" l="1"/>
  <c r="Y48" i="3"/>
  <c r="Y47" i="3"/>
  <c r="Y44" i="3"/>
  <c r="Y43" i="3"/>
  <c r="Y37" i="3"/>
  <c r="Y30" i="3"/>
  <c r="N51" i="3"/>
  <c r="W47" i="3"/>
  <c r="I46" i="3"/>
  <c r="W43" i="3"/>
  <c r="U39" i="3"/>
  <c r="U37" i="3"/>
  <c r="H32" i="3"/>
  <c r="W49" i="3"/>
  <c r="W48" i="3"/>
  <c r="W44" i="3"/>
  <c r="W42" i="3"/>
  <c r="W40" i="3"/>
  <c r="W39" i="3"/>
  <c r="W38" i="3"/>
  <c r="W37" i="3"/>
  <c r="W34" i="3"/>
  <c r="W33" i="3"/>
  <c r="W30"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U33" i="3"/>
  <c r="S35" i="3"/>
  <c r="U35" i="3"/>
  <c r="U66" i="3"/>
  <c r="L33" i="3" l="1"/>
  <c r="R33" i="3" s="1"/>
  <c r="L35" i="3"/>
  <c r="R35" i="3" s="1"/>
  <c r="N68" i="3"/>
  <c r="U68" i="3" s="1"/>
  <c r="N69" i="3"/>
  <c r="U69" i="3" s="1"/>
  <c r="N70" i="3"/>
  <c r="U70" i="3" s="1"/>
  <c r="N71" i="3"/>
  <c r="U71" i="3" s="1"/>
  <c r="N72" i="3"/>
  <c r="U72" i="3" s="1"/>
  <c r="N73" i="3"/>
  <c r="U73" i="3" s="1"/>
  <c r="N74" i="3"/>
  <c r="U74" i="3" s="1"/>
  <c r="N75" i="3"/>
  <c r="U75" i="3" s="1"/>
  <c r="N76" i="3"/>
  <c r="U76" i="3" s="1"/>
  <c r="N77" i="3"/>
  <c r="U77" i="3" s="1"/>
  <c r="N78" i="3"/>
  <c r="U78" i="3" s="1"/>
  <c r="N79" i="3"/>
  <c r="U79" i="3" s="1"/>
  <c r="N80" i="3"/>
  <c r="U80" i="3" s="1"/>
  <c r="N81" i="3"/>
  <c r="U81" i="3" s="1"/>
  <c r="N82" i="3"/>
  <c r="U82" i="3" s="1"/>
  <c r="N83" i="3"/>
  <c r="U83" i="3" s="1"/>
  <c r="N84" i="3"/>
  <c r="U84" i="3" s="1"/>
  <c r="N85" i="3"/>
  <c r="U85" i="3" s="1"/>
  <c r="N86" i="3"/>
  <c r="U86" i="3" s="1"/>
  <c r="N87" i="3"/>
  <c r="U87" i="3" s="1"/>
  <c r="N88" i="3"/>
  <c r="U88" i="3" s="1"/>
  <c r="N89" i="3"/>
  <c r="U89" i="3" s="1"/>
  <c r="N90" i="3"/>
  <c r="U90" i="3" s="1"/>
  <c r="N91" i="3"/>
  <c r="U91" i="3" s="1"/>
  <c r="N92" i="3"/>
  <c r="U92" i="3" s="1"/>
  <c r="N93" i="3"/>
  <c r="U93" i="3" s="1"/>
  <c r="N94" i="3"/>
  <c r="U94" i="3" s="1"/>
  <c r="N95" i="3"/>
  <c r="U95" i="3" s="1"/>
  <c r="N96" i="3"/>
  <c r="U96" i="3" s="1"/>
  <c r="N97" i="3"/>
  <c r="U97" i="3" s="1"/>
  <c r="N98" i="3"/>
  <c r="U98" i="3" s="1"/>
  <c r="N99" i="3"/>
  <c r="U99" i="3" s="1"/>
  <c r="N100" i="3"/>
  <c r="U100" i="3" s="1"/>
  <c r="N101" i="3"/>
  <c r="U101" i="3" s="1"/>
  <c r="N102" i="3"/>
  <c r="U102" i="3" s="1"/>
  <c r="N103" i="3"/>
  <c r="U103" i="3" s="1"/>
  <c r="N104" i="3"/>
  <c r="U104" i="3" s="1"/>
  <c r="N105" i="3"/>
  <c r="U105" i="3" s="1"/>
  <c r="N106" i="3"/>
  <c r="U106" i="3" s="1"/>
  <c r="N107" i="3"/>
  <c r="U107" i="3" s="1"/>
  <c r="N108" i="3"/>
  <c r="U108" i="3" s="1"/>
  <c r="N109" i="3"/>
  <c r="U109" i="3" s="1"/>
  <c r="N110" i="3"/>
  <c r="U110" i="3" s="1"/>
  <c r="N111" i="3"/>
  <c r="U111" i="3" s="1"/>
  <c r="N112" i="3"/>
  <c r="U112" i="3" s="1"/>
  <c r="N113" i="3"/>
  <c r="U113" i="3" s="1"/>
  <c r="N114" i="3"/>
  <c r="U114" i="3" s="1"/>
  <c r="N115" i="3"/>
  <c r="U115" i="3" s="1"/>
  <c r="N116" i="3"/>
  <c r="U116" i="3" s="1"/>
  <c r="N117" i="3"/>
  <c r="U117" i="3" s="1"/>
  <c r="N118" i="3"/>
  <c r="U118" i="3" s="1"/>
  <c r="N119" i="3"/>
  <c r="U119" i="3" s="1"/>
  <c r="N120" i="3"/>
  <c r="U120" i="3" s="1"/>
  <c r="N121" i="3"/>
  <c r="U121" i="3" s="1"/>
  <c r="N122" i="3"/>
  <c r="U122" i="3" s="1"/>
  <c r="N123" i="3"/>
  <c r="U123" i="3" s="1"/>
  <c r="N124" i="3"/>
  <c r="U124" i="3" s="1"/>
  <c r="N125" i="3"/>
  <c r="U125" i="3" s="1"/>
  <c r="N126" i="3"/>
  <c r="U126" i="3" s="1"/>
  <c r="N127" i="3"/>
  <c r="U127" i="3" s="1"/>
  <c r="N128" i="3"/>
  <c r="U128" i="3" s="1"/>
  <c r="N129" i="3"/>
  <c r="U129" i="3" s="1"/>
  <c r="N130" i="3"/>
  <c r="U130" i="3" s="1"/>
  <c r="N131" i="3"/>
  <c r="U131" i="3" s="1"/>
  <c r="N132" i="3"/>
  <c r="U132" i="3" s="1"/>
  <c r="N133" i="3"/>
  <c r="U133" i="3" s="1"/>
  <c r="N134" i="3"/>
  <c r="U134" i="3" s="1"/>
  <c r="N135" i="3"/>
  <c r="U135" i="3" s="1"/>
  <c r="N136" i="3"/>
  <c r="U136" i="3" s="1"/>
  <c r="N137" i="3"/>
  <c r="U137" i="3" s="1"/>
  <c r="N138" i="3"/>
  <c r="U138" i="3" s="1"/>
  <c r="N139" i="3"/>
  <c r="U139" i="3" s="1"/>
  <c r="N140" i="3"/>
  <c r="U140" i="3" s="1"/>
  <c r="N141" i="3"/>
  <c r="U141" i="3" s="1"/>
  <c r="N142" i="3"/>
  <c r="U142" i="3" s="1"/>
  <c r="N143" i="3"/>
  <c r="U143" i="3" s="1"/>
  <c r="N144" i="3"/>
  <c r="U144" i="3" s="1"/>
  <c r="N145" i="3"/>
  <c r="U145" i="3" s="1"/>
  <c r="N146" i="3"/>
  <c r="U146" i="3" s="1"/>
  <c r="N147" i="3"/>
  <c r="U147" i="3" s="1"/>
  <c r="N148" i="3"/>
  <c r="U148" i="3" s="1"/>
  <c r="N149" i="3"/>
  <c r="U149" i="3" s="1"/>
  <c r="N150" i="3"/>
  <c r="U150" i="3" s="1"/>
  <c r="N151" i="3"/>
  <c r="U151" i="3" s="1"/>
  <c r="N152" i="3"/>
  <c r="U152" i="3" s="1"/>
  <c r="N153" i="3"/>
  <c r="U153" i="3" s="1"/>
  <c r="N154" i="3"/>
  <c r="U154" i="3" s="1"/>
  <c r="N155" i="3"/>
  <c r="U155" i="3" s="1"/>
  <c r="N156" i="3"/>
  <c r="U156" i="3" s="1"/>
  <c r="N157" i="3"/>
  <c r="U157" i="3" s="1"/>
  <c r="N158" i="3"/>
  <c r="U158" i="3" s="1"/>
  <c r="N67" i="3"/>
  <c r="U67" i="3" s="1"/>
  <c r="N57" i="3"/>
  <c r="U57" i="3" s="1"/>
  <c r="N58" i="3"/>
  <c r="U58" i="3" s="1"/>
  <c r="N59" i="3"/>
  <c r="U59" i="3" s="1"/>
  <c r="N60" i="3"/>
  <c r="U60" i="3" s="1"/>
  <c r="N61" i="3"/>
  <c r="U61" i="3" s="1"/>
  <c r="N62" i="3"/>
  <c r="U62" i="3" s="1"/>
  <c r="N63" i="3"/>
  <c r="U63" i="3" s="1"/>
  <c r="N64" i="3"/>
  <c r="U64" i="3" s="1"/>
  <c r="N65" i="3"/>
  <c r="U65" i="3" s="1"/>
  <c r="N56" i="3"/>
  <c r="U56" i="3" s="1"/>
  <c r="N55" i="3"/>
  <c r="U55" i="3" s="1"/>
  <c r="N41" i="3"/>
  <c r="N45" i="3"/>
  <c r="N50" i="3"/>
  <c r="N31" i="3"/>
  <c r="N32" i="3"/>
  <c r="L36" i="2"/>
  <c r="O3" i="3" l="1"/>
  <c r="N3" i="3"/>
  <c r="Q7" i="3"/>
  <c r="Q8" i="3"/>
  <c r="Q9" i="3"/>
  <c r="Q11" i="3"/>
  <c r="Q12" i="3"/>
  <c r="Q13" i="3"/>
  <c r="Q14" i="3"/>
  <c r="Q15" i="3"/>
  <c r="Q16" i="3"/>
  <c r="Q17" i="3"/>
  <c r="Q18" i="3"/>
  <c r="Q19" i="3"/>
  <c r="Q20" i="3"/>
  <c r="Q21" i="3"/>
  <c r="Q22" i="3"/>
  <c r="Q23" i="3"/>
  <c r="Q24" i="3"/>
  <c r="Q34" i="3"/>
  <c r="Q35" i="3"/>
  <c r="Q36" i="3"/>
  <c r="Q37" i="3"/>
  <c r="Q38" i="3"/>
  <c r="Q39" i="3"/>
  <c r="Q44" i="3"/>
  <c r="Q45" i="3"/>
  <c r="Q47" i="3"/>
  <c r="Q50" i="3"/>
  <c r="Q51" i="3"/>
  <c r="Q53" i="3"/>
  <c r="Q54" i="3"/>
  <c r="Q55" i="3"/>
  <c r="Q56" i="3"/>
  <c r="Q57" i="3"/>
  <c r="Q58" i="3"/>
  <c r="Q59" i="3"/>
  <c r="Q60" i="3"/>
  <c r="Q61" i="3"/>
  <c r="Q62" i="3"/>
  <c r="Q63" i="3"/>
  <c r="Q64" i="3"/>
  <c r="Q65"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4" i="3"/>
  <c r="Q5" i="3"/>
  <c r="N7" i="3"/>
  <c r="N8" i="3"/>
  <c r="N9" i="3"/>
  <c r="N11" i="3"/>
  <c r="N12" i="3"/>
  <c r="N13" i="3"/>
  <c r="N14" i="3"/>
  <c r="N16" i="3"/>
  <c r="N17" i="3"/>
  <c r="N18" i="3"/>
  <c r="N19" i="3"/>
  <c r="N20" i="3"/>
  <c r="N21" i="3"/>
  <c r="N22" i="3"/>
  <c r="N23" i="3"/>
  <c r="N24" i="3"/>
  <c r="N4" i="3"/>
  <c r="N5" i="3"/>
  <c r="O7" i="3"/>
  <c r="O8" i="3"/>
  <c r="O9" i="3"/>
  <c r="O11" i="3"/>
  <c r="O12" i="3"/>
  <c r="O13" i="3"/>
  <c r="O14" i="3"/>
  <c r="O15" i="3"/>
  <c r="O16" i="3"/>
  <c r="O17" i="3"/>
  <c r="O18" i="3"/>
  <c r="O19" i="3"/>
  <c r="O20" i="3"/>
  <c r="O21" i="3"/>
  <c r="O22" i="3"/>
  <c r="O23" i="3"/>
  <c r="O24" i="3"/>
  <c r="O30" i="3"/>
  <c r="O31" i="3"/>
  <c r="O32" i="3"/>
  <c r="O33" i="3"/>
  <c r="O34" i="3"/>
  <c r="O35" i="3"/>
  <c r="O36" i="3"/>
  <c r="O37" i="3"/>
  <c r="O38" i="3"/>
  <c r="O39" i="3"/>
  <c r="O41" i="3"/>
  <c r="O42" i="3"/>
  <c r="O44" i="3"/>
  <c r="O45" i="3"/>
  <c r="O47" i="3"/>
  <c r="O50" i="3"/>
  <c r="O51" i="3"/>
  <c r="O53" i="3"/>
  <c r="O54" i="3"/>
  <c r="O55" i="3"/>
  <c r="O56" i="3"/>
  <c r="O57" i="3"/>
  <c r="O58" i="3"/>
  <c r="O59" i="3"/>
  <c r="O60" i="3"/>
  <c r="O61" i="3"/>
  <c r="O62" i="3"/>
  <c r="O63" i="3"/>
  <c r="O64" i="3"/>
  <c r="O65"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4" i="3"/>
  <c r="O5" i="3"/>
  <c r="Q3" i="3"/>
  <c r="S7" i="3"/>
  <c r="T7" i="3"/>
  <c r="S8" i="3"/>
  <c r="T8" i="3"/>
  <c r="S9" i="3"/>
  <c r="T9" i="3"/>
  <c r="S11" i="3"/>
  <c r="T11" i="3"/>
  <c r="S12" i="3"/>
  <c r="T12" i="3"/>
  <c r="S13" i="3"/>
  <c r="T13" i="3"/>
  <c r="S14" i="3"/>
  <c r="T14" i="3"/>
  <c r="S15" i="3"/>
  <c r="T15" i="3"/>
  <c r="S16" i="3"/>
  <c r="T16" i="3"/>
  <c r="S17" i="3"/>
  <c r="T17" i="3"/>
  <c r="S18" i="3"/>
  <c r="T18" i="3"/>
  <c r="S19" i="3"/>
  <c r="T19" i="3"/>
  <c r="S20" i="3"/>
  <c r="T20" i="3"/>
  <c r="S21" i="3"/>
  <c r="T21" i="3"/>
  <c r="S22" i="3"/>
  <c r="T22" i="3"/>
  <c r="S23" i="3"/>
  <c r="T23" i="3"/>
  <c r="S24" i="3"/>
  <c r="T24" i="3"/>
  <c r="S30" i="3"/>
  <c r="T30" i="3"/>
  <c r="S31" i="3"/>
  <c r="T31" i="3"/>
  <c r="S32" i="3"/>
  <c r="T32" i="3"/>
  <c r="S33" i="3"/>
  <c r="T33" i="3"/>
  <c r="S34" i="3"/>
  <c r="T34" i="3"/>
  <c r="T35" i="3"/>
  <c r="S36" i="3"/>
  <c r="T36" i="3"/>
  <c r="S37" i="3"/>
  <c r="T37" i="3"/>
  <c r="S38" i="3"/>
  <c r="T38" i="3"/>
  <c r="S39" i="3"/>
  <c r="T39" i="3"/>
  <c r="S40" i="3"/>
  <c r="T40" i="3"/>
  <c r="S41" i="3"/>
  <c r="T41" i="3"/>
  <c r="S42" i="3"/>
  <c r="T42" i="3"/>
  <c r="S43" i="3"/>
  <c r="T43" i="3"/>
  <c r="S44" i="3"/>
  <c r="T44" i="3"/>
  <c r="S45" i="3"/>
  <c r="T45" i="3"/>
  <c r="S46" i="3"/>
  <c r="T46" i="3"/>
  <c r="S47" i="3"/>
  <c r="T47" i="3"/>
  <c r="S48" i="3"/>
  <c r="T48" i="3"/>
  <c r="S49" i="3"/>
  <c r="T49" i="3"/>
  <c r="S50" i="3"/>
  <c r="T50" i="3"/>
  <c r="S51" i="3"/>
  <c r="T51" i="3"/>
  <c r="S52" i="3"/>
  <c r="T52" i="3"/>
  <c r="S53" i="3"/>
  <c r="T53" i="3"/>
  <c r="S54" i="3"/>
  <c r="T54" i="3"/>
  <c r="S55" i="3"/>
  <c r="T55" i="3"/>
  <c r="S56" i="3"/>
  <c r="T56" i="3"/>
  <c r="S57" i="3"/>
  <c r="T57" i="3"/>
  <c r="S58" i="3"/>
  <c r="T58" i="3"/>
  <c r="S59" i="3"/>
  <c r="T59" i="3"/>
  <c r="S60" i="3"/>
  <c r="T60" i="3"/>
  <c r="S61" i="3"/>
  <c r="T61" i="3"/>
  <c r="S62" i="3"/>
  <c r="T62" i="3"/>
  <c r="S63" i="3"/>
  <c r="T63" i="3"/>
  <c r="S64" i="3"/>
  <c r="T64" i="3"/>
  <c r="S65" i="3"/>
  <c r="T65" i="3"/>
  <c r="S67" i="3"/>
  <c r="T67" i="3"/>
  <c r="S68" i="3"/>
  <c r="T68" i="3"/>
  <c r="S69" i="3"/>
  <c r="T69" i="3"/>
  <c r="S70" i="3"/>
  <c r="T70" i="3"/>
  <c r="S71" i="3"/>
  <c r="T71" i="3"/>
  <c r="S72" i="3"/>
  <c r="T72" i="3"/>
  <c r="S73" i="3"/>
  <c r="T73" i="3"/>
  <c r="S74" i="3"/>
  <c r="T74" i="3"/>
  <c r="S75" i="3"/>
  <c r="T7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95" i="3"/>
  <c r="T95" i="3"/>
  <c r="S96" i="3"/>
  <c r="T96" i="3"/>
  <c r="S97" i="3"/>
  <c r="T97" i="3"/>
  <c r="S98" i="3"/>
  <c r="T98" i="3"/>
  <c r="S99" i="3"/>
  <c r="T99" i="3"/>
  <c r="S100" i="3"/>
  <c r="T100" i="3"/>
  <c r="S101" i="3"/>
  <c r="T101" i="3"/>
  <c r="S102" i="3"/>
  <c r="T102" i="3"/>
  <c r="S103" i="3"/>
  <c r="T103" i="3"/>
  <c r="S104" i="3"/>
  <c r="T104" i="3"/>
  <c r="S105" i="3"/>
  <c r="T105" i="3"/>
  <c r="S106" i="3"/>
  <c r="T106" i="3"/>
  <c r="S107" i="3"/>
  <c r="T107" i="3"/>
  <c r="S108" i="3"/>
  <c r="T108" i="3"/>
  <c r="S109" i="3"/>
  <c r="T109" i="3"/>
  <c r="S110" i="3"/>
  <c r="T110" i="3"/>
  <c r="S111" i="3"/>
  <c r="T111" i="3"/>
  <c r="S112" i="3"/>
  <c r="T112" i="3"/>
  <c r="S113" i="3"/>
  <c r="T113" i="3"/>
  <c r="S114" i="3"/>
  <c r="T114" i="3"/>
  <c r="S115" i="3"/>
  <c r="T115" i="3"/>
  <c r="S116" i="3"/>
  <c r="T116" i="3"/>
  <c r="S117" i="3"/>
  <c r="T117" i="3"/>
  <c r="S118" i="3"/>
  <c r="T118" i="3"/>
  <c r="S119" i="3"/>
  <c r="T119" i="3"/>
  <c r="S120" i="3"/>
  <c r="T120" i="3"/>
  <c r="S121" i="3"/>
  <c r="T121" i="3"/>
  <c r="S122" i="3"/>
  <c r="T122" i="3"/>
  <c r="S123" i="3"/>
  <c r="T123" i="3"/>
  <c r="S124" i="3"/>
  <c r="T124" i="3"/>
  <c r="S125" i="3"/>
  <c r="T125" i="3"/>
  <c r="S126" i="3"/>
  <c r="T126" i="3"/>
  <c r="S127" i="3"/>
  <c r="T127" i="3"/>
  <c r="S128" i="3"/>
  <c r="T128" i="3"/>
  <c r="S129" i="3"/>
  <c r="T129" i="3"/>
  <c r="S130" i="3"/>
  <c r="T130" i="3"/>
  <c r="S131" i="3"/>
  <c r="T131" i="3"/>
  <c r="S132" i="3"/>
  <c r="T132" i="3"/>
  <c r="S133" i="3"/>
  <c r="T133" i="3"/>
  <c r="S134" i="3"/>
  <c r="T134" i="3"/>
  <c r="S135" i="3"/>
  <c r="T135" i="3"/>
  <c r="S136" i="3"/>
  <c r="T136" i="3"/>
  <c r="S137" i="3"/>
  <c r="T137" i="3"/>
  <c r="S138" i="3"/>
  <c r="T138" i="3"/>
  <c r="S139" i="3"/>
  <c r="T139" i="3"/>
  <c r="S140" i="3"/>
  <c r="T140" i="3"/>
  <c r="S141" i="3"/>
  <c r="T141" i="3"/>
  <c r="S142" i="3"/>
  <c r="T142" i="3"/>
  <c r="S143" i="3"/>
  <c r="T143" i="3"/>
  <c r="S144" i="3"/>
  <c r="T144" i="3"/>
  <c r="S145" i="3"/>
  <c r="T145" i="3"/>
  <c r="S146" i="3"/>
  <c r="T146" i="3"/>
  <c r="S147" i="3"/>
  <c r="T147" i="3"/>
  <c r="S148" i="3"/>
  <c r="T148" i="3"/>
  <c r="S149" i="3"/>
  <c r="T149" i="3"/>
  <c r="S150" i="3"/>
  <c r="T150" i="3"/>
  <c r="S151" i="3"/>
  <c r="T151" i="3"/>
  <c r="S152" i="3"/>
  <c r="T152" i="3"/>
  <c r="S153" i="3"/>
  <c r="T153" i="3"/>
  <c r="S154" i="3"/>
  <c r="T154" i="3"/>
  <c r="S155" i="3"/>
  <c r="T155" i="3"/>
  <c r="S156" i="3"/>
  <c r="T156" i="3"/>
  <c r="S157" i="3"/>
  <c r="T157" i="3"/>
  <c r="S158" i="3"/>
  <c r="T158" i="3"/>
  <c r="S4" i="3"/>
  <c r="T4" i="3"/>
  <c r="S5" i="3"/>
  <c r="T5" i="3"/>
  <c r="T3" i="3"/>
  <c r="S3" i="3"/>
  <c r="I7" i="3"/>
  <c r="I8" i="3"/>
  <c r="I9" i="3"/>
  <c r="I11" i="3"/>
  <c r="I12" i="3"/>
  <c r="I13" i="3"/>
  <c r="I14" i="3"/>
  <c r="I15" i="3"/>
  <c r="I16" i="3"/>
  <c r="I17" i="3"/>
  <c r="I18" i="3"/>
  <c r="I19" i="3"/>
  <c r="I20" i="3"/>
  <c r="I21" i="3"/>
  <c r="I22" i="3"/>
  <c r="I23" i="3"/>
  <c r="I24" i="3"/>
  <c r="I30" i="3"/>
  <c r="I31" i="3"/>
  <c r="I32" i="3"/>
  <c r="I33" i="3"/>
  <c r="I34" i="3"/>
  <c r="I35" i="3"/>
  <c r="I36" i="3"/>
  <c r="I37" i="3"/>
  <c r="I38" i="3"/>
  <c r="I39" i="3"/>
  <c r="I40" i="3"/>
  <c r="I41" i="3"/>
  <c r="I42" i="3"/>
  <c r="I43" i="3"/>
  <c r="I44" i="3"/>
  <c r="I45" i="3"/>
  <c r="I47" i="3"/>
  <c r="I48" i="3"/>
  <c r="I49" i="3"/>
  <c r="I50" i="3"/>
  <c r="I51" i="3"/>
  <c r="I52" i="3"/>
  <c r="I53" i="3"/>
  <c r="I54" i="3"/>
  <c r="I55" i="3"/>
  <c r="I56" i="3"/>
  <c r="I57" i="3"/>
  <c r="I58" i="3"/>
  <c r="I59" i="3"/>
  <c r="I60" i="3"/>
  <c r="I61" i="3"/>
  <c r="I62" i="3"/>
  <c r="I63" i="3"/>
  <c r="I64" i="3"/>
  <c r="I65"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4" i="3"/>
  <c r="I5" i="3"/>
  <c r="I3" i="3"/>
  <c r="H3" i="3"/>
  <c r="H4" i="3"/>
  <c r="H5" i="3"/>
  <c r="H7" i="3"/>
  <c r="H8" i="3"/>
  <c r="H9" i="3"/>
  <c r="H11" i="3"/>
  <c r="H12" i="3"/>
  <c r="H13" i="3"/>
  <c r="H14" i="3"/>
  <c r="H15" i="3"/>
  <c r="H16" i="3"/>
  <c r="H17" i="3"/>
  <c r="H18" i="3"/>
  <c r="H19" i="3"/>
  <c r="H20" i="3"/>
  <c r="H21" i="3"/>
  <c r="H22" i="3"/>
  <c r="H23" i="3"/>
  <c r="H24" i="3"/>
  <c r="H30" i="3"/>
  <c r="H31"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E57" i="3"/>
  <c r="F19" i="3"/>
  <c r="F20" i="3"/>
  <c r="F21" i="3"/>
  <c r="F22" i="3"/>
  <c r="F23" i="3"/>
  <c r="F24" i="3"/>
  <c r="F34" i="3"/>
  <c r="F35" i="3"/>
  <c r="F36" i="3"/>
  <c r="F37" i="3"/>
  <c r="F38" i="3"/>
  <c r="F39" i="3"/>
  <c r="F44" i="3"/>
  <c r="F45" i="3"/>
  <c r="F46" i="3"/>
  <c r="F47" i="3"/>
  <c r="F48" i="3"/>
  <c r="F49" i="3"/>
  <c r="F50" i="3"/>
  <c r="F51" i="3"/>
  <c r="F52" i="3"/>
  <c r="F53" i="3"/>
  <c r="F54" i="3"/>
  <c r="F55" i="3"/>
  <c r="F56" i="3"/>
  <c r="F57" i="3"/>
  <c r="F58" i="3"/>
  <c r="F59" i="3"/>
  <c r="F60" i="3"/>
  <c r="F61" i="3"/>
  <c r="F62" i="3"/>
  <c r="F63" i="3"/>
  <c r="F64" i="3"/>
  <c r="F65"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1" i="3"/>
  <c r="F12" i="3"/>
  <c r="F13" i="3"/>
  <c r="F14" i="3"/>
  <c r="F15" i="3"/>
  <c r="F16" i="3"/>
  <c r="F17" i="3"/>
  <c r="E55" i="3"/>
  <c r="E56" i="3"/>
  <c r="E58" i="3"/>
  <c r="E59" i="3"/>
  <c r="E60" i="3"/>
  <c r="E61" i="3"/>
  <c r="E62" i="3"/>
  <c r="E63" i="3"/>
  <c r="E64" i="3"/>
  <c r="F18" i="3"/>
  <c r="C3" i="3"/>
  <c r="C4" i="3"/>
  <c r="C5" i="3"/>
  <c r="C7" i="3"/>
  <c r="C8" i="3"/>
  <c r="C9" i="3"/>
  <c r="C11" i="3"/>
  <c r="C12" i="3"/>
  <c r="C13" i="3"/>
  <c r="C14" i="3"/>
  <c r="C15" i="3"/>
  <c r="C16" i="3"/>
  <c r="C17" i="3"/>
  <c r="C18" i="3"/>
  <c r="C19" i="3"/>
  <c r="C20" i="3"/>
  <c r="C21" i="3"/>
  <c r="C22" i="3"/>
  <c r="C23" i="3"/>
  <c r="C24" i="3"/>
  <c r="C30" i="3"/>
  <c r="C31" i="3"/>
  <c r="C32" i="3"/>
  <c r="C33" i="3"/>
  <c r="C34" i="3"/>
  <c r="C35" i="3"/>
  <c r="C36" i="3"/>
  <c r="C37" i="3"/>
  <c r="C38" i="3"/>
  <c r="C39" i="3"/>
  <c r="C40" i="3"/>
  <c r="C41" i="3"/>
  <c r="C42" i="3"/>
  <c r="C45" i="3"/>
  <c r="C46" i="3"/>
  <c r="C48" i="3"/>
  <c r="C49" i="3"/>
  <c r="C50" i="3"/>
  <c r="C51" i="3"/>
  <c r="C52" i="3"/>
  <c r="C53" i="3"/>
  <c r="C54" i="3"/>
  <c r="C55" i="3"/>
  <c r="C56" i="3"/>
  <c r="C57" i="3"/>
  <c r="C58" i="3"/>
  <c r="C59" i="3"/>
  <c r="C60" i="3"/>
  <c r="C61" i="3"/>
  <c r="C62" i="3"/>
  <c r="C63" i="3"/>
  <c r="C64" i="3"/>
  <c r="C65"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B4" i="3"/>
  <c r="B5" i="3"/>
  <c r="B7" i="3"/>
  <c r="B8" i="3"/>
  <c r="B9" i="3"/>
  <c r="B11" i="3"/>
  <c r="B12" i="3"/>
  <c r="B13" i="3"/>
  <c r="B14" i="3"/>
  <c r="B15" i="3"/>
  <c r="B16" i="3"/>
  <c r="B17" i="3"/>
  <c r="B18" i="3"/>
  <c r="B19" i="3"/>
  <c r="B20" i="3"/>
  <c r="B21" i="3"/>
  <c r="B22" i="3"/>
  <c r="B23" i="3"/>
  <c r="B24"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3" i="3"/>
  <c r="G60" i="3" l="1"/>
  <c r="G59" i="3"/>
  <c r="G56" i="3"/>
  <c r="G64" i="3"/>
  <c r="G58" i="3"/>
  <c r="G62" i="3"/>
  <c r="G61" i="3"/>
  <c r="G55" i="3"/>
  <c r="G63" i="3"/>
  <c r="G57" i="3"/>
  <c r="L9" i="2" l="1"/>
  <c r="L8" i="2"/>
  <c r="E8" i="3" s="1"/>
  <c r="G8" i="3" s="1"/>
  <c r="L7" i="2"/>
  <c r="E7" i="3" s="1"/>
  <c r="G7" i="3" s="1"/>
  <c r="L5" i="2"/>
  <c r="L4" i="2"/>
  <c r="L3" i="2"/>
  <c r="L22" i="2"/>
  <c r="E22" i="3" s="1"/>
  <c r="G22" i="3" s="1"/>
  <c r="E3" i="3" l="1"/>
  <c r="G3" i="3" s="1"/>
  <c r="N3" i="2"/>
  <c r="O3" i="2" s="1"/>
  <c r="Q3" i="2" s="1"/>
  <c r="N7" i="2"/>
  <c r="O7" i="2" s="1"/>
  <c r="Q7" i="2" s="1"/>
  <c r="N5" i="2"/>
  <c r="O5" i="2" s="1"/>
  <c r="Q5" i="2" s="1"/>
  <c r="E5" i="3"/>
  <c r="G5" i="3" s="1"/>
  <c r="N9" i="2"/>
  <c r="O9" i="2" s="1"/>
  <c r="E9" i="3"/>
  <c r="G9" i="3" s="1"/>
  <c r="N4" i="2"/>
  <c r="O4" i="2" s="1"/>
  <c r="E4" i="3"/>
  <c r="G4" i="3" s="1"/>
  <c r="N8" i="2"/>
  <c r="O8" i="2" s="1"/>
  <c r="L35" i="2"/>
  <c r="N152" i="2"/>
  <c r="N151" i="2"/>
  <c r="N150" i="2"/>
  <c r="N148" i="2"/>
  <c r="N146" i="2"/>
  <c r="N142" i="2"/>
  <c r="N140" i="2"/>
  <c r="N139" i="2"/>
  <c r="N110" i="2"/>
  <c r="N87" i="2"/>
  <c r="N86" i="2"/>
  <c r="N78" i="2"/>
  <c r="N69" i="2"/>
  <c r="N68" i="2"/>
  <c r="N63" i="2"/>
  <c r="O63" i="2" s="1"/>
  <c r="N59" i="2"/>
  <c r="O59" i="2" s="1"/>
  <c r="N58" i="2"/>
  <c r="O58" i="2" s="1"/>
  <c r="N57" i="2"/>
  <c r="O57" i="2" s="1"/>
  <c r="N54" i="2"/>
  <c r="O54" i="2" s="1"/>
  <c r="N42" i="2"/>
  <c r="O42" i="2" s="1"/>
  <c r="N38" i="2"/>
  <c r="N36" i="2"/>
  <c r="O36" i="2" s="1"/>
  <c r="N32" i="2"/>
  <c r="O32" i="2" s="1"/>
  <c r="P32" i="2"/>
  <c r="P42" i="2"/>
  <c r="L18" i="2"/>
  <c r="L24" i="2"/>
  <c r="L23" i="2"/>
  <c r="N22" i="2"/>
  <c r="O22" i="2" s="1"/>
  <c r="P22" i="3" s="1"/>
  <c r="L21" i="2"/>
  <c r="L20" i="2"/>
  <c r="L19" i="2"/>
  <c r="L17" i="2"/>
  <c r="L16" i="2"/>
  <c r="L15" i="2"/>
  <c r="L14" i="2"/>
  <c r="E14" i="3" s="1"/>
  <c r="L13" i="2"/>
  <c r="L12" i="2"/>
  <c r="L11" i="2"/>
  <c r="L158" i="2"/>
  <c r="N158" i="2" s="1"/>
  <c r="O158" i="2" s="1"/>
  <c r="L157" i="2"/>
  <c r="L156" i="2"/>
  <c r="L155" i="2"/>
  <c r="L149" i="2"/>
  <c r="L147" i="2"/>
  <c r="L53" i="2"/>
  <c r="E54" i="3" s="1"/>
  <c r="G54" i="3" s="1"/>
  <c r="L41" i="2"/>
  <c r="L145" i="2"/>
  <c r="L144" i="2"/>
  <c r="L143" i="2"/>
  <c r="L141" i="2"/>
  <c r="L138" i="2"/>
  <c r="L137" i="2"/>
  <c r="L136" i="2"/>
  <c r="L135" i="2"/>
  <c r="L134" i="2"/>
  <c r="L133" i="2"/>
  <c r="L132" i="2"/>
  <c r="L131" i="2"/>
  <c r="L130" i="2"/>
  <c r="L129" i="2"/>
  <c r="L128" i="2"/>
  <c r="L127" i="2"/>
  <c r="L126" i="2"/>
  <c r="L125" i="2"/>
  <c r="L124" i="2"/>
  <c r="L123" i="2"/>
  <c r="L122" i="2"/>
  <c r="L121" i="2"/>
  <c r="L120" i="2"/>
  <c r="N65" i="2"/>
  <c r="L119" i="2"/>
  <c r="L118" i="2"/>
  <c r="L117" i="2"/>
  <c r="L116" i="2"/>
  <c r="L115" i="2"/>
  <c r="L114" i="2"/>
  <c r="L113" i="2"/>
  <c r="L112" i="2"/>
  <c r="L111" i="2"/>
  <c r="L109" i="2"/>
  <c r="L108" i="2"/>
  <c r="L107" i="2"/>
  <c r="L106" i="2"/>
  <c r="L105" i="2"/>
  <c r="L104" i="2"/>
  <c r="L103" i="2"/>
  <c r="L102" i="2"/>
  <c r="L101" i="2"/>
  <c r="L100" i="2"/>
  <c r="L99" i="2"/>
  <c r="L98" i="2"/>
  <c r="L97" i="2"/>
  <c r="L96" i="2"/>
  <c r="L95" i="2"/>
  <c r="L94" i="2"/>
  <c r="L93" i="2"/>
  <c r="L92" i="2"/>
  <c r="L91" i="2"/>
  <c r="L52" i="2"/>
  <c r="L90" i="2"/>
  <c r="L89" i="2"/>
  <c r="L88" i="2"/>
  <c r="L85" i="2"/>
  <c r="L84" i="2"/>
  <c r="L83" i="2"/>
  <c r="L82" i="2"/>
  <c r="N55" i="2"/>
  <c r="O55" i="2" s="1"/>
  <c r="L37" i="2"/>
  <c r="L81" i="2"/>
  <c r="L80" i="2"/>
  <c r="L79" i="2"/>
  <c r="L77" i="2"/>
  <c r="L76" i="2"/>
  <c r="L75" i="2"/>
  <c r="L74" i="2"/>
  <c r="L73" i="2"/>
  <c r="Q43" i="3" l="1"/>
  <c r="F43" i="3"/>
  <c r="Q33" i="3"/>
  <c r="F33" i="3"/>
  <c r="E36" i="3"/>
  <c r="G36" i="3" s="1"/>
  <c r="E153" i="3"/>
  <c r="G153" i="3" s="1"/>
  <c r="F41" i="3"/>
  <c r="Q41" i="3"/>
  <c r="F31" i="3"/>
  <c r="Q31" i="3"/>
  <c r="E143" i="3"/>
  <c r="G143" i="3" s="1"/>
  <c r="F30" i="3"/>
  <c r="Q30" i="3"/>
  <c r="Q40" i="3"/>
  <c r="F40" i="3"/>
  <c r="E149" i="3"/>
  <c r="G149" i="3" s="1"/>
  <c r="P7" i="3"/>
  <c r="E79" i="3"/>
  <c r="G79" i="3" s="1"/>
  <c r="E147" i="3"/>
  <c r="G147" i="3" s="1"/>
  <c r="E87" i="3"/>
  <c r="G87" i="3" s="1"/>
  <c r="E88" i="3"/>
  <c r="G88" i="3" s="1"/>
  <c r="E97" i="3"/>
  <c r="G97" i="3" s="1"/>
  <c r="E111" i="3"/>
  <c r="G111" i="3" s="1"/>
  <c r="E140" i="3"/>
  <c r="G140" i="3" s="1"/>
  <c r="E141" i="3"/>
  <c r="G141" i="3" s="1"/>
  <c r="E151" i="3"/>
  <c r="G151" i="3" s="1"/>
  <c r="E152" i="3"/>
  <c r="G152" i="3" s="1"/>
  <c r="E127" i="3"/>
  <c r="G127" i="3" s="1"/>
  <c r="E81" i="3"/>
  <c r="G81" i="3" s="1"/>
  <c r="N128" i="2"/>
  <c r="O128" i="2" s="1"/>
  <c r="E129" i="3"/>
  <c r="G129" i="3" s="1"/>
  <c r="N136" i="2"/>
  <c r="O136" i="2" s="1"/>
  <c r="E137" i="3"/>
  <c r="G137" i="3" s="1"/>
  <c r="N53" i="2"/>
  <c r="O53" i="2" s="1"/>
  <c r="E53" i="3"/>
  <c r="G53" i="3" s="1"/>
  <c r="N19" i="2"/>
  <c r="O19" i="2" s="1"/>
  <c r="P19" i="3" s="1"/>
  <c r="E19" i="3"/>
  <c r="G19" i="3" s="1"/>
  <c r="Q32" i="3"/>
  <c r="F32" i="3"/>
  <c r="N120" i="2"/>
  <c r="O120" i="2" s="1"/>
  <c r="E121" i="3"/>
  <c r="G121" i="3" s="1"/>
  <c r="N73" i="2"/>
  <c r="O73" i="2" s="1"/>
  <c r="N37" i="2"/>
  <c r="O37" i="2" s="1"/>
  <c r="N90" i="2"/>
  <c r="O90" i="2" s="1"/>
  <c r="E91" i="3"/>
  <c r="G91" i="3" s="1"/>
  <c r="N97" i="2"/>
  <c r="O97" i="2" s="1"/>
  <c r="E98" i="3"/>
  <c r="G98" i="3" s="1"/>
  <c r="N105" i="2"/>
  <c r="O105" i="2" s="1"/>
  <c r="E106" i="3"/>
  <c r="G106" i="3" s="1"/>
  <c r="N114" i="2"/>
  <c r="O114" i="2" s="1"/>
  <c r="E115" i="3"/>
  <c r="G115" i="3" s="1"/>
  <c r="N121" i="2"/>
  <c r="O121" i="2" s="1"/>
  <c r="E122" i="3"/>
  <c r="G122" i="3" s="1"/>
  <c r="N129" i="2"/>
  <c r="O129" i="2" s="1"/>
  <c r="E130" i="3"/>
  <c r="G130" i="3" s="1"/>
  <c r="N137" i="2"/>
  <c r="O137" i="2" s="1"/>
  <c r="E138" i="3"/>
  <c r="G138" i="3" s="1"/>
  <c r="N147" i="2"/>
  <c r="O147" i="2" s="1"/>
  <c r="E148" i="3"/>
  <c r="G148" i="3" s="1"/>
  <c r="N11" i="2"/>
  <c r="O11" i="2" s="1"/>
  <c r="P11" i="3" s="1"/>
  <c r="E11" i="3"/>
  <c r="G11" i="3" s="1"/>
  <c r="N20" i="2"/>
  <c r="O20" i="2" s="1"/>
  <c r="P20" i="3" s="1"/>
  <c r="E20" i="3"/>
  <c r="G20" i="3" s="1"/>
  <c r="Q4" i="2"/>
  <c r="P4" i="3"/>
  <c r="N89" i="2"/>
  <c r="O89" i="2" s="1"/>
  <c r="E90" i="3"/>
  <c r="G90" i="3" s="1"/>
  <c r="N52" i="2"/>
  <c r="O52" i="2" s="1"/>
  <c r="E52" i="3"/>
  <c r="G52" i="3" s="1"/>
  <c r="N98" i="2"/>
  <c r="O98" i="2" s="1"/>
  <c r="E99" i="3"/>
  <c r="G99" i="3" s="1"/>
  <c r="N106" i="2"/>
  <c r="O106" i="2" s="1"/>
  <c r="E107" i="3"/>
  <c r="G107" i="3" s="1"/>
  <c r="N115" i="2"/>
  <c r="O115" i="2" s="1"/>
  <c r="E116" i="3"/>
  <c r="G116" i="3" s="1"/>
  <c r="N122" i="2"/>
  <c r="O122" i="2" s="1"/>
  <c r="E123" i="3"/>
  <c r="G123" i="3" s="1"/>
  <c r="N130" i="2"/>
  <c r="O130" i="2" s="1"/>
  <c r="E131" i="3"/>
  <c r="G131" i="3" s="1"/>
  <c r="N138" i="2"/>
  <c r="O138" i="2" s="1"/>
  <c r="E139" i="3"/>
  <c r="G139" i="3" s="1"/>
  <c r="N149" i="2"/>
  <c r="O149" i="2" s="1"/>
  <c r="E150" i="3"/>
  <c r="G150" i="3" s="1"/>
  <c r="N12" i="2"/>
  <c r="O12" i="2" s="1"/>
  <c r="P12" i="3" s="1"/>
  <c r="E12" i="3"/>
  <c r="G12" i="3" s="1"/>
  <c r="N21" i="2"/>
  <c r="O21" i="2" s="1"/>
  <c r="P21" i="3" s="1"/>
  <c r="E21" i="3"/>
  <c r="G21" i="3" s="1"/>
  <c r="N96" i="2"/>
  <c r="O96" i="2" s="1"/>
  <c r="N104" i="2"/>
  <c r="O104" i="2" s="1"/>
  <c r="E105" i="3"/>
  <c r="G105" i="3" s="1"/>
  <c r="N82" i="2"/>
  <c r="O82" i="2" s="1"/>
  <c r="E83" i="3"/>
  <c r="G83" i="3" s="1"/>
  <c r="N99" i="2"/>
  <c r="O99" i="2" s="1"/>
  <c r="E100" i="3"/>
  <c r="G100" i="3" s="1"/>
  <c r="N107" i="2"/>
  <c r="O107" i="2" s="1"/>
  <c r="E108" i="3"/>
  <c r="G108" i="3" s="1"/>
  <c r="N116" i="2"/>
  <c r="O116" i="2" s="1"/>
  <c r="E117" i="3"/>
  <c r="G117" i="3" s="1"/>
  <c r="N123" i="2"/>
  <c r="O123" i="2" s="1"/>
  <c r="E124" i="3"/>
  <c r="G124" i="3" s="1"/>
  <c r="N131" i="2"/>
  <c r="O131" i="2" s="1"/>
  <c r="E132" i="3"/>
  <c r="G132" i="3" s="1"/>
  <c r="N141" i="2"/>
  <c r="O141" i="2" s="1"/>
  <c r="E142" i="3"/>
  <c r="G142" i="3" s="1"/>
  <c r="N153" i="2"/>
  <c r="O153" i="2" s="1"/>
  <c r="E154" i="3"/>
  <c r="G154" i="3" s="1"/>
  <c r="N13" i="2"/>
  <c r="O13" i="2" s="1"/>
  <c r="P13" i="3" s="1"/>
  <c r="E13" i="3"/>
  <c r="G13" i="3" s="1"/>
  <c r="Q9" i="2"/>
  <c r="P9" i="3"/>
  <c r="N75" i="2"/>
  <c r="O75" i="2" s="1"/>
  <c r="E76" i="3"/>
  <c r="G76" i="3" s="1"/>
  <c r="N76" i="2"/>
  <c r="O76" i="2" s="1"/>
  <c r="E77" i="3"/>
  <c r="G77" i="3" s="1"/>
  <c r="N83" i="2"/>
  <c r="O83" i="2" s="1"/>
  <c r="E84" i="3"/>
  <c r="G84" i="3" s="1"/>
  <c r="N92" i="2"/>
  <c r="O92" i="2" s="1"/>
  <c r="E93" i="3"/>
  <c r="G93" i="3" s="1"/>
  <c r="N100" i="2"/>
  <c r="O100" i="2" s="1"/>
  <c r="E101" i="3"/>
  <c r="G101" i="3" s="1"/>
  <c r="N108" i="2"/>
  <c r="O108" i="2" s="1"/>
  <c r="E109" i="3"/>
  <c r="G109" i="3" s="1"/>
  <c r="N117" i="2"/>
  <c r="O117" i="2" s="1"/>
  <c r="E118" i="3"/>
  <c r="G118" i="3" s="1"/>
  <c r="N124" i="2"/>
  <c r="O124" i="2" s="1"/>
  <c r="E125" i="3"/>
  <c r="G125" i="3" s="1"/>
  <c r="N132" i="2"/>
  <c r="O132" i="2" s="1"/>
  <c r="E133" i="3"/>
  <c r="G133" i="3" s="1"/>
  <c r="N143" i="2"/>
  <c r="O143" i="2" s="1"/>
  <c r="E144" i="3"/>
  <c r="G144" i="3" s="1"/>
  <c r="N154" i="2"/>
  <c r="O154" i="2" s="1"/>
  <c r="E155" i="3"/>
  <c r="G155" i="3" s="1"/>
  <c r="N14" i="2"/>
  <c r="O14" i="2" s="1"/>
  <c r="P14" i="3" s="1"/>
  <c r="G14" i="3"/>
  <c r="N23" i="2"/>
  <c r="O23" i="2" s="1"/>
  <c r="P23" i="3" s="1"/>
  <c r="E23" i="3"/>
  <c r="G23" i="3" s="1"/>
  <c r="N126" i="2"/>
  <c r="O126" i="2" s="1"/>
  <c r="N101" i="2"/>
  <c r="O101" i="2" s="1"/>
  <c r="E102" i="3"/>
  <c r="G102" i="3" s="1"/>
  <c r="N109" i="2"/>
  <c r="O109" i="2" s="1"/>
  <c r="E110" i="3"/>
  <c r="G110" i="3" s="1"/>
  <c r="N118" i="2"/>
  <c r="O118" i="2" s="1"/>
  <c r="E119" i="3"/>
  <c r="G119" i="3" s="1"/>
  <c r="N125" i="2"/>
  <c r="O125" i="2" s="1"/>
  <c r="E126" i="3"/>
  <c r="G126" i="3" s="1"/>
  <c r="N133" i="2"/>
  <c r="O133" i="2" s="1"/>
  <c r="E134" i="3"/>
  <c r="G134" i="3" s="1"/>
  <c r="N144" i="2"/>
  <c r="O144" i="2" s="1"/>
  <c r="E145" i="3"/>
  <c r="G145" i="3" s="1"/>
  <c r="N155" i="2"/>
  <c r="O155" i="2" s="1"/>
  <c r="E156" i="3"/>
  <c r="G156" i="3" s="1"/>
  <c r="N15" i="2"/>
  <c r="O15" i="2" s="1"/>
  <c r="P15" i="3" s="1"/>
  <c r="E15" i="3"/>
  <c r="G15" i="3" s="1"/>
  <c r="N24" i="2"/>
  <c r="O24" i="2" s="1"/>
  <c r="P24" i="3" s="1"/>
  <c r="E24" i="3"/>
  <c r="G24" i="3" s="1"/>
  <c r="P5" i="3"/>
  <c r="N81" i="2"/>
  <c r="O81" i="2" s="1"/>
  <c r="E82" i="3"/>
  <c r="G82" i="3" s="1"/>
  <c r="N91" i="2"/>
  <c r="O91" i="2" s="1"/>
  <c r="E92" i="3"/>
  <c r="G92" i="3" s="1"/>
  <c r="N84" i="2"/>
  <c r="O84" i="2" s="1"/>
  <c r="E85" i="3"/>
  <c r="G85" i="3" s="1"/>
  <c r="N79" i="2"/>
  <c r="O79" i="2" s="1"/>
  <c r="E80" i="3"/>
  <c r="G80" i="3" s="1"/>
  <c r="N94" i="2"/>
  <c r="O94" i="2" s="1"/>
  <c r="E95" i="3"/>
  <c r="G95" i="3" s="1"/>
  <c r="N111" i="2"/>
  <c r="O111" i="2" s="1"/>
  <c r="E112" i="3"/>
  <c r="G112" i="3" s="1"/>
  <c r="N119" i="2"/>
  <c r="O119" i="2" s="1"/>
  <c r="E120" i="3"/>
  <c r="G120" i="3" s="1"/>
  <c r="N134" i="2"/>
  <c r="O134" i="2" s="1"/>
  <c r="E135" i="3"/>
  <c r="G135" i="3" s="1"/>
  <c r="N145" i="2"/>
  <c r="O145" i="2" s="1"/>
  <c r="E146" i="3"/>
  <c r="G146" i="3" s="1"/>
  <c r="N156" i="2"/>
  <c r="O156" i="2" s="1"/>
  <c r="E157" i="3"/>
  <c r="G157" i="3" s="1"/>
  <c r="N16" i="2"/>
  <c r="O16" i="2" s="1"/>
  <c r="P16" i="3" s="1"/>
  <c r="E16" i="3"/>
  <c r="G16" i="3" s="1"/>
  <c r="N18" i="2"/>
  <c r="O18" i="2" s="1"/>
  <c r="P18" i="3" s="1"/>
  <c r="E18" i="3"/>
  <c r="G18" i="3" s="1"/>
  <c r="P3" i="3"/>
  <c r="N113" i="2"/>
  <c r="O113" i="2" s="1"/>
  <c r="E114" i="3"/>
  <c r="G114" i="3" s="1"/>
  <c r="N74" i="2"/>
  <c r="O74" i="2" s="1"/>
  <c r="N77" i="2"/>
  <c r="O77" i="2" s="1"/>
  <c r="E78" i="3"/>
  <c r="G78" i="3" s="1"/>
  <c r="N93" i="2"/>
  <c r="O93" i="2" s="1"/>
  <c r="E94" i="3"/>
  <c r="G94" i="3" s="1"/>
  <c r="N85" i="2"/>
  <c r="O85" i="2" s="1"/>
  <c r="E86" i="3"/>
  <c r="G86" i="3" s="1"/>
  <c r="N102" i="2"/>
  <c r="O102" i="2" s="1"/>
  <c r="E103" i="3"/>
  <c r="G103" i="3" s="1"/>
  <c r="N88" i="2"/>
  <c r="O88" i="2" s="1"/>
  <c r="E89" i="3"/>
  <c r="G89" i="3" s="1"/>
  <c r="N95" i="2"/>
  <c r="O95" i="2" s="1"/>
  <c r="E96" i="3"/>
  <c r="G96" i="3" s="1"/>
  <c r="N103" i="2"/>
  <c r="O103" i="2" s="1"/>
  <c r="E104" i="3"/>
  <c r="G104" i="3" s="1"/>
  <c r="N112" i="2"/>
  <c r="O112" i="2" s="1"/>
  <c r="E113" i="3"/>
  <c r="G113" i="3" s="1"/>
  <c r="N127" i="2"/>
  <c r="O127" i="2" s="1"/>
  <c r="E128" i="3"/>
  <c r="G128" i="3" s="1"/>
  <c r="N135" i="2"/>
  <c r="O135" i="2" s="1"/>
  <c r="E136" i="3"/>
  <c r="G136" i="3" s="1"/>
  <c r="N41" i="2"/>
  <c r="O41" i="2" s="1"/>
  <c r="N157" i="2"/>
  <c r="O157" i="2" s="1"/>
  <c r="E158" i="3"/>
  <c r="G158" i="3" s="1"/>
  <c r="N17" i="2"/>
  <c r="O17" i="2" s="1"/>
  <c r="P17" i="3" s="1"/>
  <c r="E17" i="3"/>
  <c r="G17" i="3" s="1"/>
  <c r="F42" i="3"/>
  <c r="Q42" i="3"/>
  <c r="N80" i="2"/>
  <c r="O80" i="2" s="1"/>
  <c r="P8" i="3"/>
  <c r="Q8" i="2"/>
  <c r="O65" i="2"/>
  <c r="L72" i="2"/>
  <c r="E75" i="3" s="1"/>
  <c r="G75" i="3" s="1"/>
  <c r="L48" i="2"/>
  <c r="L51" i="2"/>
  <c r="L34" i="2"/>
  <c r="L47" i="2"/>
  <c r="M71" i="2"/>
  <c r="L71" i="2"/>
  <c r="L70" i="2"/>
  <c r="N64" i="2"/>
  <c r="N35" i="2"/>
  <c r="O35" i="2" s="1"/>
  <c r="P36" i="3" s="1"/>
  <c r="L50" i="2"/>
  <c r="L46" i="2"/>
  <c r="L31" i="2"/>
  <c r="N62" i="2"/>
  <c r="L45" i="2"/>
  <c r="L30" i="2"/>
  <c r="N61" i="2"/>
  <c r="L44" i="2"/>
  <c r="E42" i="3" s="1"/>
  <c r="N60" i="2"/>
  <c r="L40" i="2"/>
  <c r="L39" i="2"/>
  <c r="E37" i="3" s="1"/>
  <c r="G37" i="3" s="1"/>
  <c r="L49" i="2"/>
  <c r="L43" i="2"/>
  <c r="E41" i="3" s="1"/>
  <c r="N33" i="2"/>
  <c r="O33" i="2" s="1"/>
  <c r="L67" i="2"/>
  <c r="E65" i="3" s="1"/>
  <c r="G65" i="3" s="1"/>
  <c r="N56" i="2"/>
  <c r="E32" i="3" l="1"/>
  <c r="G32" i="3" s="1"/>
  <c r="E35" i="3"/>
  <c r="G35" i="3" s="1"/>
  <c r="G41" i="3"/>
  <c r="P53" i="3"/>
  <c r="E33" i="3"/>
  <c r="G33" i="3" s="1"/>
  <c r="E38" i="3"/>
  <c r="G38" i="3" s="1"/>
  <c r="G42" i="3"/>
  <c r="P37" i="3"/>
  <c r="P89" i="3"/>
  <c r="P104" i="3"/>
  <c r="E67" i="3"/>
  <c r="G67" i="3" s="1"/>
  <c r="N67" i="2"/>
  <c r="O67" i="2" s="1"/>
  <c r="P152" i="3"/>
  <c r="P94" i="3"/>
  <c r="P123" i="3"/>
  <c r="P88" i="3"/>
  <c r="P96" i="3"/>
  <c r="P132" i="3"/>
  <c r="P100" i="3"/>
  <c r="P120" i="3"/>
  <c r="P114" i="3"/>
  <c r="P131" i="3"/>
  <c r="P154" i="3"/>
  <c r="P153" i="3"/>
  <c r="P117" i="3"/>
  <c r="P157" i="3"/>
  <c r="P112" i="3"/>
  <c r="P92" i="3"/>
  <c r="P126" i="3"/>
  <c r="P141" i="3"/>
  <c r="P133" i="3"/>
  <c r="P101" i="3"/>
  <c r="P76" i="3"/>
  <c r="P81" i="3"/>
  <c r="P136" i="3"/>
  <c r="P124" i="3"/>
  <c r="E74" i="3"/>
  <c r="G74" i="3" s="1"/>
  <c r="P127" i="3"/>
  <c r="P109" i="3"/>
  <c r="P99" i="3"/>
  <c r="P130" i="3"/>
  <c r="P135" i="3"/>
  <c r="P80" i="3"/>
  <c r="P122" i="3"/>
  <c r="P84" i="3"/>
  <c r="P83" i="3"/>
  <c r="P103" i="3"/>
  <c r="P116" i="3"/>
  <c r="E69" i="3"/>
  <c r="G69" i="3" s="1"/>
  <c r="E70" i="3"/>
  <c r="G70" i="3" s="1"/>
  <c r="P144" i="3"/>
  <c r="P77" i="3"/>
  <c r="P105" i="3"/>
  <c r="P97" i="3"/>
  <c r="P107" i="3"/>
  <c r="P138" i="3"/>
  <c r="P86" i="3"/>
  <c r="P87" i="3"/>
  <c r="P139" i="3"/>
  <c r="P140" i="3"/>
  <c r="P142" i="3"/>
  <c r="P143" i="3"/>
  <c r="P146" i="3"/>
  <c r="P147" i="3"/>
  <c r="P95" i="3"/>
  <c r="P82" i="3"/>
  <c r="P156" i="3"/>
  <c r="P119" i="3"/>
  <c r="P98" i="3"/>
  <c r="P121" i="3"/>
  <c r="P137" i="3"/>
  <c r="P108" i="3"/>
  <c r="P125" i="3"/>
  <c r="P93" i="3"/>
  <c r="P106" i="3"/>
  <c r="P128" i="3"/>
  <c r="P78" i="3"/>
  <c r="P79" i="3"/>
  <c r="P145" i="3"/>
  <c r="P110" i="3"/>
  <c r="P111" i="3"/>
  <c r="P91" i="3"/>
  <c r="P129" i="3"/>
  <c r="P118" i="3"/>
  <c r="P155" i="3"/>
  <c r="P158" i="3"/>
  <c r="P113" i="3"/>
  <c r="P75" i="3"/>
  <c r="P85" i="3"/>
  <c r="P134" i="3"/>
  <c r="P102" i="3"/>
  <c r="P150" i="3"/>
  <c r="P151" i="3"/>
  <c r="P90" i="3"/>
  <c r="P148" i="3"/>
  <c r="P149" i="3"/>
  <c r="P115" i="3"/>
  <c r="E68" i="3"/>
  <c r="G68" i="3" s="1"/>
  <c r="N72" i="2"/>
  <c r="O72" i="2" s="1"/>
  <c r="E73" i="3"/>
  <c r="G73" i="3" s="1"/>
  <c r="N30" i="2"/>
  <c r="O30" i="2" s="1"/>
  <c r="E30" i="3"/>
  <c r="G30" i="3" s="1"/>
  <c r="N70" i="2"/>
  <c r="O70" i="2" s="1"/>
  <c r="E71" i="3"/>
  <c r="G71" i="3" s="1"/>
  <c r="N71" i="2"/>
  <c r="O71" i="2" s="1"/>
  <c r="E72" i="3"/>
  <c r="G72" i="3" s="1"/>
  <c r="N49" i="2"/>
  <c r="O49" i="2" s="1"/>
  <c r="E49" i="3"/>
  <c r="G49" i="3" s="1"/>
  <c r="N43" i="2"/>
  <c r="O43" i="2" s="1"/>
  <c r="E43" i="3"/>
  <c r="G43" i="3" s="1"/>
  <c r="N39" i="2"/>
  <c r="O39" i="2" s="1"/>
  <c r="E39" i="3"/>
  <c r="G39" i="3" s="1"/>
  <c r="N31" i="2"/>
  <c r="O31" i="2" s="1"/>
  <c r="P31" i="3" s="1"/>
  <c r="E31" i="3"/>
  <c r="G31" i="3" s="1"/>
  <c r="N47" i="2"/>
  <c r="O47" i="2" s="1"/>
  <c r="E47" i="3"/>
  <c r="G47" i="3" s="1"/>
  <c r="N34" i="2"/>
  <c r="O34" i="2" s="1"/>
  <c r="P33" i="3" s="1"/>
  <c r="E34" i="3"/>
  <c r="G34" i="3" s="1"/>
  <c r="N40" i="2"/>
  <c r="O40" i="2" s="1"/>
  <c r="E40" i="3"/>
  <c r="G40" i="3" s="1"/>
  <c r="N51" i="2"/>
  <c r="O51" i="2" s="1"/>
  <c r="P51" i="3" s="1"/>
  <c r="E51" i="3"/>
  <c r="G51" i="3" s="1"/>
  <c r="N45" i="2"/>
  <c r="O45" i="2" s="1"/>
  <c r="E45" i="3"/>
  <c r="G45" i="3" s="1"/>
  <c r="N46" i="2"/>
  <c r="O46" i="2" s="1"/>
  <c r="P46" i="3" s="1"/>
  <c r="E46" i="3"/>
  <c r="G46" i="3" s="1"/>
  <c r="N50" i="2"/>
  <c r="O50" i="2" s="1"/>
  <c r="P50" i="3" s="1"/>
  <c r="E50" i="3"/>
  <c r="G50" i="3" s="1"/>
  <c r="O56" i="2"/>
  <c r="N44" i="2"/>
  <c r="O44" i="2" s="1"/>
  <c r="E44" i="3"/>
  <c r="G44" i="3" s="1"/>
  <c r="N48" i="2"/>
  <c r="O48" i="2" s="1"/>
  <c r="E48" i="3"/>
  <c r="G48" i="3" s="1"/>
  <c r="O64" i="2"/>
  <c r="P64" i="3" s="1"/>
  <c r="O62" i="2"/>
  <c r="O61" i="2"/>
  <c r="O60" i="2"/>
  <c r="P65" i="3" l="1"/>
  <c r="Q67" i="2"/>
  <c r="P55" i="3"/>
  <c r="P57" i="3"/>
  <c r="P62" i="3"/>
  <c r="P52" i="3"/>
  <c r="P35" i="3"/>
  <c r="P39" i="3"/>
  <c r="P63" i="3"/>
  <c r="P43" i="3"/>
  <c r="P30" i="3"/>
  <c r="P45" i="3"/>
  <c r="P47" i="3"/>
  <c r="P40" i="3"/>
  <c r="P38" i="3"/>
  <c r="P44" i="3"/>
  <c r="P42" i="3"/>
  <c r="P34" i="3"/>
  <c r="P32" i="3"/>
  <c r="P60" i="3"/>
  <c r="P58" i="3"/>
  <c r="P61" i="3"/>
  <c r="P59" i="3"/>
  <c r="P41" i="3"/>
  <c r="P48" i="3"/>
  <c r="P56" i="3"/>
  <c r="P54" i="3"/>
  <c r="P49" i="3"/>
  <c r="P70" i="3"/>
  <c r="P67" i="3"/>
  <c r="P71" i="3"/>
  <c r="P73" i="3"/>
  <c r="P74" i="3"/>
  <c r="P72" i="3"/>
  <c r="P68" i="3"/>
  <c r="P69" i="3"/>
  <c r="W6" i="1"/>
  <c r="W32" i="1"/>
  <c r="W54" i="1"/>
  <c r="W42" i="1" l="1"/>
  <c r="W66" i="1"/>
  <c r="W3" i="1"/>
  <c r="M3" i="3" s="1"/>
  <c r="W4" i="1"/>
  <c r="M4" i="3" s="1"/>
  <c r="W5" i="1"/>
  <c r="M5" i="3" s="1"/>
  <c r="W7" i="1"/>
  <c r="M7" i="3" s="1"/>
  <c r="W8" i="1"/>
  <c r="M8" i="3" s="1"/>
  <c r="W9" i="1"/>
  <c r="M9" i="3" s="1"/>
  <c r="W11" i="1"/>
  <c r="M11" i="3" s="1"/>
  <c r="W12" i="1"/>
  <c r="M12" i="3" s="1"/>
  <c r="W13" i="1"/>
  <c r="M13" i="3" s="1"/>
  <c r="W14" i="1"/>
  <c r="M14" i="3" s="1"/>
  <c r="W15" i="1"/>
  <c r="M15" i="3" s="1"/>
  <c r="W16" i="1"/>
  <c r="M16" i="3" s="1"/>
  <c r="W17" i="1"/>
  <c r="M17" i="3" s="1"/>
  <c r="W18" i="1"/>
  <c r="M18" i="3" s="1"/>
  <c r="W19" i="1"/>
  <c r="M19" i="3" s="1"/>
  <c r="W20" i="1"/>
  <c r="M20" i="3" s="1"/>
  <c r="W21" i="1"/>
  <c r="M21" i="3" s="1"/>
  <c r="W22" i="1"/>
  <c r="M22" i="3" s="1"/>
  <c r="W23" i="1"/>
  <c r="M23" i="3" s="1"/>
  <c r="W24" i="1"/>
  <c r="M24" i="3" s="1"/>
  <c r="W29" i="1"/>
  <c r="W56" i="1"/>
  <c r="W67" i="1"/>
  <c r="W57" i="1"/>
  <c r="M57" i="3" s="1"/>
  <c r="W33" i="1"/>
  <c r="W43" i="1"/>
  <c r="M43" i="3" s="1"/>
  <c r="W58" i="1"/>
  <c r="M58" i="3" s="1"/>
  <c r="W59" i="1"/>
  <c r="M59" i="3" s="1"/>
  <c r="W68" i="1"/>
  <c r="W49" i="1"/>
  <c r="W39" i="1"/>
  <c r="W40" i="1"/>
  <c r="W60" i="1"/>
  <c r="W44" i="1"/>
  <c r="M44" i="3" s="1"/>
  <c r="W61" i="1"/>
  <c r="M61" i="3" s="1"/>
  <c r="W30" i="1"/>
  <c r="M30" i="3" s="1"/>
  <c r="W45" i="1"/>
  <c r="M45" i="3" s="1"/>
  <c r="W62" i="1"/>
  <c r="W69" i="1"/>
  <c r="W31" i="1"/>
  <c r="M31" i="3" s="1"/>
  <c r="W46" i="1"/>
  <c r="W63" i="1"/>
  <c r="M63" i="3" s="1"/>
  <c r="W50" i="1"/>
  <c r="M50" i="3" s="1"/>
  <c r="W35" i="1"/>
  <c r="M35" i="3" s="1"/>
  <c r="W64" i="1"/>
  <c r="W70" i="1"/>
  <c r="W71" i="1"/>
  <c r="W47" i="1"/>
  <c r="W34" i="1"/>
  <c r="M34" i="3" s="1"/>
  <c r="W51" i="1"/>
  <c r="W48" i="1"/>
  <c r="W72" i="1"/>
  <c r="W73" i="1"/>
  <c r="W74" i="1"/>
  <c r="W75" i="1"/>
  <c r="W76" i="1"/>
  <c r="W77" i="1"/>
  <c r="W78" i="1"/>
  <c r="W79" i="1"/>
  <c r="W80" i="1"/>
  <c r="W81" i="1"/>
  <c r="W37" i="1"/>
  <c r="W82" i="1"/>
  <c r="W83" i="1"/>
  <c r="W84" i="1"/>
  <c r="W85" i="1"/>
  <c r="W86" i="1"/>
  <c r="W87" i="1"/>
  <c r="W88" i="1"/>
  <c r="W89" i="1"/>
  <c r="W90" i="1"/>
  <c r="W52" i="1"/>
  <c r="W91" i="1"/>
  <c r="W92" i="1"/>
  <c r="W93" i="1"/>
  <c r="W94" i="1"/>
  <c r="W95" i="1"/>
  <c r="W96" i="1"/>
  <c r="W97" i="1"/>
  <c r="W36" i="1"/>
  <c r="M36" i="3" s="1"/>
  <c r="W98" i="1"/>
  <c r="W99" i="1"/>
  <c r="W100" i="1"/>
  <c r="W101" i="1"/>
  <c r="W102" i="1"/>
  <c r="W103" i="1"/>
  <c r="W104" i="1"/>
  <c r="W105" i="1"/>
  <c r="W106" i="1"/>
  <c r="W107" i="1"/>
  <c r="W108" i="1"/>
  <c r="W109" i="1"/>
  <c r="W110" i="1"/>
  <c r="W111" i="1"/>
  <c r="W112" i="1"/>
  <c r="W113" i="1"/>
  <c r="W114" i="1"/>
  <c r="W65" i="1"/>
  <c r="M65" i="3" s="1"/>
  <c r="W115" i="1"/>
  <c r="W116" i="1"/>
  <c r="W117" i="1"/>
  <c r="W118" i="1"/>
  <c r="W119" i="1"/>
  <c r="W120" i="1"/>
  <c r="W121" i="1"/>
  <c r="W122" i="1"/>
  <c r="W123" i="1"/>
  <c r="W124" i="1"/>
  <c r="W125" i="1"/>
  <c r="W126" i="1"/>
  <c r="W127" i="1"/>
  <c r="W128" i="1"/>
  <c r="W129" i="1"/>
  <c r="W130" i="1"/>
  <c r="W131" i="1"/>
  <c r="W132" i="1"/>
  <c r="W133" i="1"/>
  <c r="W41" i="1"/>
  <c r="W134" i="1"/>
  <c r="W135" i="1"/>
  <c r="W136" i="1"/>
  <c r="W137" i="1"/>
  <c r="W138" i="1"/>
  <c r="W139" i="1"/>
  <c r="W140" i="1"/>
  <c r="W141" i="1"/>
  <c r="W142" i="1"/>
  <c r="W143" i="1"/>
  <c r="W144" i="1"/>
  <c r="W145" i="1"/>
  <c r="W146" i="1"/>
  <c r="W147" i="1"/>
  <c r="W148" i="1"/>
  <c r="W149" i="1"/>
  <c r="W38" i="1"/>
  <c r="W150" i="1"/>
  <c r="W53" i="1"/>
  <c r="W151" i="1"/>
  <c r="W152" i="1"/>
  <c r="W153" i="1"/>
  <c r="W154" i="1"/>
  <c r="W155" i="1"/>
  <c r="W156" i="1"/>
  <c r="M159" i="3" s="1"/>
  <c r="W157" i="1"/>
  <c r="M160" i="3" s="1"/>
  <c r="M161" i="3"/>
  <c r="W162" i="1"/>
  <c r="W163" i="1"/>
  <c r="W164" i="1"/>
  <c r="W179" i="1"/>
  <c r="W180" i="1"/>
  <c r="W181" i="1"/>
  <c r="W182" i="1"/>
  <c r="W183" i="1"/>
  <c r="W184" i="1"/>
  <c r="W165" i="1"/>
  <c r="M168" i="3" s="1"/>
  <c r="W185" i="1"/>
  <c r="M188" i="3" s="1"/>
  <c r="W178" i="1"/>
  <c r="M178" i="3" s="1"/>
  <c r="W186" i="1"/>
  <c r="M189" i="3" s="1"/>
  <c r="W187" i="1"/>
  <c r="M190" i="3" s="1"/>
  <c r="W166" i="1"/>
  <c r="M169" i="3" s="1"/>
  <c r="W188" i="1"/>
  <c r="M191" i="3" s="1"/>
  <c r="W189" i="1"/>
  <c r="M192" i="3" s="1"/>
  <c r="M185" i="3" l="1"/>
  <c r="M184" i="3"/>
  <c r="M166" i="3"/>
  <c r="M164" i="3"/>
  <c r="M187" i="3"/>
  <c r="M183" i="3"/>
  <c r="M165" i="3"/>
  <c r="M163" i="3"/>
  <c r="M181" i="3"/>
  <c r="M179" i="3"/>
  <c r="M186" i="3"/>
  <c r="M182" i="3"/>
  <c r="M180" i="3"/>
  <c r="M60" i="3"/>
  <c r="M32" i="3"/>
  <c r="M167" i="3"/>
  <c r="M48" i="3"/>
  <c r="M53" i="3"/>
  <c r="M46" i="3"/>
  <c r="M33" i="3"/>
  <c r="M52" i="3"/>
  <c r="M55" i="3"/>
  <c r="M47" i="3"/>
  <c r="M40" i="3"/>
  <c r="M38" i="3"/>
  <c r="M39" i="3"/>
  <c r="M42" i="3"/>
  <c r="M41" i="3"/>
  <c r="M37" i="3"/>
  <c r="M62" i="3"/>
  <c r="M49" i="3"/>
  <c r="M56" i="3"/>
  <c r="M51" i="3"/>
  <c r="M64" i="3"/>
  <c r="M54" i="3"/>
  <c r="M67" i="3"/>
  <c r="M82" i="3"/>
  <c r="M69" i="3"/>
  <c r="M97" i="3"/>
  <c r="M104" i="3"/>
  <c r="M112" i="3"/>
  <c r="M150" i="3"/>
  <c r="M74" i="3"/>
  <c r="M132" i="3"/>
  <c r="M89" i="3"/>
  <c r="M90" i="3"/>
  <c r="M142" i="3"/>
  <c r="M155" i="3"/>
  <c r="M149" i="3"/>
  <c r="M141" i="3"/>
  <c r="M134" i="3"/>
  <c r="M126" i="3"/>
  <c r="M118" i="3"/>
  <c r="M111" i="3"/>
  <c r="M103" i="3"/>
  <c r="M96" i="3"/>
  <c r="M119" i="3"/>
  <c r="M154" i="3"/>
  <c r="M148" i="3"/>
  <c r="M140" i="3"/>
  <c r="M117" i="3"/>
  <c r="M156" i="3"/>
  <c r="M127" i="3"/>
  <c r="M147" i="3"/>
  <c r="M133" i="3"/>
  <c r="M153" i="3"/>
  <c r="M139" i="3"/>
  <c r="M124" i="3"/>
  <c r="M116" i="3"/>
  <c r="M109" i="3"/>
  <c r="M101" i="3"/>
  <c r="M94" i="3"/>
  <c r="M87" i="3"/>
  <c r="M80" i="3"/>
  <c r="M146" i="3"/>
  <c r="M138" i="3"/>
  <c r="M131" i="3"/>
  <c r="M123" i="3"/>
  <c r="M108" i="3"/>
  <c r="M100" i="3"/>
  <c r="M93" i="3"/>
  <c r="M68" i="3"/>
  <c r="M125" i="3"/>
  <c r="M110" i="3"/>
  <c r="M102" i="3"/>
  <c r="M95" i="3"/>
  <c r="M88" i="3"/>
  <c r="M81" i="3"/>
  <c r="M158" i="3"/>
  <c r="M136" i="3"/>
  <c r="M129" i="3"/>
  <c r="M121" i="3"/>
  <c r="M114" i="3"/>
  <c r="M106" i="3"/>
  <c r="M84" i="3"/>
  <c r="M77" i="3"/>
  <c r="M144" i="3"/>
  <c r="M75" i="3"/>
  <c r="M71" i="3"/>
  <c r="M152" i="3"/>
  <c r="M86" i="3"/>
  <c r="M79" i="3"/>
  <c r="M145" i="3"/>
  <c r="M137" i="3"/>
  <c r="M130" i="3"/>
  <c r="M122" i="3"/>
  <c r="M115" i="3"/>
  <c r="M107" i="3"/>
  <c r="M99" i="3"/>
  <c r="M92" i="3"/>
  <c r="M85" i="3"/>
  <c r="M78" i="3"/>
  <c r="M151" i="3"/>
  <c r="M157" i="3"/>
  <c r="M143" i="3"/>
  <c r="M135" i="3"/>
  <c r="M128" i="3"/>
  <c r="M120" i="3"/>
  <c r="M113" i="3"/>
  <c r="M105" i="3"/>
  <c r="M98" i="3"/>
  <c r="M91" i="3"/>
  <c r="M83" i="3"/>
  <c r="M76" i="3"/>
  <c r="M70" i="3"/>
  <c r="M72" i="3"/>
  <c r="M73" i="3"/>
  <c r="U36" i="3"/>
  <c r="L36" i="3" l="1"/>
  <c r="R36" i="3" s="1"/>
  <c r="L37" i="3"/>
  <c r="R37" i="3" s="1"/>
  <c r="L39" i="3"/>
  <c r="R39" i="3" s="1"/>
  <c r="U42" i="3"/>
  <c r="U38" i="3"/>
  <c r="L42" i="3" l="1"/>
  <c r="R42" i="3" s="1"/>
  <c r="L38" i="3"/>
  <c r="R38" i="3" s="1"/>
  <c r="U44" i="3"/>
  <c r="U47" i="3"/>
  <c r="U53" i="3"/>
  <c r="L53" i="3" l="1"/>
  <c r="R53" i="3" s="1"/>
  <c r="L44" i="3"/>
  <c r="R44" i="3" s="1"/>
  <c r="L47" i="3"/>
  <c r="R47" i="3" s="1"/>
  <c r="K30" i="3" l="1"/>
  <c r="L30" i="3"/>
  <c r="R30" i="3" s="1"/>
  <c r="L46" i="3"/>
  <c r="K46" i="3"/>
  <c r="R46" i="3"/>
  <c r="U163" i="3" l="1"/>
  <c r="L163" i="3" s="1"/>
  <c r="U178" i="3" l="1"/>
  <c r="L17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tc={429DB30D-A899-49AF-BBE4-909762BEC0CA}</author>
    <author>tc={3AF41E1A-6049-41ED-B469-09034CECDCDA}</author>
    <author>tc={19B65AD1-7664-4A4B-ADBC-5194C6C3EFB0}</author>
    <author>tc={AC3C8E5B-6AA7-447D-A1C6-975F109B0A5F}</author>
    <author>tc={5A84C65D-9C81-498A-A233-2E7E6E7DD292}</author>
    <author>tc={D18792C4-9072-4A0E-89BB-5E42203E380E}</author>
    <author>tc={2A3CCC92-FF14-44B7-BAC7-212613D0A1CF}</author>
    <author>tc={5B1F830E-AE5F-4A25-9125-AA8118A2666F}</author>
    <author>tc={AAF81227-80DB-4D3B-9A62-F73E34F31F01}</author>
    <author>tc={240B7240-23AC-49BE-9CCC-FF63DEE98B27}</author>
    <author>tc={09014D9C-4F91-4A80-A141-D27F8EA9E1A0}</author>
    <author>tc={0967DBD6-B8D1-42C3-88AB-62DFF4DB82F2}</author>
    <author>tc={9AE50AD7-8FFA-4C34-84A1-857A7F5C253D}</author>
    <author>tc={46E418DF-2350-4A38-886F-5B458218BA5B}</author>
    <author>tc={B313D397-2B28-4B8F-AA4B-EB392BD006C1}</author>
    <author>tc={08CA73A0-E53E-42C0-AAD3-5C68E14D9528}</author>
    <author>tc={D8333082-B91A-4A19-AB80-6B74B160FCF6}</author>
    <author>tc={F109B4D5-5E10-4541-A6B5-1E9BC3E00412}</author>
    <author>tc={205A6DBF-7B0E-4A81-AD6C-EA5E33C5A789}</author>
    <author>tc={5595D5FE-167E-47BF-921F-1F24FF195CAD}</author>
    <author>tc={A092DC7D-6275-43A6-A07B-B94433E8DCFD}</author>
    <author>tc={5AFB541F-D5B4-4E4E-AAA7-DFA65DAF3FA4}</author>
    <author>tc={49F47292-8DCD-4075-B540-21F662336F82}</author>
    <author>tc={1F0027B2-2AD8-44E5-AB91-E91ACAD6100E}</author>
    <author>tc={FC852F7D-8890-483C-A206-F18B0AAF8980}</author>
    <author>tc={09C3991F-51DE-4F3A-AF87-C41954655B3A}</author>
    <author>tc={B6C356E8-0C31-4616-AAC4-15BCDD44BB65}</author>
    <author>tc={788F2B99-BB00-4F42-A6CB-484ACE807DE8}</author>
    <author>tc={3FA2AAB9-DBED-4CB7-91A0-4CFC53F2894C}</author>
    <author>tc={474BA5E1-AE2E-464C-B561-D85635A5150C}</author>
    <author>tc={7B073385-D31C-4379-9948-FDD289EC1B08}</author>
    <author>tc={5561AB6E-2C5B-43D4-B937-0A1408DCFC27}</author>
    <author>tc={7274C237-C9E1-4625-B586-A0803E41D1DF}</author>
    <author>tc={E29EF5DF-42FA-4FA4-8D97-8CAFC4BC0FCD}</author>
    <author>tc={322075CB-26FF-49D7-B67F-1226464EEB4D}</author>
    <author>tc={1CECA467-E094-446C-9B39-A584246EC010}</author>
    <author>tc={976868D0-F087-4FDD-A5B5-99A715C5A442}</author>
    <author>tc={3E8E4D7C-A6F4-4CA7-B6ED-5FBC601EBD61}</author>
    <author>tc={289EFEBC-C743-4581-B7E7-6405E206ABA6}</author>
    <author>tc={B779E6C7-DBD9-4265-968C-1C8D0E5870B8}</author>
    <author>tc={5F81AED3-4807-46DB-84F3-8446CDA90EBE}</author>
    <author>tc={A13D4B75-A51E-4A9F-932C-94B95B74EFB0}</author>
    <author>tc={BC2744A0-FB69-463A-A829-6BCF97F8B69E}</author>
    <author>tc={D35FAB90-13C5-4D10-A2FA-36FB19C65544}</author>
    <author>tc={750AB6D5-3F8B-4800-9F51-CADE550C4B50}</author>
    <author>tc={FE46C39B-0F08-4EB2-AD60-2F53E9D8891F}</author>
    <author>tc={69C0E462-A8AD-422E-AD79-8E15B44D1248}</author>
    <author>tc={8D209FC7-7CF3-4FE5-9D5D-4C4C2B542A4F}</author>
    <author>tc={1B74D8C6-4469-4C33-869A-458B729B15E7}</author>
    <author>tc={2C40E98C-2C9F-45DE-AB33-6F6F3C012A39}</author>
    <author>tc={D6961021-45BB-4FDA-B29E-E6A76BA1BB36}</author>
    <author>tc={9C182E17-EA5A-47AF-BC9C-10DB4CE783A6}</author>
    <author>tc={D2905966-C0AD-4C4F-BF40-B6E24B45BBD2}</author>
    <author>tc={1B2F55C8-7AA8-4F41-B9A4-5583F1F11E9D}</author>
    <author>tc={E4A2DCD1-CF24-4915-A574-C9D37A4938CA}</author>
    <author>tc={11518B70-E794-4466-8864-3AD4D1EDE233}</author>
    <author>tc={B8A1853A-A3DC-4F15-9DEC-63A96F997E8E}</author>
  </authors>
  <commentList>
    <comment ref="V11" authorId="0" shapeId="0" xr:uid="{429DB30D-A899-49AF-BBE4-909762BEC0CA}">
      <text>
        <t>[Threaded comment]
Your version of Excel allows you to read this threaded comment; however, any edits to it will get removed if the file is opened in a newer version of Excel. Learn more: https://go.microsoft.com/fwlink/?linkid=870924
Comment:
    from here (PTX006 and so on), in solution, as stocks in DMSO will be distributed</t>
      </text>
    </comment>
    <comment ref="V12" authorId="1" shapeId="0" xr:uid="{3AF41E1A-6049-41ED-B469-09034CECDCDA}">
      <text>
        <t>[Threaded comment]
Your version of Excel allows you to read this threaded comment; however, any edits to it will get removed if the file is opened in a newer version of Excel. Learn more: https://go.microsoft.com/fwlink/?linkid=870924
Comment:
    Extrapolation from acrylamide solution</t>
      </text>
    </comment>
    <comment ref="V13" authorId="2" shapeId="0" xr:uid="{19B65AD1-7664-4A4B-ADBC-5194C6C3EFB0}">
      <text>
        <t>[Threaded comment]
Your version of Excel allows you to read this threaded comment; however, any edits to it will get removed if the file is opened in a newer version of Excel. Learn more: https://go.microsoft.com/fwlink/?linkid=870924
Comment:
    Extrapolation from acrylamide solution</t>
      </text>
    </comment>
    <comment ref="T15" authorId="3" shapeId="0" xr:uid="{AC3C8E5B-6AA7-447D-A1C6-975F109B0A5F}">
      <text>
        <t>[Threaded comment]
Your version of Excel allows you to read this threaded comment; however, any edits to it will get removed if the file is opened in a newer version of Excel. Learn more: https://go.microsoft.com/fwlink/?linkid=870924
Comment:
    Extrapolation from acrylamide solution</t>
      </text>
    </comment>
    <comment ref="V18" authorId="4" shapeId="0" xr:uid="{5A84C65D-9C81-498A-A233-2E7E6E7DD292}">
      <text>
        <t>[Threaded comment]
Your version of Excel allows you to read this threaded comment; however, any edits to it will get removed if the file is opened in a newer version of Excel. Learn more: https://go.microsoft.com/fwlink/?linkid=870924
Comment:
    Imidazole is not in the list, extrapolation from other compounds with classification 8, subgroup III</t>
      </text>
    </comment>
    <comment ref="V19" authorId="5" shapeId="0" xr:uid="{D18792C4-9072-4A0E-89BB-5E42203E380E}">
      <text>
        <t>[Threaded comment]
Your version of Excel allows you to read this threaded comment; however, any edits to it will get removed if the file is opened in a newer version of Excel. Learn more: https://go.microsoft.com/fwlink/?linkid=870924
Comment:
    Imidazole is not in the list, extrapolation from other compounds with classification 8, subgroup III</t>
      </text>
    </comment>
    <comment ref="V20" authorId="6" shapeId="0" xr:uid="{2A3CCC92-FF14-44B7-BAC7-212613D0A1CF}">
      <text>
        <t>[Threaded comment]
Your version of Excel allows you to read this threaded comment; however, any edits to it will get removed if the file is opened in a newer version of Excel. Learn more: https://go.microsoft.com/fwlink/?linkid=870924
Comment:
    Imidazole is not in the list, extrapolation from other compounds with classification 8, subgroup II</t>
      </text>
    </comment>
    <comment ref="Q21" authorId="7" shapeId="0" xr:uid="{5B1F830E-AE5F-4A25-9125-AA8118A2666F}">
      <text>
        <t>[Threaded comment]
Your version of Excel allows you to read this threaded comment; however, any edits to it will get removed if the file is opened in a newer version of Excel. Learn more: https://go.microsoft.com/fwlink/?linkid=870924
Comment:
    Try if the vials are suitable!!!</t>
      </text>
    </comment>
    <comment ref="N27" authorId="8" shapeId="0" xr:uid="{AAF81227-80DB-4D3B-9A62-F73E34F31F01}">
      <text>
        <t>[Threaded comment]
Your version of Excel allows you to read this threaded comment; however, any edits to it will get removed if the file is opened in a newer version of Excel. Learn more: https://go.microsoft.com/fwlink/?linkid=870924
Comment:
    Low EC50 value could be to the acid! It would represent a pH around of 5.95 (extrapolating pKa from IM(HCl) due to its analogy)</t>
      </text>
    </comment>
    <comment ref="I56" authorId="9" shapeId="0" xr:uid="{240B7240-23AC-49BE-9CCC-FF63DEE98B27}">
      <text>
        <t>[Threaded comment]
Your version of Excel allows you to read this threaded comment; however, any edits to it will get removed if the file is opened in a newer version of Excel. Learn more: https://go.microsoft.com/fwlink/?linkid=870924
Comment:
    https://bham.sharepoint.com/sites/PrecisionTox-Project/Shared%20Documents/General/Chemical%20Selection%20Working%20Group/Chemical%20Lists/MSDS%20-%20safety%20data%20sheets%20of%20all%20chemicals?csf=1&amp;web=1&amp;e=FDkpra</t>
      </text>
    </comment>
    <comment ref="J56" authorId="10" shapeId="0" xr:uid="{09014D9C-4F91-4A80-A141-D27F8EA9E1A0}">
      <text>
        <t>[Threaded comment]
Your version of Excel allows you to read this threaded comment; however, any edits to it will get removed if the file is opened in a newer version of Excel. Learn more: https://go.microsoft.com/fwlink/?linkid=870924
Comment:
    https://bham.sharepoint.com/sites/PrecisionTox-Project/Shared%20Documents/General/Chemical%20Selection%20Working%20Group/Chemical%20Lists/MSDS%20-%20safety%20data%20sheets%20of%20all%20chemicals?csf=1&amp;web=1&amp;e=FDkpra</t>
      </text>
    </comment>
    <comment ref="K56" authorId="11" shapeId="0" xr:uid="{0967DBD6-B8D1-42C3-88AB-62DFF4DB82F2}">
      <text>
        <t>[Threaded comment]
Your version of Excel allows you to read this threaded comment; however, any edits to it will get removed if the file is opened in a newer version of Excel. Learn more: https://go.microsoft.com/fwlink/?linkid=870924
Comment:
    https://bham.sharepoint.com/sites/PrecisionTox-Project/Shared%20Documents/General/Chemical%20Selection%20Working%20Group/Chemical%20Lists/MSDS%20-%20safety%20data%20sheets%20of%20all%20chemicals?csf=1&amp;web=1&amp;e=FDkpra</t>
      </text>
    </comment>
    <comment ref="L56" authorId="12" shapeId="0" xr:uid="{9AE50AD7-8FFA-4C34-84A1-857A7F5C253D}">
      <text>
        <t>[Threaded comment]
Your version of Excel allows you to read this threaded comment; however, any edits to it will get removed if the file is opened in a newer version of Excel. Learn more: https://go.microsoft.com/fwlink/?linkid=870924
Comment:
    https://bham.sharepoint.com/sites/PrecisionTox-Project/Shared%20Documents/General/Chemical%20Selection%20Working%20Group/Chemical%20Lists/MSDS%20-%20safety%20data%20sheets%20of%20all%20chemicals?csf=1&amp;web=1&amp;e=FDkpra</t>
      </text>
    </comment>
    <comment ref="S56" authorId="13" shapeId="0" xr:uid="{46E418DF-2350-4A38-886F-5B458218BA5B}">
      <text>
        <t>[Threaded comment]
Your version of Excel allows you to read this threaded comment; however, any edits to it will get removed if the file is opened in a newer version of Excel. Learn more: https://go.microsoft.com/fwlink/?linkid=870924
Comment:
    Add the compound to the 2º sheet of "our chemicals"
https://acondicionamiento.sharepoint.com/sites/P-PRECISIONTOX/_layouts/15/Doc.aspx?OR=teams&amp;action=edit&amp;sourcedoc={A2251A8F-1B73-45B7-B0C7-E5E55DE04D79}</t>
      </text>
    </comment>
    <comment ref="T56" authorId="14" shapeId="0" xr:uid="{B313D397-2B28-4B8F-AA4B-EB392BD006C1}">
      <text>
        <t>[Threaded comment]
Your version of Excel allows you to read this threaded comment; however, any edits to it will get removed if the file is opened in a newer version of Excel. Learn more: https://go.microsoft.com/fwlink/?linkid=870924
Comment:
    https://www.chemicalbook.com/ChemicalProductProperty_EN_CB9236183.htm
https://hts.usitc.gov/?query=30049047
https://dataweb.usitc.gov/tariff/database
https://www.tariffnumber.com/2021/28439090</t>
      </text>
    </comment>
    <comment ref="U56" authorId="15" shapeId="0" xr:uid="{08CA73A0-E53E-42C0-AAD3-5C68E14D9528}">
      <text>
        <t>[Threaded comment]
Your version of Excel allows you to read this threaded comment; however, any edits to it will get removed if the file is opened in a newer version of Excel. Learn more: https://go.microsoft.com/fwlink/?linkid=870924
Comment:
    Search it in the 5 sheets
https://acondicionamiento.sharepoint.com/sites/P-PRECISIONTOX/_layouts/15/Doc.aspx?OR=teams&amp;action=edit&amp;sourcedoc={A3A37D94-B53F-438C-8185-313EC3401AB7}</t>
      </text>
    </comment>
    <comment ref="V56" authorId="16" shapeId="0" xr:uid="{D8333082-B91A-4A19-AB80-6B74B160FCF6}">
      <text>
        <t>[Threaded comment]
Your version of Excel allows you to read this threaded comment; however, any edits to it will get removed if the file is opened in a newer version of Excel. Learn more: https://go.microsoft.com/fwlink/?linkid=870924
Comment:
    https://unece.org/DAM/trans/danger/publi/unrec/rev18/English/Rev18_Volume1.pdf
https://acondicionamiento.sharepoint.com/:w:/r/sites/P-PRECISIONTOX/_layouts/15/doc2.aspx?sourcedoc=%7BD2935022-8636-4739-955E-7A9714D9975E%7D&amp;file=IATA%20exemptions%20for%20limited%20quantities.docx&amp;action=default&amp;mobileredirect=true&amp;cid=7438105f-17e2-44db-a3a8-1830913bc70d</t>
      </text>
    </comment>
    <comment ref="G89" authorId="17" shapeId="0" xr:uid="{F109B4D5-5E10-4541-A6B5-1E9BC3E00412}">
      <text>
        <t>[Threaded comment]
Your version of Excel allows you to read this threaded comment; however, any edits to it will get removed if the file is opened in a newer version of Excel. Learn more: https://go.microsoft.com/fwlink/?linkid=870924
Comment:
    very different bibliographic values</t>
      </text>
    </comment>
    <comment ref="E151" authorId="18" shapeId="0" xr:uid="{205A6DBF-7B0E-4A81-AD6C-EA5E33C5A789}">
      <text>
        <t>[Threaded comment]
Your version of Excel allows you to read this threaded comment; however, any edits to it will get removed if the file is opened in a newer version of Excel. Learn more: https://go.microsoft.com/fwlink/?linkid=870924
Comment:
    cas number that was provided was not correct?</t>
      </text>
    </comment>
    <comment ref="A157" authorId="19" shapeId="0" xr:uid="{5595D5FE-167E-47BF-921F-1F24FF195CAD}">
      <text>
        <t>[Threaded comment]
Your version of Excel allows you to read this threaded comment; however, any edits to it will get removed if the file is opened in a newer version of Excel. Learn more: https://go.microsoft.com/fwlink/?linkid=870924
Comment:
    Repeated compound</t>
      </text>
    </comment>
    <comment ref="A177" authorId="20" shapeId="0" xr:uid="{A092DC7D-6275-43A6-A07B-B94433E8DCFD}">
      <text>
        <t>[Threaded comment]
Your version of Excel allows you to read this threaded comment; however, any edits to it will get removed if the file is opened in a newer version of Excel. Learn more: https://go.microsoft.com/fwlink/?linkid=870924
Comment:
    Only in solution (e.g., max. 70% in water)</t>
      </text>
    </comment>
    <comment ref="A178" authorId="21" shapeId="0" xr:uid="{5AFB541F-D5B4-4E4E-AAA7-DFA65DAF3FA4}">
      <text>
        <t>[Threaded comment]
Your version of Excel allows you to read this threaded comment; however, any edits to it will get removed if the file is opened in a newer version of Excel. Learn more: https://go.microsoft.com/fwlink/?linkid=870924
Comment:
    at the end, we look for the PCB28
Reply:
    In this specific case, Indiana would need to purchase its own PCB28, since import/export of PCBs into the US is forbidden:
https://www.epa.gov/tsca-import-export-requirements/tsca-section-6-importexport-requirements-specific-chemicals</t>
      </text>
    </comment>
    <comment ref="T178" authorId="22" shapeId="0" xr:uid="{49F47292-8DCD-4075-B540-21F662336F82}">
      <text>
        <t>[Threaded comment]
Your version of Excel allows you to read this threaded comment; however, any edits to it will get removed if the file is opened in a newer version of Excel. Learn more: https://go.microsoft.com/fwlink/?linkid=870924
Comment:
    It seems to be ban for exporting to US. They should purchase their own PCB?</t>
      </text>
    </comment>
    <comment ref="E181" authorId="23" shapeId="0" xr:uid="{1F0027B2-2AD8-44E5-AB91-E91ACAD6100E}">
      <text>
        <t>[Threaded comment]
Your version of Excel allows you to read this threaded comment; however, any edits to it will get removed if the file is opened in a newer version of Excel. Learn more: https://go.microsoft.com/fwlink/?linkid=870924
Comment:
    It seems to have many CAS numbers depending on the several MSDS</t>
      </text>
    </comment>
    <comment ref="E182" authorId="24" shapeId="0" xr:uid="{FC852F7D-8890-483C-A206-F18B0AAF8980}">
      <text>
        <t>[Threaded comment]
Your version of Excel allows you to read this threaded comment; however, any edits to it will get removed if the file is opened in a newer version of Excel. Learn more: https://go.microsoft.com/fwlink/?linkid=870924
Comment:
    both correct?</t>
      </text>
    </comment>
    <comment ref="A185" authorId="25" shapeId="0" xr:uid="{09C3991F-51DE-4F3A-AF87-C41954655B3A}">
      <text>
        <t>[Threaded comment]
Your version of Excel allows you to read this threaded comment; however, any edits to it will get removed if the file is opened in a newer version of Excel. Learn more: https://go.microsoft.com/fwlink/?linkid=870924
Comment:
    mixture of isomers</t>
      </text>
    </comment>
    <comment ref="M188" authorId="26" shapeId="0" xr:uid="{B6C356E8-0C31-4616-AAC4-15BCDD44BB65}">
      <text>
        <t>[Threaded comment]
Your version of Excel allows you to read this threaded comment; however, any edits to it will get removed if the file is opened in a newer version of Excel. Learn more: https://go.microsoft.com/fwlink/?linkid=870924
Comment:
    https://www.ncbi.nlm.nih.gov/pmc/articles/PMC8308662/</t>
      </text>
    </comment>
    <comment ref="N188" authorId="27" shapeId="0" xr:uid="{788F2B99-BB00-4F42-A6CB-484ACE807DE8}">
      <text>
        <t>[Threaded comment]
Your version of Excel allows you to read this threaded comment; however, any edits to it will get removed if the file is opened in a newer version of Excel. Learn more: https://go.microsoft.com/fwlink/?linkid=870924
Comment:
    https://www.ncbi.nlm.nih.gov/pmc/articles/PMC8308662/</t>
      </text>
    </comment>
    <comment ref="A190" authorId="28" shapeId="0" xr:uid="{3FA2AAB9-DBED-4CB7-91A0-4CFC53F2894C}">
      <text>
        <t>[Threaded comment]
Your version of Excel allows you to read this threaded comment; however, any edits to it will get removed if the file is opened in a newer version of Excel. Learn more: https://go.microsoft.com/fwlink/?linkid=870924
Comment:
    no suppliers found</t>
      </text>
    </comment>
    <comment ref="A191" authorId="29" shapeId="0" xr:uid="{474BA5E1-AE2E-464C-B561-D85635A5150C}">
      <text>
        <t>[Threaded comment]
Your version of Excel allows you to read this threaded comment; however, any edits to it will get removed if the file is opened in a newer version of Excel. Learn more: https://go.microsoft.com/fwlink/?linkid=870924
Comment:
    I recommend to don't use this chemical, to risky for users!</t>
      </text>
    </comment>
    <comment ref="M192" authorId="30" shapeId="0" xr:uid="{7B073385-D31C-4379-9948-FDD289EC1B08}">
      <text>
        <t>[Threaded comment]
Your version of Excel allows you to read this threaded comment; however, any edits to it will get removed if the file is opened in a newer version of Excel. Learn more: https://go.microsoft.com/fwlink/?linkid=870924
Comment:
    https://www.selleck.eu/products/t0901317.html?gclid=EAIaIQobChMIiIjW4ovp9wIVwpTVCh34BwXnEAAYAiAAEgKj9fD_BwE</t>
      </text>
    </comment>
    <comment ref="N192" authorId="31" shapeId="0" xr:uid="{5561AB6E-2C5B-43D4-B937-0A1408DCFC27}">
      <text>
        <t>[Threaded comment]
Your version of Excel allows you to read this threaded comment; however, any edits to it will get removed if the file is opened in a newer version of Excel. Learn more: https://go.microsoft.com/fwlink/?linkid=870924
Comment:
    https://www.selleck.eu/products/t0901317.html?gclid=EAIaIQobChMIiIjW4ovp9wIVwpTVCh34BwXnEAAYAiAAEgKj9fD_BwE</t>
      </text>
    </comment>
    <comment ref="A194" authorId="32" shapeId="0" xr:uid="{7274C237-C9E1-4625-B586-A0803E41D1DF}">
      <text>
        <t>[Threaded comment]
Your version of Excel allows you to read this threaded comment; however, any edits to it will get removed if the file is opened in a newer version of Excel. Learn more: https://go.microsoft.com/fwlink/?linkid=870924
Comment:
    wrong CAS and also: there is only available paraquat dichloride</t>
      </text>
    </comment>
    <comment ref="A196" authorId="33" shapeId="0" xr:uid="{E29EF5DF-42FA-4FA4-8D97-8CAFC4BC0FCD}">
      <text>
        <t>[Threaded comment]
Your version of Excel allows you to read this threaded comment; however, any edits to it will get removed if the file is opened in a newer version of Excel. Learn more: https://go.microsoft.com/fwlink/?linkid=870924
Comment:
    I recommend to don't use this chemical, to risky for users!</t>
      </text>
    </comment>
    <comment ref="A197" authorId="34" shapeId="0" xr:uid="{322075CB-26FF-49D7-B67F-1226464EEB4D}">
      <text>
        <t>[Threaded comment]
Your version of Excel allows you to read this threaded comment; however, any edits to it will get removed if the file is opened in a newer version of Excel. Learn more: https://go.microsoft.com/fwlink/?linkid=870924
Comment:
    It was in the anhydrous form before. It would be the same once dissolved. I recommend to use just one of the both chemicals</t>
      </text>
    </comment>
    <comment ref="A199" authorId="35" shapeId="0" xr:uid="{1CECA467-E094-446C-9B39-A584246EC010}">
      <text>
        <t>[Threaded comment]
Your version of Excel allows you to read this threaded comment; however, any edits to it will get removed if the file is opened in a newer version of Excel. Learn more: https://go.microsoft.com/fwlink/?linkid=870924
Comment:
    Repeated (PTX043)</t>
      </text>
    </comment>
    <comment ref="A202" authorId="36" shapeId="0" xr:uid="{976868D0-F087-4FDD-A5B5-99A715C5A442}">
      <text>
        <t>[Threaded comment]
Your version of Excel allows you to read this threaded comment; however, any edits to it will get removed if the file is opened in a newer version of Excel. Learn more: https://go.microsoft.com/fwlink/?linkid=870924
Comment:
    Repeated (PTX006)</t>
      </text>
    </comment>
    <comment ref="A209" authorId="37" shapeId="0" xr:uid="{3E8E4D7C-A6F4-4CA7-B6ED-5FBC601EBD61}">
      <text>
        <t>[Threaded comment]
Your version of Excel allows you to read this threaded comment; however, any edits to it will get removed if the file is opened in a newer version of Excel. Learn more: https://go.microsoft.com/fwlink/?linkid=870924
Comment:
    Repeated (PTX037)</t>
      </text>
    </comment>
    <comment ref="A211" authorId="38" shapeId="0" xr:uid="{289EFEBC-C743-4581-B7E7-6405E206ABA6}">
      <text>
        <t>[Threaded comment]
Your version of Excel allows you to read this threaded comment; however, any edits to it will get removed if the file is opened in a newer version of Excel. Learn more: https://go.microsoft.com/fwlink/?linkid=870924
Comment:
    Repeated</t>
      </text>
    </comment>
    <comment ref="A215" authorId="39" shapeId="0" xr:uid="{B779E6C7-DBD9-4265-968C-1C8D0E5870B8}">
      <text>
        <t>[Threaded comment]
Your version of Excel allows you to read this threaded comment; however, any edits to it will get removed if the file is opened in a newer version of Excel. Learn more: https://go.microsoft.com/fwlink/?linkid=870924
Comment:
    Max. content 80%, rest is aromatic hydrocarbons!</t>
      </text>
    </comment>
    <comment ref="A217" authorId="40" shapeId="0" xr:uid="{5F81AED3-4807-46DB-84F3-8446CDA90EBE}">
      <text>
        <t>[Threaded comment]
Your version of Excel allows you to read this threaded comment; however, any edits to it will get removed if the file is opened in a newer version of Excel. Learn more: https://go.microsoft.com/fwlink/?linkid=870924
Comment:
    Repeated</t>
      </text>
    </comment>
    <comment ref="A220" authorId="41" shapeId="0" xr:uid="{A13D4B75-A51E-4A9F-932C-94B95B74EFB0}">
      <text>
        <t>[Threaded comment]
Your version of Excel allows you to read this threaded comment; however, any edits to it will get removed if the file is opened in a newer version of Excel. Learn more: https://go.microsoft.com/fwlink/?linkid=870924
Comment:
    It will the same as the above chemical</t>
      </text>
    </comment>
    <comment ref="A221" authorId="42" shapeId="0" xr:uid="{BC2744A0-FB69-463A-A829-6BCF97F8B69E}">
      <text>
        <t>[Threaded comment]
Your version of Excel allows you to read this threaded comment; however, any edits to it will get removed if the file is opened in a newer version of Excel. Learn more: https://go.microsoft.com/fwlink/?linkid=870924
Comment:
    Repeated</t>
      </text>
    </comment>
    <comment ref="A236" authorId="43" shapeId="0" xr:uid="{D35FAB90-13C5-4D10-A2FA-36FB19C65544}">
      <text>
        <t>[Threaded comment]
Your version of Excel allows you to read this threaded comment; however, any edits to it will get removed if the file is opened in a newer version of Excel. Learn more: https://go.microsoft.com/fwlink/?linkid=870924
Comment:
    Controlled substance for shipments! Check</t>
      </text>
    </comment>
    <comment ref="A237" authorId="44" shapeId="0" xr:uid="{750AB6D5-3F8B-4800-9F51-CADE550C4B50}">
      <text>
        <t>[Threaded comment]
Your version of Excel allows you to read this threaded comment; however, any edits to it will get removed if the file is opened in a newer version of Excel. Learn more: https://go.microsoft.com/fwlink/?linkid=870924
Comment:
    Controlled substance for shipments! Check</t>
      </text>
    </comment>
    <comment ref="O245" authorId="45" shapeId="0" xr:uid="{FE46C39B-0F08-4EB2-AD60-2F53E9D8891F}">
      <text>
        <t>[Threaded comment]
Your version of Excel allows you to read this threaded comment; however, any edits to it will get removed if the file is opened in a newer version of Excel. Learn more: https://go.microsoft.com/fwlink/?linkid=870924
Comment:
     it depends on the manufacturer</t>
      </text>
    </comment>
    <comment ref="N246" authorId="46" shapeId="0" xr:uid="{69C0E462-A8AD-422E-AD79-8E15B44D1248}">
      <text>
        <t>[Threaded comment]
Your version of Excel allows you to read this threaded comment; however, any edits to it will get removed if the file is opened in a newer version of Excel. Learn more: https://go.microsoft.com/fwlink/?linkid=870924
Comment:
    QSAR prediction</t>
      </text>
    </comment>
    <comment ref="O246" authorId="47" shapeId="0" xr:uid="{8D209FC7-7CF3-4FE5-9D5D-4C4C2B542A4F}">
      <text>
        <t>[Threaded comment]
Your version of Excel allows you to read this threaded comment; however, any edits to it will get removed if the file is opened in a newer version of Excel. Learn more: https://go.microsoft.com/fwlink/?linkid=870924
Comment:
     it depends on the manufacturer</t>
      </text>
    </comment>
    <comment ref="M247" authorId="48" shapeId="0" xr:uid="{1B74D8C6-4469-4C33-869A-458B729B15E7}">
      <text>
        <t>[Threaded comment]
Your version of Excel allows you to read this threaded comment; however, any edits to it will get removed if the file is opened in a newer version of Excel. Learn more: https://go.microsoft.com/fwlink/?linkid=870924
Comment:
    Extrapolated from algae toxicity</t>
      </text>
    </comment>
    <comment ref="N247" authorId="49" shapeId="0" xr:uid="{2C40E98C-2C9F-45DE-AB33-6F6F3C012A39}">
      <text>
        <t>[Threaded comment]
Your version of Excel allows you to read this threaded comment; however, any edits to it will get removed if the file is opened in a newer version of Excel. Learn more: https://go.microsoft.com/fwlink/?linkid=870924
Comment:
    Extrapolated from algae toxicity</t>
      </text>
    </comment>
    <comment ref="M249" authorId="50" shapeId="0" xr:uid="{D6961021-45BB-4FDA-B29E-E6A76BA1BB36}">
      <text>
        <t>[Threaded comment]
Your version of Excel allows you to read this threaded comment; however, any edits to it will get removed if the file is opened in a newer version of Excel. Learn more: https://go.microsoft.com/fwlink/?linkid=870924
Comment:
    &gt;180 mg/l</t>
      </text>
    </comment>
    <comment ref="N249" authorId="51" shapeId="0" xr:uid="{9C182E17-EA5A-47AF-BC9C-10DB4CE783A6}">
      <text>
        <t>[Threaded comment]
Your version of Excel allows you to read this threaded comment; however, any edits to it will get removed if the file is opened in a newer version of Excel. Learn more: https://go.microsoft.com/fwlink/?linkid=870924
Comment:
    &gt;100 mg/l</t>
      </text>
    </comment>
    <comment ref="A250" authorId="52" shapeId="0" xr:uid="{D2905966-C0AD-4C4F-BF40-B6E24B45BBD2}">
      <text>
        <t>[Threaded comment]
Your version of Excel allows you to read this threaded comment; however, any edits to it will get removed if the file is opened in a newer version of Excel. Learn more: https://go.microsoft.com/fwlink/?linkid=870924
Comment:
    Controlled substance for shipments! Check</t>
      </text>
    </comment>
    <comment ref="M251" authorId="53" shapeId="0" xr:uid="{1B2F55C8-7AA8-4F41-B9A4-5583F1F11E9D}">
      <text>
        <t>[Threaded comment]
Your version of Excel allows you to read this threaded comment; however, any edits to it will get removed if the file is opened in a newer version of Excel. Learn more: https://go.microsoft.com/fwlink/?linkid=870924
Comment:
    &gt;10000 mg/l</t>
      </text>
    </comment>
    <comment ref="O251" authorId="54" shapeId="0" xr:uid="{E4A2DCD1-CF24-4915-A574-C9D37A4938CA}">
      <text>
        <t>[Threaded comment]
Your version of Excel allows you to read this threaded comment; however, any edits to it will get removed if the file is opened in a newer version of Excel. Learn more: https://go.microsoft.com/fwlink/?linkid=870924
Comment:
     it depends on the manufacturer</t>
      </text>
    </comment>
    <comment ref="O252" authorId="55" shapeId="0" xr:uid="{11518B70-E794-4466-8864-3AD4D1EDE233}">
      <text>
        <t>[Threaded comment]
Your version of Excel allows you to read this threaded comment; however, any edits to it will get removed if the file is opened in a newer version of Excel. Learn more: https://go.microsoft.com/fwlink/?linkid=870924
Comment:
     it depends on the manufacturer</t>
      </text>
    </comment>
    <comment ref="N253" authorId="56" shapeId="0" xr:uid="{B8A1853A-A3DC-4F15-9DEC-63A96F997E8E}">
      <text>
        <t>[Threaded comment]
Your version of Excel allows you to read this threaded comment; however, any edits to it will get removed if the file is opened in a newer version of Excel. Learn more: https://go.microsoft.com/fwlink/?linkid=870924
Comment:
    &gt;1000 mg/l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tc={55700F2F-5471-456E-BC5E-9F95581D612B}</author>
    <author>tc={29D4239B-56DE-45BD-A0BE-4DAF3DE8EC3E}</author>
    <author>tc={13960D77-C3D5-4BFB-B4FA-342D50EE143D}</author>
    <author>tc={862AF874-6311-40A1-AF6F-034EE6BC6792}</author>
    <author>tc={58F9D45B-7181-4CFC-B0C9-B41588FEA346}</author>
    <author>tc={9AC113EE-9FA0-4F8E-80AD-A21C6F9BE62A}</author>
    <author>tc={0446E13F-D355-4DF6-B93A-B0F9D056F808}</author>
    <author>tc={C7A37C43-B2BE-4E44-A3A9-61305762E3B7}</author>
    <author>tc={69F7A453-AAF8-496C-9465-35ADE575B5DF}</author>
    <author>tc={4AAE50E3-10B7-4234-BB82-A472C9ED2322}</author>
    <author>tc={3600B355-26A7-44E2-9531-4160E3A87960}</author>
    <author>tc={C20B017A-37F0-4311-BCA4-CA9F677F8449}</author>
    <author>tc={02678BBC-B81E-4441-843F-A4ACF1E74C58}</author>
    <author>tc={F833D559-D461-4C45-A93A-277B0406A98D}</author>
    <author>tc={33D0CEFA-4978-406F-AAFE-A22A0EF87BD0}</author>
    <author>tc={BFD9CF35-1AAB-4C2C-85CB-976A455F53B5}</author>
    <author>tc={77B17C53-2920-49F2-9C48-79A98518462E}</author>
    <author>tc={E7F0FF86-7A8B-46B8-8BC2-327325FAAC39}</author>
    <author>tc={26C2AB5B-B42E-4190-B546-364CA0A78DBB}</author>
    <author>tc={06CBD19D-3EC3-426D-9A11-DC779E2112AC}</author>
    <author>tc={3B7C304A-7017-4DBA-A4C3-7F2892B55B6A}</author>
    <author>tc={2B6BE241-0471-4791-8135-C9A1BEAB30B5}</author>
    <author>tc={48D5C319-9F94-40AA-BC61-89212EC2ED6D}</author>
    <author>tc={64EE3ECF-FB85-4044-8F5D-BA0E73822A4E}</author>
    <author>tc={44AA9129-D429-4727-828D-1BA781FF65D5}</author>
    <author>tc={958B85CE-6D62-463E-A75F-7EE9BAB3B36E}</author>
    <author>tc={967B01BE-834D-4CCE-913D-9B62E7CE9AB5}</author>
    <author>tc={5C3BC76D-5E03-4C82-A1B9-6536A28D735F}</author>
    <author>tc={CBB59091-2D17-4EA9-8393-F26713FF9EA0}</author>
    <author>tc={88DAEFB3-C3BF-4CD6-8EE2-E73EDBE98A7B}</author>
    <author>tc={008DE14E-B4A1-43DC-A912-CA79D60F2300}</author>
    <author>tc={07E9F229-A399-4638-A1A2-124536BF70BC}</author>
    <author>tc={ECAC3359-BCF3-491A-BF7A-01113F68E24F}</author>
    <author>tc={FD40C734-9C56-4A86-939D-657B68A05550}</author>
    <author>tc={CFDA075B-9912-4FCF-83DD-BBD3CDC54640}</author>
    <author>tc={B9E05AA4-9F96-481A-90D9-76ABFBDBFD57}</author>
    <author>tc={BD052035-5A81-4435-A569-70FAE3A0073A}</author>
    <author>tc={F8BD88E1-27E6-4F76-A559-4B0D0F25C1D8}</author>
    <author>tc={8FB7DCDD-62AF-4698-861F-01F1741AEFED}</author>
    <author>tc={4AD83C7B-4B22-4D83-B6C6-2506AEAB8693}</author>
    <author>tc={EFC5A509-B8C3-4099-9352-032A1F982861}</author>
    <author>tc={FE3899E5-8DF2-49BF-8F58-F2D1A67BB50B}</author>
    <author>tc={1CFE63AD-9C9A-4DE1-BB85-DF40F1E852A8}</author>
    <author>tc={22BCBD0B-9FE6-43CD-9E72-022517BFDD00}</author>
    <author>tc={28994F5A-EB1E-4B84-BE3D-F66E90DB4AA9}</author>
    <author>tc={58628157-72C2-4B51-A371-CDFD2A2033FC}</author>
    <author>tc={90C52BBC-1703-47CB-A1EF-7A818C2698E8}</author>
    <author>tc={75E2FCD6-1953-4490-9FDC-07563B396B42}</author>
    <author>tc={8D71C891-978D-4D52-951A-A372C6CA18DF}</author>
  </authors>
  <commentList>
    <comment ref="O13" authorId="0" shapeId="0" xr:uid="{55700F2F-5471-456E-BC5E-9F95581D612B}">
      <text>
        <t>[Threaded comment]
Your version of Excel allows you to read this threaded comment; however, any edits to it will get removed if the file is opened in a newer version of Excel. Learn more: https://go.microsoft.com/fwlink/?linkid=870924
Comment:
    Unclear</t>
      </text>
    </comment>
    <comment ref="O17" authorId="1" shapeId="0" xr:uid="{29D4239B-56DE-45BD-A0BE-4DAF3DE8EC3E}">
      <text>
        <t>[Threaded comment]
Your version of Excel allows you to read this threaded comment; however, any edits to it will get removed if the file is opened in a newer version of Excel. Learn more: https://go.microsoft.com/fwlink/?linkid=870924
Comment:
    Unclear</t>
      </text>
    </comment>
    <comment ref="O22" authorId="2" shapeId="0" xr:uid="{13960D77-C3D5-4BFB-B4FA-342D50EE143D}">
      <text>
        <t>[Threaded comment]
Your version of Excel allows you to read this threaded comment; however, any edits to it will get removed if the file is opened in a newer version of Excel. Learn more: https://go.microsoft.com/fwlink/?linkid=870924
Comment:
    Unclear</t>
      </text>
    </comment>
    <comment ref="O24" authorId="3" shapeId="0" xr:uid="{862AF874-6311-40A1-AF6F-034EE6BC6792}">
      <text>
        <t>[Threaded comment]
Your version of Excel allows you to read this threaded comment; however, any edits to it will get removed if the file is opened in a newer version of Excel. Learn more: https://go.microsoft.com/fwlink/?linkid=870924
Comment:
    Unclear</t>
      </text>
    </comment>
    <comment ref="O27" authorId="4" shapeId="0" xr:uid="{58F9D45B-7181-4CFC-B0C9-B41588FEA346}">
      <text>
        <t>[Threaded comment]
Your version of Excel allows you to read this threaded comment; however, any edits to it will get removed if the file is opened in a newer version of Excel. Learn more: https://go.microsoft.com/fwlink/?linkid=870924
Comment:
    Circa 200g if pH is adjusted</t>
      </text>
    </comment>
    <comment ref="O33" authorId="5" shapeId="0" xr:uid="{9AC113EE-9FA0-4F8E-80AD-A21C6F9BE62A}">
      <text>
        <t>[Threaded comment]
Your version of Excel allows you to read this threaded comment; however, any edits to it will get removed if the file is opened in a newer version of Excel. Learn more: https://go.microsoft.com/fwlink/?linkid=870924
Comment:
    calculated by extrapolation, unknown</t>
      </text>
    </comment>
    <comment ref="O36" authorId="6" shapeId="0" xr:uid="{0446E13F-D355-4DF6-B93A-B0F9D056F808}">
      <text>
        <t>[Threaded comment]
Your version of Excel allows you to read this threaded comment; however, any edits to it will get removed if the file is opened in a newer version of Excel. Learn more: https://go.microsoft.com/fwlink/?linkid=870924
Comment:
    Unclear</t>
      </text>
    </comment>
    <comment ref="O37" authorId="7" shapeId="0" xr:uid="{C7A37C43-B2BE-4E44-A3A9-61305762E3B7}">
      <text>
        <t>[Threaded comment]
Your version of Excel allows you to read this threaded comment; however, any edits to it will get removed if the file is opened in a newer version of Excel. Learn more: https://go.microsoft.com/fwlink/?linkid=870924
Comment:
    Unclear</t>
      </text>
    </comment>
    <comment ref="O39" authorId="8" shapeId="0" xr:uid="{69F7A453-AAF8-496C-9465-35ADE575B5DF}">
      <text>
        <t>[Threaded comment]
Your version of Excel allows you to read this threaded comment; however, any edits to it will get removed if the file is opened in a newer version of Excel. Learn more: https://go.microsoft.com/fwlink/?linkid=870924
Comment:
    Unclear</t>
      </text>
    </comment>
    <comment ref="L55" authorId="9" shapeId="0" xr:uid="{4AAE50E3-10B7-4234-BB82-A472C9ED2322}">
      <text>
        <t>[Threaded comment]
Your version of Excel allows you to read this threaded comment; however, any edits to it will get removed if the file is opened in a newer version of Excel. Learn more: https://go.microsoft.com/fwlink/?linkid=870924
Comment:
    3630 mg/L regarding toxicity; changed to consider effects (lower amounts) for adjusting prices</t>
      </text>
    </comment>
    <comment ref="L56" authorId="10" shapeId="0" xr:uid="{3600B355-26A7-44E2-9531-4160E3A87960}">
      <text>
        <t>[Threaded comment]
Your version of Excel allows you to read this threaded comment; however, any edits to it will get removed if the file is opened in a newer version of Excel. Learn more: https://go.microsoft.com/fwlink/?linkid=870924
Comment:
    6450 mg/L regarding toxicity; changed to consider effects (lower amounts) for adjusting prices</t>
      </text>
    </comment>
    <comment ref="L60" authorId="11" shapeId="0" xr:uid="{C20B017A-37F0-4311-BCA4-CA9F677F8449}">
      <text>
        <t>[Threaded comment]
Your version of Excel allows you to read this threaded comment; however, any edits to it will get removed if the file is opened in a newer version of Excel. Learn more: https://go.microsoft.com/fwlink/?linkid=870924
Comment:
    1,5 mg/L regarding toxicity; changed to consider effects (lower amounts) for adjusting prices</t>
      </text>
    </comment>
    <comment ref="L61" authorId="12" shapeId="0" xr:uid="{02678BBC-B81E-4441-843F-A4ACF1E74C58}">
      <text>
        <t>[Threaded comment]
Your version of Excel allows you to read this threaded comment; however, any edits to it will get removed if the file is opened in a newer version of Excel. Learn more: https://go.microsoft.com/fwlink/?linkid=870924
Comment:
    100 mg/L regarding toxicity; changed to consider effects (lower amounts) for adjusting prices</t>
      </text>
    </comment>
    <comment ref="L62" authorId="13" shapeId="0" xr:uid="{F833D559-D461-4C45-A93A-277B0406A98D}">
      <text>
        <t>[Threaded comment]
Your version of Excel allows you to read this threaded comment; however, any edits to it will get removed if the file is opened in a newer version of Excel. Learn more: https://go.microsoft.com/fwlink/?linkid=870924
Comment:
    909 mg/L regarding toxicity; changed to consider effects (lower amounts) for adjusting prices</t>
      </text>
    </comment>
    <comment ref="L64" authorId="14" shapeId="0" xr:uid="{33D0CEFA-4978-406F-AAFE-A22A0EF87BD0}">
      <text>
        <t>[Threaded comment]
Your version of Excel allows you to read this threaded comment; however, any edits to it will get removed if the file is opened in a newer version of Excel. Learn more: https://go.microsoft.com/fwlink/?linkid=870924
Comment:
    5 mg/L regarding toxicity; changed to consider effects (lower amounts) for adjusting prices</t>
      </text>
    </comment>
    <comment ref="L65" authorId="15" shapeId="0" xr:uid="{BFD9CF35-1AAB-4C2C-85CB-976A455F53B5}">
      <text>
        <t>[Threaded comment]
Your version of Excel allows you to read this threaded comment; however, any edits to it will get removed if the file is opened in a newer version of Excel. Learn more: https://go.microsoft.com/fwlink/?linkid=870924
Comment:
    655 mg/L regarding toxicity; changed to consider effects (lower amounts) for adjusting prices</t>
      </text>
    </comment>
    <comment ref="O65" authorId="16" shapeId="0" xr:uid="{77B17C53-2920-49F2-9C48-79A98518462E}">
      <text>
        <t>[Threaded comment]
Your version of Excel allows you to read this threaded comment; however, any edits to it will get removed if the file is opened in a newer version of Excel. Learn more: https://go.microsoft.com/fwlink/?linkid=870924
Comment:
    Unclear</t>
      </text>
    </comment>
    <comment ref="O73" authorId="17" shapeId="0" xr:uid="{E7F0FF86-7A8B-46B8-8BC2-327325FAAC39}">
      <text>
        <t>[Threaded comment]
Your version of Excel allows you to read this threaded comment; however, any edits to it will get removed if the file is opened in a newer version of Excel. Learn more: https://go.microsoft.com/fwlink/?linkid=870924
Comment:
    unclear</t>
      </text>
    </comment>
    <comment ref="J77" authorId="18" shapeId="0" xr:uid="{26C2AB5B-B42E-4190-B546-364CA0A78DBB}">
      <text>
        <t>[Threaded comment]
Your version of Excel allows you to read this threaded comment; however, any edits to it will get removed if the file is opened in a newer version of Excel. Learn more: https://go.microsoft.com/fwlink/?linkid=870924
Comment:
    https://www.tcichemicals.com/ES/en/search/?text=Andrographolide+</t>
      </text>
    </comment>
    <comment ref="O77" authorId="19" shapeId="0" xr:uid="{06CBD19D-3EC3-426D-9A11-DC779E2112AC}">
      <text>
        <t>[Threaded comment]
Your version of Excel allows you to read this threaded comment; however, any edits to it will get removed if the file is opened in a newer version of Excel. Learn more: https://go.microsoft.com/fwlink/?linkid=870924
Comment:
    Unclear</t>
      </text>
    </comment>
    <comment ref="G89" authorId="20" shapeId="0" xr:uid="{3B7C304A-7017-4DBA-A4C3-7F2892B55B6A}">
      <text>
        <t>[Threaded comment]
Your version of Excel allows you to read this threaded comment; however, any edits to it will get removed if the file is opened in a newer version of Excel. Learn more: https://go.microsoft.com/fwlink/?linkid=870924
Comment:
    very different bibliographic values</t>
      </text>
    </comment>
    <comment ref="O92" authorId="21" shapeId="0" xr:uid="{2B6BE241-0471-4791-8135-C9A1BEAB30B5}">
      <text>
        <t>[Threaded comment]
Your version of Excel allows you to read this threaded comment; however, any edits to it will get removed if the file is opened in a newer version of Excel. Learn more: https://go.microsoft.com/fwlink/?linkid=870924
Comment:
    Unclear</t>
      </text>
    </comment>
    <comment ref="O107" authorId="22" shapeId="0" xr:uid="{48D5C319-9F94-40AA-BC61-89212EC2ED6D}">
      <text>
        <t>[Threaded comment]
Your version of Excel allows you to read this threaded comment; however, any edits to it will get removed if the file is opened in a newer version of Excel. Learn more: https://go.microsoft.com/fwlink/?linkid=870924
Comment:
    Unclear</t>
      </text>
    </comment>
    <comment ref="O119" authorId="23" shapeId="0" xr:uid="{64EE3ECF-FB85-4044-8F5D-BA0E73822A4E}">
      <text>
        <t>[Threaded comment]
Your version of Excel allows you to read this threaded comment; however, any edits to it will get removed if the file is opened in a newer version of Excel. Learn more: https://go.microsoft.com/fwlink/?linkid=870924
Comment:
    Unclear</t>
      </text>
    </comment>
    <comment ref="O122" authorId="24" shapeId="0" xr:uid="{44AA9129-D429-4727-828D-1BA781FF65D5}">
      <text>
        <t>[Threaded comment]
Your version of Excel allows you to read this threaded comment; however, any edits to it will get removed if the file is opened in a newer version of Excel. Learn more: https://go.microsoft.com/fwlink/?linkid=870924
Comment:
    Unclear</t>
      </text>
    </comment>
    <comment ref="O125" authorId="25" shapeId="0" xr:uid="{958B85CE-6D62-463E-A75F-7EE9BAB3B36E}">
      <text>
        <t>[Threaded comment]
Your version of Excel allows you to read this threaded comment; however, any edits to it will get removed if the file is opened in a newer version of Excel. Learn more: https://go.microsoft.com/fwlink/?linkid=870924
Comment:
    Unclear</t>
      </text>
    </comment>
    <comment ref="O126" authorId="26" shapeId="0" xr:uid="{967B01BE-834D-4CCE-913D-9B62E7CE9AB5}">
      <text>
        <t>[Threaded comment]
Your version of Excel allows you to read this threaded comment; however, any edits to it will get removed if the file is opened in a newer version of Excel. Learn more: https://go.microsoft.com/fwlink/?linkid=870924
Comment:
    Unclear</t>
      </text>
    </comment>
    <comment ref="O130" authorId="27" shapeId="0" xr:uid="{5C3BC76D-5E03-4C82-A1B9-6536A28D735F}">
      <text>
        <t>[Threaded comment]
Your version of Excel allows you to read this threaded comment; however, any edits to it will get removed if the file is opened in a newer version of Excel. Learn more: https://go.microsoft.com/fwlink/?linkid=870924
Comment:
    Unclear</t>
      </text>
    </comment>
    <comment ref="O132" authorId="28" shapeId="0" xr:uid="{CBB59091-2D17-4EA9-8393-F26713FF9EA0}">
      <text>
        <t>[Threaded comment]
Your version of Excel allows you to read this threaded comment; however, any edits to it will get removed if the file is opened in a newer version of Excel. Learn more: https://go.microsoft.com/fwlink/?linkid=870924
Comment:
    Unclear</t>
      </text>
    </comment>
    <comment ref="O134" authorId="29" shapeId="0" xr:uid="{88DAEFB3-C3BF-4CD6-8EE2-E73EDBE98A7B}">
      <text>
        <t>[Threaded comment]
Your version of Excel allows you to read this threaded comment; however, any edits to it will get removed if the file is opened in a newer version of Excel. Learn more: https://go.microsoft.com/fwlink/?linkid=870924
Comment:
    Unclear</t>
      </text>
    </comment>
    <comment ref="O147" authorId="30" shapeId="0" xr:uid="{008DE14E-B4A1-43DC-A912-CA79D60F2300}">
      <text>
        <t>[Threaded comment]
Your version of Excel allows you to read this threaded comment; however, any edits to it will get removed if the file is opened in a newer version of Excel. Learn more: https://go.microsoft.com/fwlink/?linkid=870924
Comment:
    Unclear</t>
      </text>
    </comment>
    <comment ref="D151" authorId="31" shapeId="0" xr:uid="{07E9F229-A399-4638-A1A2-124536BF70BC}">
      <text>
        <t>[Threaded comment]
Your version of Excel allows you to read this threaded comment; however, any edits to it will get removed if the file is opened in a newer version of Excel. Learn more: https://go.microsoft.com/fwlink/?linkid=870924
Comment:
    cas number that was provided was not correct?</t>
      </text>
    </comment>
    <comment ref="A215" authorId="32" shapeId="0" xr:uid="{ECAC3359-BCF3-491A-BF7A-01113F68E24F}">
      <text>
        <t>[Threaded comment]
Your version of Excel allows you to read this threaded comment; however, any edits to it will get removed if the file is opened in a newer version of Excel. Learn more: https://go.microsoft.com/fwlink/?linkid=870924
Comment:
    Max. content 80%, rest is aromatic hydrocarbons!</t>
      </text>
    </comment>
    <comment ref="O233" authorId="33" shapeId="0" xr:uid="{FD40C734-9C56-4A86-939D-657B68A05550}">
      <text>
        <t>[Threaded comment]
Your version of Excel allows you to read this threaded comment; however, any edits to it will get removed if the file is opened in a newer version of Excel. Learn more: https://go.microsoft.com/fwlink/?linkid=870924
Comment:
    Citotoxicity (27 uM) used to re-calculate the needed amounts</t>
      </text>
    </comment>
    <comment ref="P233" authorId="34" shapeId="0" xr:uid="{CFDA075B-9912-4FCF-83DD-BBD3CDC54640}">
      <text>
        <t>[Threaded comment]
Your version of Excel allows you to read this threaded comment; however, any edits to it will get removed if the file is opened in a newer version of Excel. Learn more: https://go.microsoft.com/fwlink/?linkid=870924
Comment:
    Citotoxicity (27 uM) used to re-calculate the needed amounts</t>
      </text>
    </comment>
    <comment ref="O235" authorId="35" shapeId="0" xr:uid="{B9E05AA4-9F96-481A-90D9-76ABFBDBFD57}">
      <text>
        <t>[Threaded comment]
Your version of Excel allows you to read this threaded comment; however, any edits to it will get removed if the file is opened in a newer version of Excel. Learn more: https://go.microsoft.com/fwlink/?linkid=870924
Comment:
    Citotoxicity (500 uM) used to re-calculate the needed amounts</t>
      </text>
    </comment>
    <comment ref="P235" authorId="36" shapeId="0" xr:uid="{BD052035-5A81-4435-A569-70FAE3A0073A}">
      <text>
        <t>[Threaded comment]
Your version of Excel allows you to read this threaded comment; however, any edits to it will get removed if the file is opened in a newer version of Excel. Learn more: https://go.microsoft.com/fwlink/?linkid=870924
Comment:
    Citotoxicity (500 uM) used to re-calculate the needed amounts</t>
      </text>
    </comment>
    <comment ref="O244" authorId="37" shapeId="0" xr:uid="{F8BD88E1-27E6-4F76-A559-4B0D0F25C1D8}">
      <text>
        <t>[Threaded comment]
Your version of Excel allows you to read this threaded comment; however, any edits to it will get removed if the file is opened in a newer version of Excel. Learn more: https://go.microsoft.com/fwlink/?linkid=870924
Comment:
    Citotoxicity (6370 uM) used to re-calculate the needed amounts</t>
      </text>
    </comment>
    <comment ref="P244" authorId="38" shapeId="0" xr:uid="{8FB7DCDD-62AF-4698-861F-01F1741AEFED}">
      <text>
        <t>[Threaded comment]
Your version of Excel allows you to read this threaded comment; however, any edits to it will get removed if the file is opened in a newer version of Excel. Learn more: https://go.microsoft.com/fwlink/?linkid=870924
Comment:
    Citotoxicity (6370 uM) used to re-calculate the needed amounts</t>
      </text>
    </comment>
    <comment ref="O245" authorId="39" shapeId="0" xr:uid="{4AD83C7B-4B22-4D83-B6C6-2506AEAB8693}">
      <text>
        <t>[Threaded comment]
Your version of Excel allows you to read this threaded comment; however, any edits to it will get removed if the file is opened in a newer version of Excel. Learn more: https://go.microsoft.com/fwlink/?linkid=870924
Comment:
    ZF LC50 (4500 uM) used to re-calculate the needed amounts</t>
      </text>
    </comment>
    <comment ref="P245" authorId="40" shapeId="0" xr:uid="{EFC5A509-B8C3-4099-9352-032A1F982861}">
      <text>
        <t>[Threaded comment]
Your version of Excel allows you to read this threaded comment; however, any edits to it will get removed if the file is opened in a newer version of Excel. Learn more: https://go.microsoft.com/fwlink/?linkid=870924
Comment:
    ZF LC50 (4500 uM) used to re-calculate the needed amounts</t>
      </text>
    </comment>
    <comment ref="O250" authorId="41" shapeId="0" xr:uid="{FE3899E5-8DF2-49BF-8F58-F2D1A67BB50B}">
      <text>
        <t>[Threaded comment]
Your version of Excel allows you to read this threaded comment; however, any edits to it will get removed if the file is opened in a newer version of Excel. Learn more: https://go.microsoft.com/fwlink/?linkid=870924
Comment:
    Citotoxicity (100 uM) used to re-calculate the needed amounts</t>
      </text>
    </comment>
    <comment ref="P250" authorId="42" shapeId="0" xr:uid="{1CFE63AD-9C9A-4DE1-BB85-DF40F1E852A8}">
      <text>
        <t>[Threaded comment]
Your version of Excel allows you to read this threaded comment; however, any edits to it will get removed if the file is opened in a newer version of Excel. Learn more: https://go.microsoft.com/fwlink/?linkid=870924
Comment:
    Citotoxicity (100 uM) used to re-calculate the needed amounts</t>
      </text>
    </comment>
    <comment ref="O251" authorId="43" shapeId="0" xr:uid="{22BCBD0B-9FE6-43CD-9E72-022517BFDD00}">
      <text>
        <t>[Threaded comment]
Your version of Excel allows you to read this threaded comment; however, any edits to it will get removed if the file is opened in a newer version of Excel. Learn more: https://go.microsoft.com/fwlink/?linkid=870924
Comment:
    Neuroactivity (10 uM) used to re-calculate the needed amounts</t>
      </text>
    </comment>
    <comment ref="P251" authorId="44" shapeId="0" xr:uid="{28994F5A-EB1E-4B84-BE3D-F66E90DB4AA9}">
      <text>
        <t>[Threaded comment]
Your version of Excel allows you to read this threaded comment; however, any edits to it will get removed if the file is opened in a newer version of Excel. Learn more: https://go.microsoft.com/fwlink/?linkid=870924
Comment:
    Neuroactivity (10 uM) used to re-calculate the needed amounts</t>
      </text>
    </comment>
    <comment ref="O253" authorId="45" shapeId="0" xr:uid="{58628157-72C2-4B51-A371-CDFD2A2033FC}">
      <text>
        <t>[Threaded comment]
Your version of Excel allows you to read this threaded comment; however, any edits to it will get removed if the file is opened in a newer version of Excel. Learn more: https://go.microsoft.com/fwlink/?linkid=870924
Comment:
    100 uM used to re-calculate the needed amounts</t>
      </text>
    </comment>
    <comment ref="P253" authorId="46" shapeId="0" xr:uid="{90C52BBC-1703-47CB-A1EF-7A818C2698E8}">
      <text>
        <t>[Threaded comment]
Your version of Excel allows you to read this threaded comment; however, any edits to it will get removed if the file is opened in a newer version of Excel. Learn more: https://go.microsoft.com/fwlink/?linkid=870924
Comment:
    100 uM used to re-calculate the needed amounts</t>
      </text>
    </comment>
    <comment ref="O254" authorId="47" shapeId="0" xr:uid="{75E2FCD6-1953-4490-9FDC-07563B396B42}">
      <text>
        <t>[Threaded comment]
Your version of Excel allows you to read this threaded comment; however, any edits to it will get removed if the file is opened in a newer version of Excel. Learn more: https://go.microsoft.com/fwlink/?linkid=870924
Comment:
    Cytotoxicity (15 uM)  used to re-calculate the needed amounts</t>
      </text>
    </comment>
    <comment ref="P254" authorId="48" shapeId="0" xr:uid="{8D71C891-978D-4D52-951A-A372C6CA18DF}">
      <text>
        <t>[Threaded comment]
Your version of Excel allows you to read this threaded comment; however, any edits to it will get removed if the file is opened in a newer version of Excel. Learn more: https://go.microsoft.com/fwlink/?linkid=870924
Comment:
    Cytotoxicity (15 uM)  used to re-calculate the needed amounts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tc={BBC8F59A-B1A7-4D01-96C6-27C58FC95308}</author>
    <author>tc={FFD055E0-EE9F-4D92-931B-7071EA39A735}</author>
    <author>tc={B9D95D76-B8CE-4759-9FB0-1A667973C52F}</author>
    <author>tc={D382F585-3B9B-4216-BD4F-D0015989412F}</author>
  </authors>
  <commentList>
    <comment ref="R30" authorId="0" shapeId="0" xr:uid="{BBC8F59A-B1A7-4D01-96C6-27C58FC95308}">
      <text>
        <t>[Threaded comment]
Your version of Excel allows you to read this threaded comment; however, any edits to it will get removed if the file is opened in a newer version of Excel. Learn more: https://go.microsoft.com/fwlink/?linkid=870924
Comment:
    10 g propofol + 10 ml DMSO: around 20 ml, take care!!! Consider it!</t>
      </text>
    </comment>
    <comment ref="R46" authorId="1" shapeId="0" xr:uid="{FFD055E0-EE9F-4D92-931B-7071EA39A735}">
      <text>
        <t>[Threaded comment]
Your version of Excel allows you to read this threaded comment; however, any edits to it will get removed if the file is opened in a newer version of Excel. Learn more: https://go.microsoft.com/fwlink/?linkid=870924
Comment:
    70g VA + 5,8 ml DMSO: around 76 ml, take care!!! Consider it!</t>
      </text>
    </comment>
    <comment ref="R52" authorId="2" shapeId="0" xr:uid="{B9D95D76-B8CE-4759-9FB0-1A667973C52F}">
      <text>
        <t>[Threaded comment]
Your version of Excel allows you to read this threaded comment; however, any edits to it will get removed if the file is opened in a newer version of Excel. Learn more: https://go.microsoft.com/fwlink/?linkid=870924
Comment:
    60 g TBT + 120 ml DMSO: around 180 ml, take care!!! Consider it!</t>
      </text>
    </comment>
    <comment ref="A157" authorId="3" shapeId="0" xr:uid="{D382F585-3B9B-4216-BD4F-D0015989412F}">
      <text>
        <t>[Threaded comment]
Your version of Excel allows you to read this threaded comment; however, any edits to it will get removed if the file is opened in a newer version of Excel. Learn more: https://go.microsoft.com/fwlink/?linkid=870924
Comment:
    Repeated compound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tc={7A227641-38A0-4569-B54E-B8BA142E372F}</author>
    <author>tc={C0086167-E8FB-4E29-BB2F-86D158127DEE}</author>
    <author>tc={C60ED11A-C6DD-4951-ABE3-357E22D01928}</author>
    <author>tc={00B2510E-3793-45C4-96BB-7CB5E9AF985C}</author>
  </authors>
  <commentList>
    <comment ref="A6" authorId="0" shapeId="0" xr:uid="{7A227641-38A0-4569-B54E-B8BA142E372F}">
      <text>
        <t>[Threaded comment]
Your version of Excel allows you to read this threaded comment; however, any edits to it will get removed if the file is opened in a newer version of Excel. Learn more: https://go.microsoft.com/fwlink/?linkid=870924
Comment:
    Substituted by sodium metaarsenite (PTX006)</t>
      </text>
    </comment>
    <comment ref="A47" authorId="1" shapeId="0" xr:uid="{C0086167-E8FB-4E29-BB2F-86D158127DEE}">
      <text>
        <t>[Threaded comment]
Your version of Excel allows you to read this threaded comment; however, any edits to it will get removed if the file is opened in a newer version of Excel. Learn more: https://go.microsoft.com/fwlink/?linkid=870924
Comment:
    Not allowed to be shipped</t>
      </text>
    </comment>
    <comment ref="A48" authorId="2" shapeId="0" xr:uid="{C60ED11A-C6DD-4951-ABE3-357E22D01928}">
      <text>
        <t>[Threaded comment]
Your version of Excel allows you to read this threaded comment; however, any edits to it will get removed if the file is opened in a newer version of Excel. Learn more: https://go.microsoft.com/fwlink/?linkid=870924
Comment:
    From PTX047 up to PTX056 should be substituted by other compounds with same MoA if NTP can not provided them with enough amount (cost-prohibitive chemicals).</t>
      </text>
    </comment>
    <comment ref="A72" authorId="3" shapeId="0" xr:uid="{00B2510E-3793-45C4-96BB-7CB5E9AF985C}">
      <text>
        <t>[Threaded comment]
Your version of Excel allows you to read this threaded comment; however, any edits to it will get removed if the file is opened in a newer version of Excel. Learn more: https://go.microsoft.com/fwlink/?linkid=870924
Comment:
    Not allowed to be shipped</t>
      </text>
    </comment>
  </commentList>
</comments>
</file>

<file path=xl/sharedStrings.xml><?xml version="1.0" encoding="utf-8"?>
<sst xmlns="http://schemas.openxmlformats.org/spreadsheetml/2006/main" count="6075" uniqueCount="2604">
  <si>
    <t>Compound</t>
  </si>
  <si>
    <t>Prec.Tox code</t>
  </si>
  <si>
    <t>Acronym</t>
  </si>
  <si>
    <t>Formula</t>
  </si>
  <si>
    <t>CAS number</t>
  </si>
  <si>
    <t>Solubility (DMSO)</t>
  </si>
  <si>
    <t>Solubility (H2O)</t>
  </si>
  <si>
    <t>Pictograms</t>
  </si>
  <si>
    <t>UN numbers</t>
  </si>
  <si>
    <t>Transport toxicity group</t>
  </si>
  <si>
    <t>Packaging group</t>
  </si>
  <si>
    <t xml:space="preserve">ICAO/IATA </t>
  </si>
  <si>
    <t>EC50 fish</t>
  </si>
  <si>
    <t>EC50 daphnia</t>
  </si>
  <si>
    <t>Storage conditions</t>
  </si>
  <si>
    <t>Properties</t>
  </si>
  <si>
    <t>Incompatibilities</t>
  </si>
  <si>
    <t>Other info</t>
  </si>
  <si>
    <t>TSCA status</t>
  </si>
  <si>
    <t>HTS (or HS code for custom borders)</t>
  </si>
  <si>
    <t>GB PIC List</t>
  </si>
  <si>
    <t>IATA</t>
  </si>
  <si>
    <t>(exempted g or ml)</t>
  </si>
  <si>
    <t xml:space="preserve">Phase I chemicals: pilot study </t>
  </si>
  <si>
    <t>Cadmium chloride</t>
  </si>
  <si>
    <t>PTX0001.1 - D1
New: PTX001</t>
  </si>
  <si>
    <r>
      <t>CdCl</t>
    </r>
    <r>
      <rPr>
        <vertAlign val="subscript"/>
        <sz val="11"/>
        <color rgb="FF4472C4"/>
        <rFont val="Calibri"/>
        <family val="2"/>
        <scheme val="minor"/>
      </rPr>
      <t>2</t>
    </r>
  </si>
  <si>
    <t>10108-64-2</t>
  </si>
  <si>
    <t>18 g/100 g (25 °C)</t>
  </si>
  <si>
    <t>457 g/l at 20 °C</t>
  </si>
  <si>
    <t>6.1</t>
  </si>
  <si>
    <t>III</t>
  </si>
  <si>
    <t>EC50 - 0,036 mg/l - 48 h</t>
  </si>
  <si>
    <t>Room temperature</t>
  </si>
  <si>
    <t>-</t>
  </si>
  <si>
    <t>With Oxidizing agents, Bromine trifluoride</t>
  </si>
  <si>
    <t>Tightly closed! Use FFP3 mask!</t>
  </si>
  <si>
    <t>ACTIVE</t>
  </si>
  <si>
    <t>E1</t>
  </si>
  <si>
    <t>Ethoprophos</t>
  </si>
  <si>
    <t>PTX0002.1 - F1 
New: PTX002</t>
  </si>
  <si>
    <r>
      <t>C</t>
    </r>
    <r>
      <rPr>
        <vertAlign val="subscript"/>
        <sz val="11"/>
        <color rgb="FF4472C4"/>
        <rFont val="Calibri"/>
        <family val="2"/>
        <scheme val="minor"/>
      </rPr>
      <t>8</t>
    </r>
    <r>
      <rPr>
        <sz val="11"/>
        <color rgb="FF4472C4"/>
        <rFont val="Calibri"/>
        <family val="2"/>
        <scheme val="minor"/>
      </rPr>
      <t>H</t>
    </r>
    <r>
      <rPr>
        <vertAlign val="subscript"/>
        <sz val="11"/>
        <color rgb="FF4472C4"/>
        <rFont val="Calibri"/>
        <family val="2"/>
        <scheme val="minor"/>
      </rPr>
      <t>19</t>
    </r>
    <r>
      <rPr>
        <sz val="11"/>
        <color rgb="FF4472C4"/>
        <rFont val="Calibri"/>
        <family val="2"/>
        <scheme val="minor"/>
      </rPr>
      <t>O</t>
    </r>
    <r>
      <rPr>
        <vertAlign val="subscript"/>
        <sz val="11"/>
        <color rgb="FF4472C4"/>
        <rFont val="Calibri"/>
        <family val="2"/>
        <scheme val="minor"/>
      </rPr>
      <t>2</t>
    </r>
    <r>
      <rPr>
        <sz val="11"/>
        <color rgb="FF4472C4"/>
        <rFont val="Calibri"/>
        <family val="2"/>
        <scheme val="minor"/>
      </rPr>
      <t>PS</t>
    </r>
    <r>
      <rPr>
        <vertAlign val="subscript"/>
        <sz val="11"/>
        <color rgb="FF4472C4"/>
        <rFont val="Calibri"/>
        <family val="2"/>
        <scheme val="minor"/>
      </rPr>
      <t>2</t>
    </r>
  </si>
  <si>
    <t>13194-48-4</t>
  </si>
  <si>
    <t>5 mg/mL</t>
  </si>
  <si>
    <t>insoluble</t>
  </si>
  <si>
    <t>I</t>
  </si>
  <si>
    <t>EC50 - 0,09 mg/l - 48 h</t>
  </si>
  <si>
    <t>2-8°C</t>
  </si>
  <si>
    <t>With Strong oxidizing agents</t>
  </si>
  <si>
    <t>Tightly closed in a dry and well-ventilated place. Use FFP3 mask! Containers which are opened must be carefully resealed and kept upright to prevent leakage. Store in cool place. AVOID skin contact!!!</t>
  </si>
  <si>
    <t>Not found in  TSCA neither in PMNACC lists</t>
  </si>
  <si>
    <t xml:space="preserve">2930909815  </t>
  </si>
  <si>
    <t xml:space="preserve">Part1: p(1)-b </t>
  </si>
  <si>
    <t>WY-14643 / Pirinixic acid</t>
  </si>
  <si>
    <t>PTX0003.1- D1
New: PTX003</t>
  </si>
  <si>
    <r>
      <t>C</t>
    </r>
    <r>
      <rPr>
        <vertAlign val="subscript"/>
        <sz val="11"/>
        <color rgb="FF4472C4"/>
        <rFont val="Calibri"/>
        <family val="2"/>
        <scheme val="minor"/>
      </rPr>
      <t>14</t>
    </r>
    <r>
      <rPr>
        <sz val="11"/>
        <color rgb="FF4472C4"/>
        <rFont val="Calibri"/>
        <family val="2"/>
        <scheme val="minor"/>
      </rPr>
      <t>H</t>
    </r>
    <r>
      <rPr>
        <vertAlign val="subscript"/>
        <sz val="11"/>
        <color rgb="FF4472C4"/>
        <rFont val="Calibri"/>
        <family val="2"/>
        <scheme val="minor"/>
      </rPr>
      <t>14</t>
    </r>
    <r>
      <rPr>
        <sz val="11"/>
        <color rgb="FF4472C4"/>
        <rFont val="Calibri"/>
        <family val="2"/>
        <scheme val="minor"/>
      </rPr>
      <t>ClN</t>
    </r>
    <r>
      <rPr>
        <vertAlign val="subscript"/>
        <sz val="11"/>
        <color rgb="FF4472C4"/>
        <rFont val="Calibri"/>
        <family val="2"/>
        <scheme val="minor"/>
      </rPr>
      <t>3</t>
    </r>
    <r>
      <rPr>
        <sz val="11"/>
        <color rgb="FF4472C4"/>
        <rFont val="Calibri"/>
        <family val="2"/>
        <scheme val="minor"/>
      </rPr>
      <t>O</t>
    </r>
    <r>
      <rPr>
        <vertAlign val="subscript"/>
        <sz val="11"/>
        <color rgb="FF4472C4"/>
        <rFont val="Calibri"/>
        <family val="2"/>
        <scheme val="minor"/>
      </rPr>
      <t>2</t>
    </r>
    <r>
      <rPr>
        <sz val="11"/>
        <color rgb="FF4472C4"/>
        <rFont val="Calibri"/>
        <family val="2"/>
        <scheme val="minor"/>
      </rPr>
      <t>S</t>
    </r>
  </si>
  <si>
    <t>50892-23-4</t>
  </si>
  <si>
    <t>~16,5 g/L  (also 40 g/l DMSO from sigma)</t>
  </si>
  <si>
    <t xml:space="preserve">~40  mg/L </t>
  </si>
  <si>
    <t>?</t>
  </si>
  <si>
    <r>
      <t xml:space="preserve">shelf life  limited shelf life, expiry date on the label. (Stability </t>
    </r>
    <r>
      <rPr>
        <sz val="11"/>
        <color rgb="FFFF0000"/>
        <rFont val="Symbol"/>
        <family val="1"/>
        <charset val="2"/>
      </rPr>
      <t>³ 2</t>
    </r>
    <r>
      <rPr>
        <sz val="11"/>
        <color rgb="FFFF0000"/>
        <rFont val="Calibri"/>
        <family val="2"/>
      </rPr>
      <t>years at RT as solid) (Very low stability in aqueous solutions: do not store more than 1 day)</t>
    </r>
  </si>
  <si>
    <t>Arsenic</t>
  </si>
  <si>
    <t>As</t>
  </si>
  <si>
    <t>7440-38-2</t>
  </si>
  <si>
    <t>0,0106 g/l at 20 °C</t>
  </si>
  <si>
    <t>II</t>
  </si>
  <si>
    <t>EC50 (Bosmina longirostris) - 0,85 mg/l - 48 h</t>
  </si>
  <si>
    <t>Exothermic reaction with: Aluminum, Bromine, bromates, chlorates, iodates, Nitric acid
Risk of ignition or formation of inflammable gases or vapours with: nitrates, Alkali metals, Zinc, Reducing agents, Strong oxidizing agents
Risk of explosion with: potassium permanganate, azides, halogen-halogen compounds, Peroxides, nitrogen trichloride</t>
  </si>
  <si>
    <t>Suggest using a salt instead due to low solubility</t>
  </si>
  <si>
    <t>DMSO</t>
  </si>
  <si>
    <t>PTX0004.1 - D1
New: PTX004</t>
  </si>
  <si>
    <r>
      <t>C</t>
    </r>
    <r>
      <rPr>
        <vertAlign val="subscript"/>
        <sz val="11"/>
        <color rgb="FF4472C4"/>
        <rFont val="Calibri"/>
        <family val="2"/>
        <scheme val="minor"/>
      </rPr>
      <t>2</t>
    </r>
    <r>
      <rPr>
        <sz val="11"/>
        <color rgb="FF4472C4"/>
        <rFont val="Calibri"/>
        <family val="2"/>
        <scheme val="minor"/>
      </rPr>
      <t>H</t>
    </r>
    <r>
      <rPr>
        <vertAlign val="subscript"/>
        <sz val="11"/>
        <color rgb="FF4472C4"/>
        <rFont val="Calibri"/>
        <family val="2"/>
        <scheme val="minor"/>
      </rPr>
      <t>6</t>
    </r>
    <r>
      <rPr>
        <sz val="11"/>
        <color rgb="FF4472C4"/>
        <rFont val="Calibri"/>
        <family val="2"/>
        <scheme val="minor"/>
      </rPr>
      <t>OS</t>
    </r>
  </si>
  <si>
    <t>67-68-5</t>
  </si>
  <si>
    <t>not applicable</t>
  </si>
  <si>
    <t>Completely miscible</t>
  </si>
  <si>
    <t>Not dangerous goods</t>
  </si>
  <si>
    <t>EC50 - 24.600 mg/l - 48 h</t>
  </si>
  <si>
    <t>Forms explosive mixtures with air on intense heating (A range from approx. 15 Kelvin below the flash point is to be rated as critical=87-15=72 ºC)</t>
  </si>
  <si>
    <t>Acid chlorides, Phosphorus halides, Strong acids, Strong oxidizing agents, Strong reducing agents</t>
  </si>
  <si>
    <t>Arsenic (III) oxide</t>
  </si>
  <si>
    <t>PTX0005.1 - G1
New: PTX005</t>
  </si>
  <si>
    <r>
      <t>As</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</si>
  <si>
    <t>1327-53-3</t>
  </si>
  <si>
    <t>17,8 g/l at 20 °C</t>
  </si>
  <si>
    <t>EC50 - 2.5 mg/L - 48h;  EC50 - 8.23 mg/L - 24h</t>
  </si>
  <si>
    <t>With Oxidizing agents, Metals, Strong oxidizing agents
Risk of explosion with: Aluminum, magnesium, Zinc
Violent reactions possible with: halogens, Hydrogen halides, strong reducing agents, Bromine, Fluorine, halogen-halogen compounds, Hydrogen fluoride, nitrates, chlorates, Mercury</t>
  </si>
  <si>
    <t xml:space="preserve">Part1: p(2)-sr </t>
  </si>
  <si>
    <t>E4</t>
  </si>
  <si>
    <t>Sodium (meta)arsenite</t>
  </si>
  <si>
    <t>PTX006</t>
  </si>
  <si>
    <r>
      <t>NaAsO</t>
    </r>
    <r>
      <rPr>
        <vertAlign val="subscript"/>
        <sz val="11"/>
        <color theme="1"/>
        <rFont val="Calibri"/>
        <family val="2"/>
        <scheme val="minor"/>
      </rPr>
      <t>2</t>
    </r>
  </si>
  <si>
    <t>7784-46-5</t>
  </si>
  <si>
    <t>100 g/L</t>
  </si>
  <si>
    <t>EC50 - 1,54 mg/l - 48h</t>
  </si>
  <si>
    <t>Strong oxidizers. Strong acids.</t>
  </si>
  <si>
    <t>Work under hood. Do not inhale substance/mixture. Use of FFP3 mask  is needed if dust is generated</t>
  </si>
  <si>
    <t>1º case study chemicals (imidazoles and acrylamides, Nordic case study)</t>
  </si>
  <si>
    <t>Acrylamide</t>
  </si>
  <si>
    <t>PTX007</t>
  </si>
  <si>
    <t>AA</t>
  </si>
  <si>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5</t>
    </r>
    <r>
      <rPr>
        <sz val="11"/>
        <color theme="1"/>
        <rFont val="Calibri"/>
        <family val="2"/>
        <scheme val="minor"/>
      </rPr>
      <t>NO</t>
    </r>
  </si>
  <si>
    <t>79-06-1</t>
  </si>
  <si>
    <t>14 g/l</t>
  </si>
  <si>
    <t>200 g/l</t>
  </si>
  <si>
    <t>static test LC50 - Oncorhynchus mykiss (rainbow trout) - 180 mg/l - 96 h (OECD Test Guideline 203)</t>
  </si>
  <si>
    <t>EC50 - 98 mg/l - 48h</t>
  </si>
  <si>
    <t>Forms explosive mixtures with air on intense heating</t>
  </si>
  <si>
    <t>Violent reactions possible with: alkalines, Oxidizing agents, Reducing agents, Bases, Metals, Peroxides, acids</t>
  </si>
  <si>
    <t>Forms explosive mixtures with air on intense heating. Avoid strong heating and strong oxidizing agents!</t>
  </si>
  <si>
    <t>N-(hydroxymethyl)acrylamide</t>
  </si>
  <si>
    <t>PTX008</t>
  </si>
  <si>
    <t>NMA</t>
  </si>
  <si>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7</t>
    </r>
    <r>
      <rPr>
        <sz val="11"/>
        <color theme="1"/>
        <rFont val="Calibri"/>
        <family val="2"/>
        <scheme val="minor"/>
      </rPr>
      <t>NO</t>
    </r>
    <r>
      <rPr>
        <vertAlign val="subscript"/>
        <sz val="11"/>
        <color theme="1"/>
        <rFont val="Calibri"/>
        <family val="2"/>
        <scheme val="minor"/>
      </rPr>
      <t>2</t>
    </r>
  </si>
  <si>
    <t>924-42-5</t>
  </si>
  <si>
    <t>1880 g/L</t>
  </si>
  <si>
    <t>890 mg/L</t>
  </si>
  <si>
    <t>2-8 °C (Heat-sensitive, Light-sensitive)</t>
  </si>
  <si>
    <t>Polymerization may occur under the influences of heat, light or on contact with polymerization initiators
such as peroxides etc.</t>
  </si>
  <si>
    <r>
      <t xml:space="preserve">- </t>
    </r>
    <r>
      <rPr>
        <sz val="11"/>
        <color rgb="FFFF0000"/>
        <rFont val="Calibri"/>
        <family val="2"/>
        <scheme val="minor"/>
      </rPr>
      <t>Conditions to avoid: Heat, Light</t>
    </r>
    <r>
      <rPr>
        <sz val="11"/>
        <color theme="1"/>
        <rFont val="Calibri"/>
        <family val="2"/>
        <scheme val="minor"/>
      </rPr>
      <t xml:space="preserve">
- Incompatible materials: Oxidizing agents, Acids</t>
    </r>
  </si>
  <si>
    <r>
      <t xml:space="preserve">Handling is performed in a well ventilated place. Wear suitable protective equipment. Prevent
dispersion of dust. Wash hands and face thoroughly after handling. Use a closed system if possible.
Use a local exhaust if dust or aerosol will be generated. </t>
    </r>
    <r>
      <rPr>
        <b/>
        <sz val="11"/>
        <color theme="1"/>
        <rFont val="Calibri"/>
        <family val="2"/>
        <scheme val="minor"/>
      </rPr>
      <t>Avoid all contact!</t>
    </r>
  </si>
  <si>
    <t>N,N'-methylenediacrylamide</t>
  </si>
  <si>
    <t>PTX009</t>
  </si>
  <si>
    <t>NMDA</t>
  </si>
  <si>
    <r>
      <t>C</t>
    </r>
    <r>
      <rPr>
        <vertAlign val="subscript"/>
        <sz val="11"/>
        <color theme="1"/>
        <rFont val="Calibri"/>
        <family val="2"/>
        <scheme val="minor"/>
      </rPr>
      <t>7</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2</t>
    </r>
  </si>
  <si>
    <t>110-26-9</t>
  </si>
  <si>
    <t>34,1 g/l</t>
  </si>
  <si>
    <t>96h LC50:240 mg/L (Oryzias latipes)</t>
  </si>
  <si>
    <t>EC50 - &gt;&gt;100 mg/L - 48h</t>
  </si>
  <si>
    <r>
      <t>Room temperature (</t>
    </r>
    <r>
      <rPr>
        <sz val="11"/>
        <color rgb="FFFF0000"/>
        <rFont val="Calibri"/>
        <family val="2"/>
        <scheme val="minor"/>
      </rPr>
      <t>air and light sensitive</t>
    </r>
    <r>
      <rPr>
        <sz val="11"/>
        <color theme="1"/>
        <rFont val="Calibri"/>
        <family val="2"/>
        <scheme val="minor"/>
      </rPr>
      <t>)</t>
    </r>
  </si>
  <si>
    <t>Hazardous decomposition products formed under fire conditions. - Carbon oxides, Nitrogen oxides (NOx)</t>
  </si>
  <si>
    <t>Tightly closed. Dry. Keep in a well-ventilated place.</t>
  </si>
  <si>
    <t>N-(butoxymethyl)acrylamide</t>
  </si>
  <si>
    <t>PTX010</t>
  </si>
  <si>
    <t>BMA</t>
  </si>
  <si>
    <r>
      <t>C</t>
    </r>
    <r>
      <rPr>
        <vertAlign val="subscript"/>
        <sz val="11"/>
        <color theme="1"/>
        <rFont val="Calibri"/>
        <family val="2"/>
        <scheme val="minor"/>
      </rPr>
      <t>8</t>
    </r>
    <r>
      <rPr>
        <sz val="11"/>
        <color theme="1"/>
        <rFont val="Calibri"/>
        <family val="2"/>
        <scheme val="minor"/>
      </rPr>
      <t>H</t>
    </r>
    <r>
      <rPr>
        <vertAlign val="subscript"/>
        <sz val="11"/>
        <color theme="1"/>
        <rFont val="Calibri"/>
        <family val="2"/>
        <scheme val="minor"/>
      </rPr>
      <t>15</t>
    </r>
    <r>
      <rPr>
        <sz val="11"/>
        <color theme="1"/>
        <rFont val="Calibri"/>
        <family val="2"/>
        <scheme val="minor"/>
      </rPr>
      <t>NO</t>
    </r>
    <r>
      <rPr>
        <vertAlign val="subscript"/>
        <sz val="11"/>
        <color theme="1"/>
        <rFont val="Calibri"/>
        <family val="2"/>
        <scheme val="minor"/>
      </rPr>
      <t>2</t>
    </r>
  </si>
  <si>
    <t>1852-16-0</t>
  </si>
  <si>
    <t>soluble?</t>
  </si>
  <si>
    <t>35,3 g/L</t>
  </si>
  <si>
    <t>Oncorhynchus mykiss, 96h, 180 mg/L</t>
  </si>
  <si>
    <t>Strong oxidizing agents, Mineral acids, Peroxides, Iron and iron salts., Copper, Aluminum, Brass, Free radical initiators, acids, Bases, Polymerizing initiators</t>
  </si>
  <si>
    <t>N-[(2-methylpropoxy)methyl]acrylamide</t>
  </si>
  <si>
    <t>PTX011</t>
  </si>
  <si>
    <t>NMPMA</t>
  </si>
  <si>
    <t>16669-59-3</t>
  </si>
  <si>
    <t>13.45 g/L
Not soluble
???</t>
  </si>
  <si>
    <t>96h LC50:60 mg/L (Oryzias latipes)</t>
  </si>
  <si>
    <t>EC50 - 46707 mg/l - 48h</t>
  </si>
  <si>
    <t>Forms explosive mixtures with air on intense heating.
Avoid strong heating.</t>
  </si>
  <si>
    <t>Tightly closed. Keep in a well-ventilated place.</t>
  </si>
  <si>
    <t xml:space="preserve">N,N'-diethylacrylamide </t>
  </si>
  <si>
    <t>PTX012</t>
  </si>
  <si>
    <t>NDEA</t>
  </si>
  <si>
    <r>
      <t>C</t>
    </r>
    <r>
      <rPr>
        <vertAlign val="subscript"/>
        <sz val="11"/>
        <color theme="1"/>
        <rFont val="Calibri"/>
        <family val="2"/>
        <scheme val="minor"/>
      </rPr>
      <t>7</t>
    </r>
    <r>
      <rPr>
        <sz val="11"/>
        <color theme="1"/>
        <rFont val="Calibri"/>
        <family val="2"/>
        <scheme val="minor"/>
      </rPr>
      <t>H</t>
    </r>
    <r>
      <rPr>
        <vertAlign val="subscript"/>
        <sz val="11"/>
        <color theme="1"/>
        <rFont val="Calibri"/>
        <family val="2"/>
        <scheme val="minor"/>
      </rPr>
      <t>13</t>
    </r>
    <r>
      <rPr>
        <sz val="11"/>
        <color theme="1"/>
        <rFont val="Calibri"/>
        <family val="2"/>
        <scheme val="minor"/>
      </rPr>
      <t>NO</t>
    </r>
  </si>
  <si>
    <t>2675-94-7</t>
  </si>
  <si>
    <t>'soluble'</t>
  </si>
  <si>
    <t>&gt; 2013,88 g/L</t>
  </si>
  <si>
    <t>&gt; 100 mg/L</t>
  </si>
  <si>
    <t>EC50 - 1703 mg/l - 48h
EC50 - &gt;99999 mg/l - 48h
?</t>
  </si>
  <si>
    <t>Strong oxidizing agents</t>
  </si>
  <si>
    <t>Tightly closed! Handle under nitrogen, protect from moisture. Store under nitrogen</t>
  </si>
  <si>
    <r>
      <t xml:space="preserve">Not found in  TSCA list
PMNACC list:
PMNNO: P140618 (Substituted acrylamide)
</t>
    </r>
    <r>
      <rPr>
        <sz val="11"/>
        <color rgb="FFFF0000"/>
        <rFont val="Calibri"/>
        <family val="2"/>
        <charset val="1"/>
      </rPr>
      <t>Flags: PMN; S
PMN - indicates a commenced PMN substance.
S - indicates a substance that is identified in a final Significant New Use Rule.</t>
    </r>
  </si>
  <si>
    <t>Methacrylamide</t>
  </si>
  <si>
    <t>PTX013</t>
  </si>
  <si>
    <t>MA</t>
  </si>
  <si>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7</t>
    </r>
    <r>
      <rPr>
        <sz val="11"/>
        <color theme="1"/>
        <rFont val="Calibri"/>
        <family val="2"/>
        <scheme val="minor"/>
      </rPr>
      <t>NO</t>
    </r>
  </si>
  <si>
    <t>79-39-0</t>
  </si>
  <si>
    <t>202 g/l</t>
  </si>
  <si>
    <t>semi-static test LC50 - Oryzias latipes (Orange-red killifish) - &gt; 100 mg/l - 96 h (OECD Test Guideline 203)</t>
  </si>
  <si>
    <t>EC50 - &gt;1000 mg/l - 48h</t>
  </si>
  <si>
    <t>Strong acids, strong oxidizing agents, strong reducing agents.</t>
  </si>
  <si>
    <t>Keep container tightly closed in a dry and well-ventilated place.</t>
  </si>
  <si>
    <t>Imidazole</t>
  </si>
  <si>
    <t>PTX014</t>
  </si>
  <si>
    <t>IM</t>
  </si>
  <si>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4</t>
    </r>
    <r>
      <rPr>
        <sz val="11"/>
        <color theme="1"/>
        <rFont val="Calibri"/>
        <family val="2"/>
        <scheme val="minor"/>
      </rPr>
      <t>N</t>
    </r>
    <r>
      <rPr>
        <vertAlign val="subscript"/>
        <sz val="11"/>
        <color theme="1"/>
        <rFont val="Calibri"/>
        <family val="2"/>
        <scheme val="minor"/>
      </rPr>
      <t>2</t>
    </r>
  </si>
  <si>
    <t>288-32-4</t>
  </si>
  <si>
    <t>13 g/L</t>
  </si>
  <si>
    <t>633 - 2410 g/L</t>
  </si>
  <si>
    <t>Corrosive solid, basic, organic, n.o.s. (Imidazole)</t>
  </si>
  <si>
    <t>283.6 mg/L</t>
  </si>
  <si>
    <t>EC50 - 341,5 mg/l - 48h</t>
  </si>
  <si>
    <t>Violent reactions possible with: Strong oxidizing agents, Acid chlorides, Acid anhydrides, acids</t>
  </si>
  <si>
    <t>Avoid strong heating</t>
  </si>
  <si>
    <t>Tightly closed. Dry. Keep in a well-ventilated place. Use FFP3 mask!</t>
  </si>
  <si>
    <t>4-methyl imidazole</t>
  </si>
  <si>
    <t>PTX015</t>
  </si>
  <si>
    <t>4-MI</t>
  </si>
  <si>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6</t>
    </r>
    <r>
      <rPr>
        <sz val="11"/>
        <color theme="1"/>
        <rFont val="Calibri"/>
        <family val="2"/>
        <scheme val="minor"/>
      </rPr>
      <t>N</t>
    </r>
    <r>
      <rPr>
        <vertAlign val="subscript"/>
        <sz val="11"/>
        <color theme="1"/>
        <rFont val="Calibri"/>
        <family val="2"/>
        <scheme val="minor"/>
      </rPr>
      <t>2</t>
    </r>
  </si>
  <si>
    <t>822-36-6</t>
  </si>
  <si>
    <t>50 g/L</t>
  </si>
  <si>
    <t>Corrosive solid, basic, organic, n.o.s. (4-Methylimidazole)</t>
  </si>
  <si>
    <t>LC50: = 34 mg/L, 96h static (Leuciscus idus)</t>
  </si>
  <si>
    <t>EC50 - 180 mg/L - 48h</t>
  </si>
  <si>
    <t>Strong oxidizing agents, acids, Acid chlorides, Acid anhydrides</t>
  </si>
  <si>
    <t>2-methyl imidazole</t>
  </si>
  <si>
    <t>PTX016</t>
  </si>
  <si>
    <t>2-MI</t>
  </si>
  <si>
    <t>693-98-1</t>
  </si>
  <si>
    <t>267 g/l</t>
  </si>
  <si>
    <t>Amines, solid, corrosive, n.o.s. (2-Methylimidazole)</t>
  </si>
  <si>
    <t xml:space="preserve">static test LC50 - Leuciscus idus (Golden orfe) - 190 mg/l - 96 h (DIN 38412)                             </t>
  </si>
  <si>
    <t>EC50 - 225,31 mg/l - 48h</t>
  </si>
  <si>
    <t>E2</t>
  </si>
  <si>
    <t>1-methylimidazole</t>
  </si>
  <si>
    <t>PTX017</t>
  </si>
  <si>
    <t>1-MI</t>
  </si>
  <si>
    <t>616-47-7</t>
  </si>
  <si>
    <t>50-145 g/l</t>
  </si>
  <si>
    <t>8 (6.1)</t>
  </si>
  <si>
    <t>Corrosive liquid, toxic, n.o.s. (1-Methylimidazole)</t>
  </si>
  <si>
    <t>static test LC50 - Leuciscus idus (Golden orfe) - &gt; 100 - 215 mg/l - 96 h</t>
  </si>
  <si>
    <t>EC50 - 267,94 mg/L - 48h</t>
  </si>
  <si>
    <t>Room temperature (hygroscopic. Handle under nitrogen, protect from moisture. Store under nitrogen?)</t>
  </si>
  <si>
    <t>Violent reactions possible with: Acid anhydrides, Acid chlorides, Strong oxidizing agents, acids</t>
  </si>
  <si>
    <r>
      <t xml:space="preserve">Incompatible materials: rubber, various plastics!!!!
</t>
    </r>
    <r>
      <rPr>
        <sz val="11"/>
        <color theme="8" tint="-0.249977111117893"/>
        <rFont val="Calibri"/>
        <family val="2"/>
        <scheme val="minor"/>
      </rPr>
      <t>Avoid exposure to moisture, strong heating</t>
    </r>
  </si>
  <si>
    <t>Handle under nitrogen, protect from moisture. Store under nitrogen.
Tightly closed. Keep in a well-ventilated place.</t>
  </si>
  <si>
    <t>1,2-dimethylimidazole</t>
  </si>
  <si>
    <t>PTX018</t>
  </si>
  <si>
    <t>1,2-DMI</t>
  </si>
  <si>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8</t>
    </r>
    <r>
      <rPr>
        <sz val="11"/>
        <color theme="1"/>
        <rFont val="Calibri"/>
        <family val="2"/>
        <scheme val="minor"/>
      </rPr>
      <t>N</t>
    </r>
    <r>
      <rPr>
        <vertAlign val="subscript"/>
        <sz val="11"/>
        <color theme="1"/>
        <rFont val="Calibri"/>
        <family val="2"/>
        <scheme val="minor"/>
      </rPr>
      <t>2</t>
    </r>
  </si>
  <si>
    <t>1739-84-0</t>
  </si>
  <si>
    <t>soluble'</t>
  </si>
  <si>
    <t>1000 g/L</t>
  </si>
  <si>
    <t>Brachydanio rerio: LC50=61.2 mg/L/96h</t>
  </si>
  <si>
    <t>EC50 - &gt;100 mg/L - 48h</t>
  </si>
  <si>
    <t>Room temperature (hygroscopic!!)</t>
  </si>
  <si>
    <t>Strong oxidizing agents, Carbon dioxide (CO2)</t>
  </si>
  <si>
    <t>2-ethyl-4-methyl imidazole</t>
  </si>
  <si>
    <t>PTX019</t>
  </si>
  <si>
    <t>2E-4MI</t>
  </si>
  <si>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10</t>
    </r>
    <r>
      <rPr>
        <sz val="11"/>
        <color theme="1"/>
        <rFont val="Calibri"/>
        <family val="2"/>
        <scheme val="minor"/>
      </rPr>
      <t>N</t>
    </r>
    <r>
      <rPr>
        <vertAlign val="subscript"/>
        <sz val="11"/>
        <color theme="1"/>
        <rFont val="Calibri"/>
        <family val="2"/>
        <scheme val="minor"/>
      </rPr>
      <t>2</t>
    </r>
  </si>
  <si>
    <t>931-36-2</t>
  </si>
  <si>
    <t>~ 210 g/L</t>
  </si>
  <si>
    <t>LC50 - Leuciscus idus (Golden orfe) - &gt; 46 mg/l - 96 h</t>
  </si>
  <si>
    <t>EC50 - 297 mg/L - 48h</t>
  </si>
  <si>
    <t>Strong oxidizing agents, Strong acids</t>
  </si>
  <si>
    <t>1H-imidazole-1-propylamine</t>
  </si>
  <si>
    <t>PTX020</t>
  </si>
  <si>
    <t>1H-I-1P</t>
  </si>
  <si>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11</t>
    </r>
    <r>
      <rPr>
        <sz val="11"/>
        <color theme="1"/>
        <rFont val="Calibri"/>
        <family val="2"/>
        <scheme val="minor"/>
      </rPr>
      <t>N</t>
    </r>
    <r>
      <rPr>
        <vertAlign val="subscript"/>
        <sz val="11"/>
        <color theme="1"/>
        <rFont val="Calibri"/>
        <family val="2"/>
        <scheme val="minor"/>
      </rPr>
      <t>3</t>
    </r>
  </si>
  <si>
    <t>5036-48-6</t>
  </si>
  <si>
    <t>'Fully miscible'</t>
  </si>
  <si>
    <t>Corrosive liquid, basic, organic, n.o.s. (1H-Imidazole-1-propylamine)</t>
  </si>
  <si>
    <t>static test LC50 - Leuciscus idus (Golden orfe) - 320 - 460 mg/l - 96 h (DIN 38412 part 15)</t>
  </si>
  <si>
    <t>EC50 - &gt; 120 mg/L - 48h</t>
  </si>
  <si>
    <t>Store in cool place. Keep container tightly closed in a dry and well-ventilated place.</t>
  </si>
  <si>
    <r>
      <t xml:space="preserve">ACTIVE; </t>
    </r>
    <r>
      <rPr>
        <sz val="12"/>
        <color rgb="FFFF0000"/>
        <rFont val="Calibri"/>
        <family val="2"/>
        <scheme val="minor"/>
      </rPr>
      <t>flag PMN</t>
    </r>
    <r>
      <rPr>
        <sz val="11"/>
        <color theme="1"/>
        <rFont val="Calibri"/>
        <family val="2"/>
        <scheme val="minor"/>
      </rPr>
      <t>!!!
PMN: Premanufacture Notice required</t>
    </r>
  </si>
  <si>
    <t>2-ethylimidazole</t>
  </si>
  <si>
    <t>PTX074</t>
  </si>
  <si>
    <t>2-EI</t>
  </si>
  <si>
    <t>1072-62-4</t>
  </si>
  <si>
    <t>798.3 - 899.7 g/L</t>
  </si>
  <si>
    <t>LC50 - Danio rerio (zebra fish) - 250 mg/l - 96 h</t>
  </si>
  <si>
    <t>EC50 - &gt; 100 mg/L - 48h</t>
  </si>
  <si>
    <t xml:space="preserve">Combustible; development of hazardous combustion gases or vapours possible in the event of fire: Carbon oxides; Nitrogen oxides (NOx)
</t>
  </si>
  <si>
    <r>
      <t xml:space="preserve">"Storage class (TRGS 510): 11: Combustible Solids" </t>
    </r>
    <r>
      <rPr>
        <b/>
        <sz val="11"/>
        <color rgb="FFFF0000"/>
        <rFont val="Calibri"/>
        <family val="2"/>
        <scheme val="minor"/>
      </rPr>
      <t>(Separate storage required, use an additional receptacle!)</t>
    </r>
  </si>
  <si>
    <t>Tightly closed. Dry.</t>
  </si>
  <si>
    <t>1-ethyl-1H-imidazole</t>
  </si>
  <si>
    <t>PTX075</t>
  </si>
  <si>
    <t>1-EI</t>
  </si>
  <si>
    <r>
      <t>C</t>
    </r>
    <r>
      <rPr>
        <sz val="8"/>
        <color rgb="FF0070C0"/>
        <rFont val="Ubuntu"/>
        <family val="2"/>
      </rPr>
      <t>5</t>
    </r>
    <r>
      <rPr>
        <sz val="11"/>
        <color rgb="FF0070C0"/>
        <rFont val="Ubuntu"/>
        <family val="2"/>
      </rPr>
      <t>H</t>
    </r>
    <r>
      <rPr>
        <sz val="8"/>
        <color rgb="FF0070C0"/>
        <rFont val="Ubuntu"/>
        <family val="2"/>
      </rPr>
      <t>8</t>
    </r>
    <r>
      <rPr>
        <sz val="11"/>
        <color rgb="FF0070C0"/>
        <rFont val="Ubuntu"/>
        <family val="2"/>
      </rPr>
      <t>N</t>
    </r>
    <r>
      <rPr>
        <sz val="8"/>
        <color rgb="FF0070C0"/>
        <rFont val="Ubuntu"/>
        <family val="2"/>
      </rPr>
      <t>2</t>
    </r>
  </si>
  <si>
    <t>7098-07-9</t>
  </si>
  <si>
    <t>'Miscible'</t>
  </si>
  <si>
    <t>LC50 - Leuciscus idus (Golden orfe) - 100 - 220 mg/l - 96 h</t>
  </si>
  <si>
    <t>EC50 - 70,7 mg/l - 48 h</t>
  </si>
  <si>
    <r>
      <rPr>
        <sz val="11"/>
        <color theme="4"/>
        <rFont val="Calibri"/>
        <family val="2"/>
        <scheme val="minor"/>
      </rPr>
      <t>Room temperature</t>
    </r>
    <r>
      <rPr>
        <sz val="11"/>
        <color rgb="FFFF0000"/>
        <rFont val="Calibri"/>
        <family val="2"/>
        <scheme val="minor"/>
      </rPr>
      <t xml:space="preserve">
Light sensitive</t>
    </r>
  </si>
  <si>
    <t xml:space="preserve">In combustion emits toxic fumes of CO2 / CO, and Nitrogen oxides (NOx). </t>
  </si>
  <si>
    <r>
      <t xml:space="preserve">Strong oxidising agents. Strong acids. 
"Storage class (TRGS 510): 10: Combustible liquids" </t>
    </r>
    <r>
      <rPr>
        <b/>
        <sz val="11"/>
        <color rgb="FFFF0000"/>
        <rFont val="Calibri"/>
        <family val="2"/>
        <scheme val="minor"/>
      </rPr>
      <t>(Separate storage required, use an additional receptacle!)</t>
    </r>
  </si>
  <si>
    <r>
      <t>Store in cool, well ventilated area. Keep container tightly closed</t>
    </r>
    <r>
      <rPr>
        <sz val="11"/>
        <color rgb="FFFF0000"/>
        <rFont val="Calibri"/>
        <family val="2"/>
        <scheme val="minor"/>
      </rPr>
      <t>. Light Sensitive.</t>
    </r>
    <r>
      <rPr>
        <sz val="11"/>
        <color theme="1"/>
        <rFont val="Calibri"/>
        <family val="2"/>
        <scheme val="minor"/>
      </rPr>
      <t xml:space="preserve"> Store under Argon</t>
    </r>
  </si>
  <si>
    <r>
      <t xml:space="preserve">Not found in  TSCA list
PMNACC list:
PMNNO: P060752 (Modified imidazole)
</t>
    </r>
    <r>
      <rPr>
        <sz val="11"/>
        <color rgb="FFFF0000"/>
        <rFont val="Calibri"/>
        <family val="2"/>
        <charset val="1"/>
      </rPr>
      <t>Flags: PMN; S
PMN - indicates a commenced PMN substance.
S - indicates a substance that is identified in a final Significant New Use Rule.</t>
    </r>
  </si>
  <si>
    <t>1H-Imidazole, hydrobromide (1:1)</t>
  </si>
  <si>
    <t>IM(HBr)</t>
  </si>
  <si>
    <t>101023-55-6</t>
  </si>
  <si>
    <t>EC50 - 1,4 mg/l - 48 h (extrapolated from 1H-Imidazole, monohydroiodide; given their analogy)</t>
  </si>
  <si>
    <t>1-Vinylimidazole</t>
  </si>
  <si>
    <t>PTX076</t>
  </si>
  <si>
    <t>1-VI</t>
  </si>
  <si>
    <r>
      <t>C</t>
    </r>
    <r>
      <rPr>
        <sz val="8"/>
        <color rgb="FF0070C0"/>
        <rFont val="Ubuntu"/>
        <family val="2"/>
      </rPr>
      <t>5</t>
    </r>
    <r>
      <rPr>
        <sz val="11"/>
        <color rgb="FF0070C0"/>
        <rFont val="Ubuntu"/>
        <family val="2"/>
      </rPr>
      <t>H</t>
    </r>
    <r>
      <rPr>
        <sz val="8"/>
        <color rgb="FF0070C0"/>
        <rFont val="Ubuntu"/>
        <family val="2"/>
      </rPr>
      <t>6</t>
    </r>
    <r>
      <rPr>
        <sz val="11"/>
        <color rgb="FF0070C0"/>
        <rFont val="Ubuntu"/>
        <family val="2"/>
      </rPr>
      <t>N</t>
    </r>
    <r>
      <rPr>
        <sz val="8"/>
        <color rgb="FF0070C0"/>
        <rFont val="Ubuntu"/>
        <family val="2"/>
      </rPr>
      <t>2</t>
    </r>
  </si>
  <si>
    <t>1072-63-5</t>
  </si>
  <si>
    <t>Completely miscible'</t>
  </si>
  <si>
    <t>static test LC50 - Leuciscus idus (Golden orfe) - &gt; 100 mg/l - 96 h
(460 mg/L - 1000 mg/L)</t>
  </si>
  <si>
    <t>EC50 - &gt; 100 mg/l - 48 h
(190 mg/L)</t>
  </si>
  <si>
    <r>
      <t xml:space="preserve">Room temperature
</t>
    </r>
    <r>
      <rPr>
        <sz val="11"/>
        <color rgb="FFFF0000"/>
        <rFont val="Calibri"/>
        <family val="2"/>
        <scheme val="minor"/>
      </rPr>
      <t>Hygroscopic; Light sensitive.</t>
    </r>
  </si>
  <si>
    <t>Development of hazardous combustion gases or vapours possible in the event of fire: Carbon oxides, Nitrogen oxides (NOx), Vapors are heavier than air and may spread along floors.</t>
  </si>
  <si>
    <t>? (No data available)</t>
  </si>
  <si>
    <r>
      <t xml:space="preserve">Tightly closed. Keep in a well-ventilated place. </t>
    </r>
    <r>
      <rPr>
        <sz val="11"/>
        <color rgb="FFFF0000"/>
        <rFont val="Calibri"/>
        <family val="2"/>
        <scheme val="minor"/>
      </rPr>
      <t>Hygroscopic; Light sensitive.</t>
    </r>
  </si>
  <si>
    <t>Phase II chemicales: compounds of the next batch of 50</t>
  </si>
  <si>
    <t>Propofol</t>
  </si>
  <si>
    <t>PTX021</t>
  </si>
  <si>
    <r>
      <t>C</t>
    </r>
    <r>
      <rPr>
        <sz val="11"/>
        <color theme="4"/>
        <rFont val="Calibri"/>
        <family val="2"/>
      </rPr>
      <t>₁₂</t>
    </r>
    <r>
      <rPr>
        <sz val="11"/>
        <color theme="4"/>
        <rFont val="Calibri"/>
        <family val="2"/>
        <scheme val="minor"/>
      </rPr>
      <t>H</t>
    </r>
    <r>
      <rPr>
        <sz val="11"/>
        <color theme="4"/>
        <rFont val="Calibri"/>
        <family val="2"/>
      </rPr>
      <t>₁₈</t>
    </r>
    <r>
      <rPr>
        <sz val="11"/>
        <color theme="4"/>
        <rFont val="Calibri"/>
        <family val="2"/>
        <scheme val="minor"/>
      </rPr>
      <t>O</t>
    </r>
  </si>
  <si>
    <t>2078-54-8</t>
  </si>
  <si>
    <t>&gt;100 g/L</t>
  </si>
  <si>
    <t>170 - 174 mg/L</t>
  </si>
  <si>
    <t>LC50 (rainbow trout) 96 hours = 0.37 mg/L</t>
  </si>
  <si>
    <t>EC50 - 10,34 mg/L (58 uM) - 48h</t>
  </si>
  <si>
    <t>2 - 8 °C</t>
  </si>
  <si>
    <t>Hazardous decomposition products in the event of fire</t>
  </si>
  <si>
    <t>Bases, Acid chlorides, Acid anhydrides, Oxidizing agents, Strong oxidizing agents</t>
  </si>
  <si>
    <t>Tightly closed!
Forms explosive mixtures with air on intense heating.</t>
  </si>
  <si>
    <t>Caffeine</t>
  </si>
  <si>
    <t>PTX022</t>
  </si>
  <si>
    <r>
      <t>C</t>
    </r>
    <r>
      <rPr>
        <sz val="11"/>
        <color theme="1"/>
        <rFont val="Calibri"/>
        <family val="2"/>
      </rPr>
      <t>₈</t>
    </r>
    <r>
      <rPr>
        <sz val="11"/>
        <color theme="1"/>
        <rFont val="Calibri"/>
        <family val="2"/>
        <scheme val="minor"/>
      </rPr>
      <t>H</t>
    </r>
    <r>
      <rPr>
        <sz val="11"/>
        <color theme="1"/>
        <rFont val="Calibri"/>
        <family val="2"/>
      </rPr>
      <t>₁₀</t>
    </r>
    <r>
      <rPr>
        <sz val="11"/>
        <color theme="1"/>
        <rFont val="Calibri"/>
        <family val="2"/>
        <scheme val="minor"/>
      </rPr>
      <t>N</t>
    </r>
    <r>
      <rPr>
        <sz val="11"/>
        <color theme="1"/>
        <rFont val="Calibri"/>
        <family val="2"/>
      </rPr>
      <t>₄</t>
    </r>
    <r>
      <rPr>
        <sz val="11"/>
        <color theme="1"/>
        <rFont val="Calibri"/>
        <family val="2"/>
        <scheme val="minor"/>
      </rPr>
      <t>O</t>
    </r>
    <r>
      <rPr>
        <sz val="11"/>
        <color theme="1"/>
        <rFont val="Calibri"/>
        <family val="2"/>
      </rPr>
      <t>₂</t>
    </r>
  </si>
  <si>
    <t>58-08-2</t>
  </si>
  <si>
    <t>9.71 g/L</t>
  </si>
  <si>
    <t>18,7 g/l</t>
  </si>
  <si>
    <t>static test LC50 - Leuciscus idus (Golden orfe) - ca. 87 mg/l - 96 h</t>
  </si>
  <si>
    <t>EC50 - 182 mg/l - 48 h</t>
  </si>
  <si>
    <t>Keep container tightly closed in a dry and well-ventilated place. Store in cool place.</t>
  </si>
  <si>
    <t>N-methylaniline</t>
  </si>
  <si>
    <t>PTX023</t>
  </si>
  <si>
    <r>
      <t>C</t>
    </r>
    <r>
      <rPr>
        <vertAlign val="subscript"/>
        <sz val="11"/>
        <color theme="1"/>
        <rFont val="Calibri"/>
        <family val="2"/>
        <scheme val="minor"/>
      </rPr>
      <t>7</t>
    </r>
    <r>
      <rPr>
        <sz val="11"/>
        <color theme="1"/>
        <rFont val="Calibri"/>
        <family val="2"/>
        <scheme val="minor"/>
      </rPr>
      <t>H</t>
    </r>
    <r>
      <rPr>
        <vertAlign val="subscript"/>
        <sz val="11"/>
        <color theme="1"/>
        <rFont val="Calibri"/>
        <family val="2"/>
        <scheme val="minor"/>
      </rPr>
      <t>9</t>
    </r>
    <r>
      <rPr>
        <sz val="11"/>
        <color theme="1"/>
        <rFont val="Calibri"/>
        <family val="2"/>
        <scheme val="minor"/>
      </rPr>
      <t>N</t>
    </r>
  </si>
  <si>
    <t>100-61-8</t>
  </si>
  <si>
    <t>'Slightly Soluble'</t>
  </si>
  <si>
    <t>ca.30 g/l</t>
  </si>
  <si>
    <t>N-Methylaniline</t>
  </si>
  <si>
    <t>LC50 (48 h) 38 - 91.2 mg/L
LC50 (24 h) 50 mg/L</t>
  </si>
  <si>
    <t>EC50 - 0,15 mg/l - 48 h</t>
  </si>
  <si>
    <t>2 - 8 °C
Light sensitive</t>
  </si>
  <si>
    <t>Forms explosive mixtures with air on intense heating.
Violent reactions possible with: Oxidizing agents, Strong acids, Acid chlorides, Acid anhydrides</t>
  </si>
  <si>
    <r>
      <rPr>
        <b/>
        <sz val="11"/>
        <color rgb="FFFF0000"/>
        <rFont val="Calibri"/>
        <family val="2"/>
        <scheme val="minor"/>
      </rPr>
      <t>Various plastics</t>
    </r>
    <r>
      <rPr>
        <sz val="11"/>
        <color theme="4"/>
        <rFont val="Calibri"/>
        <family val="2"/>
        <scheme val="minor"/>
      </rPr>
      <t>, Copper, copper compounds</t>
    </r>
  </si>
  <si>
    <r>
      <t xml:space="preserve">Tightly closed. Keep in a well-ventilated place. Keep locked up or in an area accessible only to qualified or authorized persons.
</t>
    </r>
    <r>
      <rPr>
        <sz val="11"/>
        <color rgb="FFFF0000"/>
        <rFont val="Calibri"/>
        <family val="2"/>
        <scheme val="minor"/>
      </rPr>
      <t>Keep away from open flames, hot surfaces and sources of ignition.Take precautionary measures against static discharge.</t>
    </r>
  </si>
  <si>
    <t>Fingolimod</t>
  </si>
  <si>
    <t>PTX024</t>
  </si>
  <si>
    <r>
      <t>C</t>
    </r>
    <r>
      <rPr>
        <sz val="11"/>
        <color theme="1"/>
        <rFont val="Calibri"/>
        <family val="2"/>
      </rPr>
      <t>₁₉</t>
    </r>
    <r>
      <rPr>
        <sz val="11"/>
        <color theme="1"/>
        <rFont val="Calibri"/>
        <family val="2"/>
        <scheme val="minor"/>
      </rPr>
      <t>H</t>
    </r>
    <r>
      <rPr>
        <sz val="11"/>
        <color theme="1"/>
        <rFont val="Calibri"/>
        <family val="2"/>
      </rPr>
      <t>₃₃</t>
    </r>
    <r>
      <rPr>
        <sz val="11"/>
        <color theme="1"/>
        <rFont val="Calibri"/>
        <family val="2"/>
        <scheme val="minor"/>
      </rPr>
      <t>NO</t>
    </r>
    <r>
      <rPr>
        <sz val="11"/>
        <color theme="1"/>
        <rFont val="Calibri"/>
        <family val="2"/>
      </rPr>
      <t>₂</t>
    </r>
  </si>
  <si>
    <t>162359-55-9</t>
  </si>
  <si>
    <t>very poorly soluble in water</t>
  </si>
  <si>
    <t>EC50 - 0,12 mg/l - 48 h</t>
  </si>
  <si>
    <t>-20 °C</t>
  </si>
  <si>
    <t>Development of hazardous combustion gases or vapours possible in the event of fire: Carbon oxides, Nitrogen oxides (NOx)</t>
  </si>
  <si>
    <t>Triadimenol</t>
  </si>
  <si>
    <t>PTX025</t>
  </si>
  <si>
    <r>
      <t>C</t>
    </r>
    <r>
      <rPr>
        <sz val="11"/>
        <color theme="1"/>
        <rFont val="Calibri"/>
        <family val="2"/>
      </rPr>
      <t>₁₄</t>
    </r>
    <r>
      <rPr>
        <sz val="11"/>
        <color theme="1"/>
        <rFont val="Calibri"/>
        <family val="2"/>
        <scheme val="minor"/>
      </rPr>
      <t>H</t>
    </r>
    <r>
      <rPr>
        <sz val="11"/>
        <color theme="1"/>
        <rFont val="Calibri"/>
        <family val="2"/>
      </rPr>
      <t>₁₈</t>
    </r>
    <r>
      <rPr>
        <sz val="11"/>
        <color theme="1"/>
        <rFont val="Calibri"/>
        <family val="2"/>
        <scheme val="minor"/>
      </rPr>
      <t>ClN</t>
    </r>
    <r>
      <rPr>
        <sz val="11"/>
        <color theme="1"/>
        <rFont val="Calibri"/>
        <family val="2"/>
      </rPr>
      <t>₃</t>
    </r>
    <r>
      <rPr>
        <sz val="11"/>
        <color theme="1"/>
        <rFont val="Calibri"/>
        <family val="2"/>
        <scheme val="minor"/>
      </rPr>
      <t>O</t>
    </r>
    <r>
      <rPr>
        <sz val="11"/>
        <color theme="1"/>
        <rFont val="Calibri"/>
        <family val="2"/>
      </rPr>
      <t>₂</t>
    </r>
  </si>
  <si>
    <t>55219-65-3</t>
  </si>
  <si>
    <t>soluble</t>
  </si>
  <si>
    <t>0.12 g/L</t>
  </si>
  <si>
    <t>static test LC50 - Oncorhynchus mykiss (rainbow trout) - 21,3 mg/l - 96 h</t>
  </si>
  <si>
    <t>EC50 - 48,9-51 mg/l - 48 h</t>
  </si>
  <si>
    <t>Special hazards arising from the substance or mixture: Carbon oxides, Nitrogen oxides (NOx), Hydrogen chloride gas</t>
  </si>
  <si>
    <t>Chlorpyrifos</t>
  </si>
  <si>
    <t>PTX026</t>
  </si>
  <si>
    <t>CPF</t>
  </si>
  <si>
    <r>
      <t>C</t>
    </r>
    <r>
      <rPr>
        <sz val="11"/>
        <color theme="1"/>
        <rFont val="Calibri"/>
        <family val="2"/>
      </rPr>
      <t>₉</t>
    </r>
    <r>
      <rPr>
        <sz val="11"/>
        <color theme="1"/>
        <rFont val="Calibri"/>
        <family val="2"/>
        <scheme val="minor"/>
      </rPr>
      <t>H</t>
    </r>
    <r>
      <rPr>
        <sz val="11"/>
        <color theme="1"/>
        <rFont val="Calibri"/>
        <family val="2"/>
      </rPr>
      <t>₁₁</t>
    </r>
    <r>
      <rPr>
        <sz val="11"/>
        <color theme="1"/>
        <rFont val="Calibri"/>
        <family val="2"/>
        <scheme val="minor"/>
      </rPr>
      <t>Cl</t>
    </r>
    <r>
      <rPr>
        <sz val="11"/>
        <color theme="1"/>
        <rFont val="Calibri"/>
        <family val="2"/>
      </rPr>
      <t>₃</t>
    </r>
    <r>
      <rPr>
        <sz val="11"/>
        <color theme="1"/>
        <rFont val="Calibri"/>
        <family val="2"/>
        <scheme val="minor"/>
      </rPr>
      <t>NO</t>
    </r>
    <r>
      <rPr>
        <sz val="11"/>
        <color theme="1"/>
        <rFont val="Calibri"/>
        <family val="2"/>
      </rPr>
      <t>₃</t>
    </r>
    <r>
      <rPr>
        <sz val="11"/>
        <color theme="1"/>
        <rFont val="Calibri"/>
        <family val="2"/>
        <scheme val="minor"/>
      </rPr>
      <t>PS</t>
    </r>
  </si>
  <si>
    <t xml:space="preserve">  2921-88-2</t>
  </si>
  <si>
    <t>1 - 50 g/L</t>
  </si>
  <si>
    <t>0.0004 g/l</t>
  </si>
  <si>
    <t>Toxic solid, organic, n.o.s. (Chlorpyrifos)</t>
  </si>
  <si>
    <t>96 hr LC50 (Common carp): 0.19 mg/L</t>
  </si>
  <si>
    <t>0.74 - 0.76 mg/L</t>
  </si>
  <si>
    <t>2 - 8 °C
(-20 °C based on manufacturer's info!)</t>
  </si>
  <si>
    <t>Development of hazardous combustion gases or vapours possible in the event of fire.</t>
  </si>
  <si>
    <r>
      <t xml:space="preserve">Brass, Strong oxidizing agents, Strong acids and strong bases, </t>
    </r>
    <r>
      <rPr>
        <b/>
        <sz val="11"/>
        <color rgb="FFFF0000"/>
        <rFont val="Calibri"/>
        <family val="2"/>
        <scheme val="minor"/>
      </rPr>
      <t>Amines</t>
    </r>
    <r>
      <rPr>
        <sz val="11"/>
        <color theme="1"/>
        <rFont val="Calibri"/>
        <family val="2"/>
        <scheme val="minor"/>
      </rPr>
      <t>, Copper, Copper alloys</t>
    </r>
  </si>
  <si>
    <t>Tightly closed. Dry. Keep in a well-ventilated place. Keep locked up or in an area accessible only to qualified or authorized persons.</t>
  </si>
  <si>
    <t>Chlorpyrifos oxon</t>
  </si>
  <si>
    <t>PTX027</t>
  </si>
  <si>
    <t>CPO</t>
  </si>
  <si>
    <t>5598-15-2</t>
  </si>
  <si>
    <t>0,0014 mg/l</t>
  </si>
  <si>
    <t>Toxic solid, organic, n.o.s. (Chlorpyrifos-oxon)</t>
  </si>
  <si>
    <t>0,502 mg/L? (48h, zebrafish)</t>
  </si>
  <si>
    <t>48-hour EC50 (Daphnia magna): 0.32 μg/L</t>
  </si>
  <si>
    <r>
      <t xml:space="preserve">Room temperature
</t>
    </r>
    <r>
      <rPr>
        <sz val="11"/>
        <color rgb="FFFF0000"/>
        <rFont val="Calibri"/>
        <family val="2"/>
        <scheme val="minor"/>
      </rPr>
      <t>(-20 °C based on manufacturer's info!)</t>
    </r>
  </si>
  <si>
    <t>Formation of toxic gases is possible during heating or in case of fire.</t>
  </si>
  <si>
    <t>Store in a cool location. Keep container in a well-ventilated place. Keep away from sources of ignition and heat.</t>
  </si>
  <si>
    <t>Genistein</t>
  </si>
  <si>
    <t>PTX028</t>
  </si>
  <si>
    <r>
      <t>C</t>
    </r>
    <r>
      <rPr>
        <sz val="11"/>
        <color theme="1"/>
        <rFont val="Calibri"/>
        <family val="2"/>
      </rPr>
      <t>₁₅</t>
    </r>
    <r>
      <rPr>
        <sz val="11"/>
        <color theme="1"/>
        <rFont val="Calibri"/>
        <family val="2"/>
        <scheme val="minor"/>
      </rPr>
      <t>H</t>
    </r>
    <r>
      <rPr>
        <sz val="11"/>
        <color theme="1"/>
        <rFont val="Calibri"/>
        <family val="2"/>
      </rPr>
      <t>₁₀</t>
    </r>
    <r>
      <rPr>
        <sz val="11"/>
        <color theme="1"/>
        <rFont val="Calibri"/>
        <family val="2"/>
        <scheme val="minor"/>
      </rPr>
      <t>O</t>
    </r>
    <r>
      <rPr>
        <sz val="11"/>
        <color theme="1"/>
        <rFont val="Calibri"/>
        <family val="2"/>
      </rPr>
      <t>₅</t>
    </r>
  </si>
  <si>
    <t>446-72-0</t>
  </si>
  <si>
    <t>30 - 200 g/l</t>
  </si>
  <si>
    <t>1.43 mg/L</t>
  </si>
  <si>
    <t>LC50 - 5,5 mg/L (zebrafish, 120h)</t>
  </si>
  <si>
    <t>Development of hazardous combustion gases or vapours possible in the event of fire; Carbon oxides</t>
  </si>
  <si>
    <t>Niflumic acid</t>
  </si>
  <si>
    <t>PTX029</t>
  </si>
  <si>
    <r>
      <t>C</t>
    </r>
    <r>
      <rPr>
        <sz val="11"/>
        <color theme="1"/>
        <rFont val="Calibri"/>
        <family val="2"/>
      </rPr>
      <t>₁₃</t>
    </r>
    <r>
      <rPr>
        <sz val="11"/>
        <color theme="1"/>
        <rFont val="Calibri"/>
        <family val="2"/>
        <scheme val="minor"/>
      </rPr>
      <t>H</t>
    </r>
    <r>
      <rPr>
        <sz val="11"/>
        <color theme="1"/>
        <rFont val="Calibri"/>
        <family val="2"/>
      </rPr>
      <t>₉</t>
    </r>
    <r>
      <rPr>
        <sz val="11"/>
        <color theme="1"/>
        <rFont val="Calibri"/>
        <family val="2"/>
        <scheme val="minor"/>
      </rPr>
      <t>F</t>
    </r>
    <r>
      <rPr>
        <sz val="11"/>
        <color theme="1"/>
        <rFont val="Calibri"/>
        <family val="2"/>
      </rPr>
      <t>₃</t>
    </r>
    <r>
      <rPr>
        <sz val="11"/>
        <color theme="1"/>
        <rFont val="Calibri"/>
        <family val="2"/>
        <scheme val="minor"/>
      </rPr>
      <t>N</t>
    </r>
    <r>
      <rPr>
        <sz val="11"/>
        <color theme="1"/>
        <rFont val="Calibri"/>
        <family val="2"/>
      </rPr>
      <t>₂</t>
    </r>
    <r>
      <rPr>
        <sz val="11"/>
        <color theme="1"/>
        <rFont val="Calibri"/>
        <family val="2"/>
        <scheme val="minor"/>
      </rPr>
      <t>O</t>
    </r>
    <r>
      <rPr>
        <sz val="11"/>
        <color theme="1"/>
        <rFont val="Calibri"/>
        <family val="2"/>
      </rPr>
      <t>₂</t>
    </r>
  </si>
  <si>
    <t>4394-00-7</t>
  </si>
  <si>
    <t>28.22 g/L</t>
  </si>
  <si>
    <t>19 mg/l</t>
  </si>
  <si>
    <t>Toxic solid, organic, n.o.s. (Niflumic acid)</t>
  </si>
  <si>
    <r>
      <t>Room temperature (</t>
    </r>
    <r>
      <rPr>
        <sz val="11"/>
        <color rgb="FFFF0000"/>
        <rFont val="Calibri"/>
        <family val="2"/>
        <scheme val="minor"/>
      </rPr>
      <t>Light sensitive. Hygroscopic</t>
    </r>
    <r>
      <rPr>
        <sz val="11"/>
        <color theme="1"/>
        <rFont val="Calibri"/>
        <family val="2"/>
        <scheme val="minor"/>
      </rPr>
      <t>)</t>
    </r>
  </si>
  <si>
    <t>Hazardous decomposition products formed under fire conditions. - Carbon oxides, Nitrogen oxides (NOx), Hydrogen fluoride</t>
  </si>
  <si>
    <t>Pregnenolone</t>
  </si>
  <si>
    <t>PTX030</t>
  </si>
  <si>
    <r>
      <t>C</t>
    </r>
    <r>
      <rPr>
        <sz val="11"/>
        <color theme="4"/>
        <rFont val="Calibri"/>
        <family val="2"/>
      </rPr>
      <t>₂₁</t>
    </r>
    <r>
      <rPr>
        <sz val="11"/>
        <color theme="4"/>
        <rFont val="Calibri"/>
        <family val="2"/>
        <scheme val="minor"/>
      </rPr>
      <t>H</t>
    </r>
    <r>
      <rPr>
        <sz val="11"/>
        <color theme="4"/>
        <rFont val="Calibri"/>
        <family val="2"/>
      </rPr>
      <t>₃₂</t>
    </r>
    <r>
      <rPr>
        <sz val="11"/>
        <color theme="4"/>
        <rFont val="Calibri"/>
        <family val="2"/>
        <scheme val="minor"/>
      </rPr>
      <t>O</t>
    </r>
    <r>
      <rPr>
        <sz val="11"/>
        <color theme="4"/>
        <rFont val="Calibri"/>
        <family val="2"/>
      </rPr>
      <t>₂</t>
    </r>
  </si>
  <si>
    <t>145-13-1</t>
  </si>
  <si>
    <t>22 g/L</t>
  </si>
  <si>
    <t>"insoluble"</t>
  </si>
  <si>
    <t>&gt; 0.41 mg/L (above the solubility limit in the test medium)</t>
  </si>
  <si>
    <t>Room temperature (based on manufacturer's info)</t>
  </si>
  <si>
    <t>Hazardous decomposition products formed under fire conditions. - Carbon oxides</t>
  </si>
  <si>
    <t>Dexamethasone</t>
  </si>
  <si>
    <t>PTX031</t>
  </si>
  <si>
    <r>
      <t>C</t>
    </r>
    <r>
      <rPr>
        <sz val="11"/>
        <color theme="4"/>
        <rFont val="Calibri"/>
        <family val="2"/>
      </rPr>
      <t>₂₂</t>
    </r>
    <r>
      <rPr>
        <sz val="11"/>
        <color theme="4"/>
        <rFont val="Calibri"/>
        <family val="2"/>
        <scheme val="minor"/>
      </rPr>
      <t>H</t>
    </r>
    <r>
      <rPr>
        <sz val="11"/>
        <color theme="4"/>
        <rFont val="Calibri"/>
        <family val="2"/>
      </rPr>
      <t>₂₉</t>
    </r>
    <r>
      <rPr>
        <sz val="11"/>
        <color theme="4"/>
        <rFont val="Calibri"/>
        <family val="2"/>
        <scheme val="minor"/>
      </rPr>
      <t>FO</t>
    </r>
    <r>
      <rPr>
        <sz val="11"/>
        <color theme="4"/>
        <rFont val="Calibri"/>
        <family val="2"/>
      </rPr>
      <t>₅</t>
    </r>
  </si>
  <si>
    <t>50-02-2</t>
  </si>
  <si>
    <t>606 g/L</t>
  </si>
  <si>
    <t>0,0089 g/l</t>
  </si>
  <si>
    <t>LC50 (Pimephales promelas (fathead minnow)): &gt; 1.000 mg/l
Exposure time: 96 h
Baseline tox in zebrafish (96h): 8455 mg/L</t>
  </si>
  <si>
    <t>56 - 230 mg/L</t>
  </si>
  <si>
    <t>2-8 °C, Light sensitive</t>
  </si>
  <si>
    <t>Hazardous decomposition products formed under fire conditions. - Carbon oxides, Hydrogen fluoride</t>
  </si>
  <si>
    <r>
      <t xml:space="preserve">- Conditions to avoid: </t>
    </r>
    <r>
      <rPr>
        <sz val="11"/>
        <color rgb="FFFF0000"/>
        <rFont val="Calibri"/>
        <family val="2"/>
        <scheme val="minor"/>
      </rPr>
      <t>Light</t>
    </r>
    <r>
      <rPr>
        <sz val="11"/>
        <color theme="1"/>
        <rFont val="Calibri"/>
        <family val="2"/>
        <scheme val="minor"/>
      </rPr>
      <t xml:space="preserve">
- Incompatible materials: No data available</t>
    </r>
  </si>
  <si>
    <r>
      <rPr>
        <b/>
        <sz val="11"/>
        <color rgb="FFFF0000"/>
        <rFont val="Calibri"/>
        <family val="2"/>
        <scheme val="minor"/>
      </rPr>
      <t>Protect against light</t>
    </r>
    <r>
      <rPr>
        <sz val="11"/>
        <color theme="1"/>
        <rFont val="Calibri"/>
        <family val="2"/>
        <scheme val="minor"/>
      </rPr>
      <t>.Tightly closed. Dry. Keep in a well-ventilated place. Keep locked up or in an area accessible only to qualified or authorized persons.</t>
    </r>
  </si>
  <si>
    <t>Ethylenethiourea</t>
  </si>
  <si>
    <t>PTX032</t>
  </si>
  <si>
    <r>
      <t>C</t>
    </r>
    <r>
      <rPr>
        <sz val="11"/>
        <color theme="1"/>
        <rFont val="Calibri"/>
        <family val="2"/>
      </rPr>
      <t>₃</t>
    </r>
    <r>
      <rPr>
        <sz val="11"/>
        <color theme="1"/>
        <rFont val="Calibri"/>
        <family val="2"/>
        <scheme val="minor"/>
      </rPr>
      <t>H</t>
    </r>
    <r>
      <rPr>
        <sz val="11"/>
        <color theme="1"/>
        <rFont val="Calibri"/>
        <family val="2"/>
      </rPr>
      <t>₆</t>
    </r>
    <r>
      <rPr>
        <sz val="11"/>
        <color theme="1"/>
        <rFont val="Calibri"/>
        <family val="2"/>
        <scheme val="minor"/>
      </rPr>
      <t>N</t>
    </r>
    <r>
      <rPr>
        <sz val="11"/>
        <color theme="1"/>
        <rFont val="Calibri"/>
        <family val="2"/>
      </rPr>
      <t>₂</t>
    </r>
    <r>
      <rPr>
        <sz val="11"/>
        <color theme="1"/>
        <rFont val="Calibri"/>
        <family val="2"/>
        <scheme val="minor"/>
      </rPr>
      <t>S</t>
    </r>
  </si>
  <si>
    <t>96-45-7</t>
  </si>
  <si>
    <t>Slightly Soluble''</t>
  </si>
  <si>
    <t>27,4 g/l</t>
  </si>
  <si>
    <t>semi-static test LC50 - Poecilia reticulata (guppy) - 7.500 mg/l - 96 h (OECD Test Guideline 203)</t>
  </si>
  <si>
    <t>semi-static test LC50 - Daphnia magna (Water flea) - 26,4 mg/l - 48 
h
(OECD Test Guideline 202)</t>
  </si>
  <si>
    <t>Hazardous decomposition products formed under fire conditions. - Carbon oxides, Nitrogen oxides (NOx), Sulfur oxides</t>
  </si>
  <si>
    <t>Possibility of hazardous reactions (Violent reactions possible with): Strong oxidizing agents, Strong acids</t>
  </si>
  <si>
    <t>Diphenylamine</t>
  </si>
  <si>
    <t>PTX033</t>
  </si>
  <si>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11</t>
    </r>
    <r>
      <rPr>
        <sz val="11"/>
        <color theme="1"/>
        <rFont val="Calibri"/>
        <family val="2"/>
        <scheme val="minor"/>
      </rPr>
      <t>N</t>
    </r>
  </si>
  <si>
    <t>122-39-4</t>
  </si>
  <si>
    <t>41 g/L</t>
  </si>
  <si>
    <t>Environmentally hazardous substance, solid, n.o.s. (diphenylamine)</t>
  </si>
  <si>
    <t>LC50 - Pimephales promelas (fathead minnow) - 3,79 mg/l - 96,0 h 
LC50 - Oryzias latipes (Orange-red killifish) - 2,2 mg/l - 48 h Remarks: (IUCLID)</t>
  </si>
  <si>
    <t>EC50 - 2 mg/l - 48 h</t>
  </si>
  <si>
    <t>Part 1: p(1)-b
Part 2: p-b</t>
  </si>
  <si>
    <r>
      <t xml:space="preserve">Atorvastatin
</t>
    </r>
    <r>
      <rPr>
        <b/>
        <sz val="11"/>
        <color theme="1"/>
        <rFont val="Calibri"/>
        <family val="2"/>
        <scheme val="minor"/>
      </rPr>
      <t>(Atorvastatin Calcium Salt Trihydrate)</t>
    </r>
  </si>
  <si>
    <t>PTX034</t>
  </si>
  <si>
    <r>
      <t>C₃₃H₃₅FN₂O₅
(</t>
    </r>
    <r>
      <rPr>
        <b/>
        <sz val="11"/>
        <color rgb="FF4472C4"/>
        <rFont val="Calibri"/>
        <family val="2"/>
        <scheme val="minor"/>
      </rPr>
      <t>C</t>
    </r>
    <r>
      <rPr>
        <b/>
        <vertAlign val="subscript"/>
        <sz val="11"/>
        <color rgb="FF4472C4"/>
        <rFont val="Calibri"/>
        <family val="2"/>
        <scheme val="minor"/>
      </rPr>
      <t>66</t>
    </r>
    <r>
      <rPr>
        <b/>
        <sz val="11"/>
        <color rgb="FF4472C4"/>
        <rFont val="Calibri"/>
        <family val="2"/>
        <scheme val="minor"/>
      </rPr>
      <t>H</t>
    </r>
    <r>
      <rPr>
        <b/>
        <vertAlign val="subscript"/>
        <sz val="11"/>
        <color rgb="FF4472C4"/>
        <rFont val="Calibri"/>
        <family val="2"/>
        <scheme val="minor"/>
      </rPr>
      <t>68</t>
    </r>
    <r>
      <rPr>
        <b/>
        <sz val="11"/>
        <color rgb="FF4472C4"/>
        <rFont val="Calibri"/>
        <family val="2"/>
        <scheme val="minor"/>
      </rPr>
      <t>CaF</t>
    </r>
    <r>
      <rPr>
        <b/>
        <vertAlign val="subscript"/>
        <sz val="11"/>
        <color rgb="FF4472C4"/>
        <rFont val="Calibri"/>
        <family val="2"/>
        <scheme val="minor"/>
      </rPr>
      <t>2</t>
    </r>
    <r>
      <rPr>
        <b/>
        <sz val="11"/>
        <color rgb="FF4472C4"/>
        <rFont val="Calibri"/>
        <family val="2"/>
        <scheme val="minor"/>
      </rPr>
      <t>N</t>
    </r>
    <r>
      <rPr>
        <b/>
        <vertAlign val="subscript"/>
        <sz val="11"/>
        <color rgb="FF4472C4"/>
        <rFont val="Calibri"/>
        <family val="2"/>
        <scheme val="minor"/>
      </rPr>
      <t>4</t>
    </r>
    <r>
      <rPr>
        <b/>
        <sz val="11"/>
        <color rgb="FF4472C4"/>
        <rFont val="Calibri"/>
        <family val="2"/>
        <scheme val="minor"/>
      </rPr>
      <t>O</t>
    </r>
    <r>
      <rPr>
        <b/>
        <vertAlign val="subscript"/>
        <sz val="11"/>
        <color rgb="FF4472C4"/>
        <rFont val="Calibri"/>
        <family val="2"/>
        <scheme val="minor"/>
      </rPr>
      <t>10</t>
    </r>
    <r>
      <rPr>
        <b/>
        <sz val="11"/>
        <color rgb="FF4472C4"/>
        <rFont val="Calibri"/>
        <family val="2"/>
        <scheme val="minor"/>
      </rPr>
      <t>･3H</t>
    </r>
    <r>
      <rPr>
        <b/>
        <vertAlign val="subscript"/>
        <sz val="11"/>
        <color rgb="FF4472C4"/>
        <rFont val="Calibri"/>
        <family val="2"/>
        <scheme val="minor"/>
      </rPr>
      <t>2</t>
    </r>
    <r>
      <rPr>
        <b/>
        <sz val="11"/>
        <color rgb="FF4472C4"/>
        <rFont val="Calibri"/>
        <family val="2"/>
        <scheme val="minor"/>
      </rPr>
      <t>O</t>
    </r>
    <r>
      <rPr>
        <sz val="11"/>
        <color rgb="FF4472C4"/>
        <rFont val="Calibri"/>
        <family val="2"/>
        <scheme val="minor"/>
      </rPr>
      <t>)</t>
    </r>
  </si>
  <si>
    <r>
      <t>134523-00-5
(</t>
    </r>
    <r>
      <rPr>
        <b/>
        <sz val="11"/>
        <color theme="1"/>
        <rFont val="Calibri"/>
        <family val="2"/>
        <scheme val="minor"/>
      </rPr>
      <t>344423-98-9</t>
    </r>
    <r>
      <rPr>
        <sz val="11"/>
        <color theme="1"/>
        <rFont val="Calibri"/>
        <family val="2"/>
        <scheme val="minor"/>
      </rPr>
      <t>)</t>
    </r>
  </si>
  <si>
    <t>15 g/L</t>
  </si>
  <si>
    <t>practically insoluble</t>
  </si>
  <si>
    <t>&gt; 100 mg/L (96h), rainbow trout</t>
  </si>
  <si>
    <t>EC50 - 200 mg/l - 48 h</t>
  </si>
  <si>
    <t>Hazardous decomposition products formed under fire conditions: Carbon oxides, Nitrogen oxides (NOx), Hydrogen fluoride, Calcium oxide</t>
  </si>
  <si>
    <t>Strong oxidizing agents, Acids, Bases</t>
  </si>
  <si>
    <r>
      <t xml:space="preserve">Fluoxetine
</t>
    </r>
    <r>
      <rPr>
        <b/>
        <sz val="11"/>
        <color theme="1"/>
        <rFont val="Calibri"/>
        <family val="2"/>
        <scheme val="minor"/>
      </rPr>
      <t>(Fluoxetine Hydrochloride)</t>
    </r>
  </si>
  <si>
    <t>PTX035</t>
  </si>
  <si>
    <t>FLX</t>
  </si>
  <si>
    <r>
      <t xml:space="preserve">C₁₇H₁₈F₃NO
</t>
    </r>
    <r>
      <rPr>
        <b/>
        <sz val="11"/>
        <color rgb="FF4472C4"/>
        <rFont val="Calibri"/>
        <family val="2"/>
        <scheme val="minor"/>
      </rPr>
      <t>(C₁₇H₁₈F₃NO · HCl)</t>
    </r>
  </si>
  <si>
    <r>
      <t>54910-89-3
(</t>
    </r>
    <r>
      <rPr>
        <b/>
        <sz val="11"/>
        <color theme="1"/>
        <rFont val="Calibri"/>
        <family val="2"/>
        <scheme val="minor"/>
      </rPr>
      <t>56296-78-7</t>
    </r>
    <r>
      <rPr>
        <sz val="11"/>
        <color theme="1"/>
        <rFont val="Calibri"/>
        <family val="2"/>
        <scheme val="minor"/>
      </rPr>
      <t>)</t>
    </r>
  </si>
  <si>
    <t>34.58 g/L</t>
  </si>
  <si>
    <t>3.46 g/L</t>
  </si>
  <si>
    <t>Environmentally hazardous substance, solid, n.o.s. (Methyl[3-phenyl-3-[4-(trifluoromethyl)phenoxy]propyl]ammonium chloride)</t>
  </si>
  <si>
    <t>LC50 - Pimephales promelas (fathead minnow) - 0,16 - 0,20 mg/l - 96 h</t>
  </si>
  <si>
    <t>0.82 mg/L</t>
  </si>
  <si>
    <t xml:space="preserve"> -20 °C?</t>
  </si>
  <si>
    <t>Hazardous decomposition products formed under fire conditions: Carbon oxides, Nitrogen oxides (NOx), Hydrogen chloride gas, Hydrogen fluoride</t>
  </si>
  <si>
    <t>Nicotine</t>
  </si>
  <si>
    <t>PTX036</t>
  </si>
  <si>
    <r>
      <t>C</t>
    </r>
    <r>
      <rPr>
        <sz val="12"/>
        <color theme="4"/>
        <rFont val="Calibri"/>
        <family val="2"/>
      </rPr>
      <t>₁₀</t>
    </r>
    <r>
      <rPr>
        <sz val="12"/>
        <color theme="4"/>
        <rFont val="Calibri"/>
        <family val="2"/>
        <scheme val="minor"/>
      </rPr>
      <t>H</t>
    </r>
    <r>
      <rPr>
        <sz val="12"/>
        <color theme="4"/>
        <rFont val="Calibri"/>
        <family val="2"/>
      </rPr>
      <t>₁₄</t>
    </r>
    <r>
      <rPr>
        <sz val="12"/>
        <color theme="4"/>
        <rFont val="Calibri"/>
        <family val="2"/>
        <scheme val="minor"/>
      </rPr>
      <t>N</t>
    </r>
    <r>
      <rPr>
        <sz val="12"/>
        <color theme="4"/>
        <rFont val="Calibri"/>
        <family val="2"/>
      </rPr>
      <t>₂</t>
    </r>
  </si>
  <si>
    <t>54-11-5</t>
  </si>
  <si>
    <t>30 g/L</t>
  </si>
  <si>
    <t>totally miscible</t>
  </si>
  <si>
    <t>static test LC50 - Oncorhynchus mykiss (rainbow trout) - 4 mg/l - 96 h</t>
  </si>
  <si>
    <t>3 mg/l</t>
  </si>
  <si>
    <r>
      <t xml:space="preserve">Room temperature; </t>
    </r>
    <r>
      <rPr>
        <sz val="11"/>
        <color rgb="FFFF0000"/>
        <rFont val="Calibri"/>
        <family val="2"/>
        <scheme val="minor"/>
      </rPr>
      <t>Protected from light. Air sensitive, hygroscopic</t>
    </r>
  </si>
  <si>
    <t>Development of hazardous combustion gases or vapours possible in the event of fire: Carbon oxides, Nitrogen oxides (NOx)
Fire may cause evolution of: nitrous gases, nitrogen oxides
Vapors are heavier than air and may spread along floors.
Forms explosive mixtures with air on intense heating.</t>
  </si>
  <si>
    <t>Possibility of hazardous reactions (Violent reactions possible with):
Exothermic reaction with: Strong oxidizing agents, Strong acids</t>
  </si>
  <si>
    <r>
      <rPr>
        <sz val="11"/>
        <color rgb="FFFF0000"/>
        <rFont val="Calibri"/>
        <family val="2"/>
        <scheme val="minor"/>
      </rPr>
      <t>Protected from light. Air sensitive, hygroscopic.</t>
    </r>
    <r>
      <rPr>
        <sz val="11"/>
        <color theme="1"/>
        <rFont val="Calibri"/>
        <family val="2"/>
        <scheme val="minor"/>
      </rPr>
      <t xml:space="preserve"> Tightly closed. Keep in a well-ventilated place. Keep locked up or in an area accessible only to qualified or authorized persons.</t>
    </r>
  </si>
  <si>
    <t>Valproic acid</t>
  </si>
  <si>
    <t>PTX037</t>
  </si>
  <si>
    <r>
      <t>C</t>
    </r>
    <r>
      <rPr>
        <sz val="11"/>
        <color theme="4"/>
        <rFont val="Calibri"/>
        <family val="2"/>
      </rPr>
      <t>₈</t>
    </r>
    <r>
      <rPr>
        <sz val="11"/>
        <color theme="4"/>
        <rFont val="Calibri"/>
        <family val="2"/>
        <scheme val="minor"/>
      </rPr>
      <t>H</t>
    </r>
    <r>
      <rPr>
        <sz val="11"/>
        <color theme="4"/>
        <rFont val="Calibri"/>
        <family val="2"/>
      </rPr>
      <t>₁₆</t>
    </r>
    <r>
      <rPr>
        <sz val="11"/>
        <color theme="4"/>
        <rFont val="Calibri"/>
        <family val="2"/>
        <scheme val="minor"/>
      </rPr>
      <t>O</t>
    </r>
    <r>
      <rPr>
        <sz val="11"/>
        <color theme="4"/>
        <rFont val="Calibri"/>
        <family val="2"/>
      </rPr>
      <t>₂</t>
    </r>
  </si>
  <si>
    <t>99-66-1</t>
  </si>
  <si>
    <t>5 g/L</t>
  </si>
  <si>
    <t>10 g/L (not recommended to store an aqueous solution more than 1 day!!)</t>
  </si>
  <si>
    <t>LC50 (96h, Danio rerio): 66 mg/L</t>
  </si>
  <si>
    <t>122,8 mg/l</t>
  </si>
  <si>
    <t>Keep container tightly closed in a dry and well-ventilated place. Containers which are
opened must be carefully resealed and kept upright to prevent leakage. Store in cool place.</t>
  </si>
  <si>
    <r>
      <t xml:space="preserve">Verapamil
</t>
    </r>
    <r>
      <rPr>
        <b/>
        <sz val="11"/>
        <color theme="1"/>
        <rFont val="Calibri"/>
        <family val="2"/>
        <scheme val="minor"/>
      </rPr>
      <t>((±)-Verapamil hydrochloride)</t>
    </r>
  </si>
  <si>
    <t>PTX038</t>
  </si>
  <si>
    <r>
      <t xml:space="preserve">C₂₇H₃₈N₂O₄
</t>
    </r>
    <r>
      <rPr>
        <b/>
        <sz val="11"/>
        <color rgb="FF4472C4"/>
        <rFont val="Calibri"/>
        <family val="2"/>
        <scheme val="minor"/>
      </rPr>
      <t>(C₂₇H₃₈N₂O₄ · HCl)</t>
    </r>
  </si>
  <si>
    <r>
      <t>52-53-9
(</t>
    </r>
    <r>
      <rPr>
        <b/>
        <sz val="11"/>
        <color theme="1"/>
        <rFont val="Calibri"/>
        <family val="2"/>
        <scheme val="minor"/>
      </rPr>
      <t>152-11-4</t>
    </r>
    <r>
      <rPr>
        <sz val="11"/>
        <color theme="1"/>
        <rFont val="Calibri"/>
        <family val="2"/>
        <scheme val="minor"/>
      </rPr>
      <t>)</t>
    </r>
  </si>
  <si>
    <t>0.75 g/L</t>
  </si>
  <si>
    <t>Toxic solid, organic, n.o.s.(Verapamil hydrochloride)</t>
  </si>
  <si>
    <t>LC50 - Oncorhynchus mykiss (rainbow trout) - 2,72 mg/l - 96 h</t>
  </si>
  <si>
    <t>7,04 mg/l</t>
  </si>
  <si>
    <r>
      <t xml:space="preserve">Room temperature; </t>
    </r>
    <r>
      <rPr>
        <sz val="11"/>
        <color rgb="FFFF0000"/>
        <rFont val="Calibri"/>
        <family val="2"/>
        <scheme val="minor"/>
      </rPr>
      <t>light sensitive</t>
    </r>
  </si>
  <si>
    <t>Hazardous decomposition products formed under fire conditions: Carbon oxides, Nitrogen oxides (NOx), Hydrogen chloride gas</t>
  </si>
  <si>
    <t>Possibility of hazardous reactions (Violent reactions possible with): Strong oxidizing agents</t>
  </si>
  <si>
    <r>
      <t xml:space="preserve">Tightly closed. Dry. Keep in a well-ventilated place. Keep locked up or in an area accessible
only to qualified or authorized persons.
</t>
    </r>
    <r>
      <rPr>
        <sz val="11"/>
        <color rgb="FFFF0000"/>
        <rFont val="Calibri"/>
        <family val="2"/>
        <scheme val="minor"/>
      </rPr>
      <t>Light sensitive.</t>
    </r>
  </si>
  <si>
    <t>Diclofenac</t>
  </si>
  <si>
    <t>PTX039</t>
  </si>
  <si>
    <r>
      <t>C</t>
    </r>
    <r>
      <rPr>
        <sz val="11"/>
        <color theme="1"/>
        <rFont val="Calibri"/>
        <family val="2"/>
      </rPr>
      <t>₁₄</t>
    </r>
    <r>
      <rPr>
        <sz val="11"/>
        <color theme="1"/>
        <rFont val="Calibri"/>
        <family val="2"/>
        <scheme val="minor"/>
      </rPr>
      <t>H</t>
    </r>
    <r>
      <rPr>
        <sz val="11"/>
        <color theme="1"/>
        <rFont val="Calibri"/>
        <family val="2"/>
      </rPr>
      <t>₁₀</t>
    </r>
    <r>
      <rPr>
        <sz val="11"/>
        <color theme="1"/>
        <rFont val="Calibri"/>
        <family val="2"/>
        <scheme val="minor"/>
      </rPr>
      <t>Cl</t>
    </r>
    <r>
      <rPr>
        <sz val="11"/>
        <color theme="1"/>
        <rFont val="Calibri"/>
        <family val="2"/>
      </rPr>
      <t>₂</t>
    </r>
    <r>
      <rPr>
        <sz val="11"/>
        <color theme="1"/>
        <rFont val="Calibri"/>
        <family val="2"/>
        <scheme val="minor"/>
      </rPr>
      <t>NNaO</t>
    </r>
    <r>
      <rPr>
        <sz val="11"/>
        <color theme="1"/>
        <rFont val="Calibri"/>
        <family val="2"/>
      </rPr>
      <t>₂</t>
    </r>
  </si>
  <si>
    <t>15307-86-5</t>
  </si>
  <si>
    <t>40 g/L</t>
  </si>
  <si>
    <t>0,0071 g/l at 25 °C - slightly soluble</t>
  </si>
  <si>
    <t>Toxic solid, organic, n.o.s. ([2-(2,6-Dichloroanilino)phenyl]acetic acid)</t>
  </si>
  <si>
    <t>LC50 : 82 mg/l</t>
  </si>
  <si>
    <t>68 mg/L (from 22.43 - 120 mg/L, depending on biblio, and on sodium salt or acid)</t>
  </si>
  <si>
    <t>Bisphenol A</t>
  </si>
  <si>
    <t>PTX040</t>
  </si>
  <si>
    <t>BPA</t>
  </si>
  <si>
    <r>
      <t>C</t>
    </r>
    <r>
      <rPr>
        <sz val="11"/>
        <color theme="1"/>
        <rFont val="Calibri"/>
        <family val="2"/>
      </rPr>
      <t>₁₅</t>
    </r>
    <r>
      <rPr>
        <sz val="11"/>
        <color theme="1"/>
        <rFont val="Calibri"/>
        <family val="2"/>
        <scheme val="minor"/>
      </rPr>
      <t>H</t>
    </r>
    <r>
      <rPr>
        <sz val="11"/>
        <color theme="1"/>
        <rFont val="Calibri"/>
        <family val="2"/>
      </rPr>
      <t>₁₆</t>
    </r>
    <r>
      <rPr>
        <sz val="11"/>
        <color theme="1"/>
        <rFont val="Calibri"/>
        <family val="2"/>
        <scheme val="minor"/>
      </rPr>
      <t>O</t>
    </r>
    <r>
      <rPr>
        <sz val="11"/>
        <color theme="1"/>
        <rFont val="Calibri"/>
        <family val="2"/>
      </rPr>
      <t>₂</t>
    </r>
  </si>
  <si>
    <t>80-05-7</t>
  </si>
  <si>
    <t>45 g/L</t>
  </si>
  <si>
    <t>0,298 g/l</t>
  </si>
  <si>
    <t>Environmentally hazardous substance, solid, n.o.s. (4,4'-isopropylidenediphenol)</t>
  </si>
  <si>
    <t>LC50 - Pimephales promelas (fathead minnow) - 4,6 mg/l - 96 h
LC50 - Cyprinodon variegatus (sheepshead minnow) - 11 mg/l - 96 h</t>
  </si>
  <si>
    <t>EC50 - 10,2 mg/l - 48 h</t>
  </si>
  <si>
    <t>Hazardous decomposition products formed under fire conditions: Carbon oxides</t>
  </si>
  <si>
    <t>Strong bases, Strong oxidizing agents</t>
  </si>
  <si>
    <t>Clofibric acid</t>
  </si>
  <si>
    <t>PTX041</t>
  </si>
  <si>
    <r>
      <t>C</t>
    </r>
    <r>
      <rPr>
        <sz val="11"/>
        <color theme="4"/>
        <rFont val="Calibri"/>
        <family val="2"/>
      </rPr>
      <t>₁₀</t>
    </r>
    <r>
      <rPr>
        <sz val="11"/>
        <color theme="4"/>
        <rFont val="Calibri"/>
        <family val="2"/>
        <scheme val="minor"/>
      </rPr>
      <t>H</t>
    </r>
    <r>
      <rPr>
        <sz val="11"/>
        <color theme="4"/>
        <rFont val="Calibri"/>
        <family val="2"/>
      </rPr>
      <t>₁</t>
    </r>
    <r>
      <rPr>
        <sz val="9.9"/>
        <color theme="4"/>
        <rFont val="Calibri"/>
        <family val="2"/>
      </rPr>
      <t>₁</t>
    </r>
    <r>
      <rPr>
        <sz val="11"/>
        <color theme="4"/>
        <rFont val="Calibri"/>
        <family val="2"/>
        <scheme val="minor"/>
      </rPr>
      <t>ClO</t>
    </r>
    <r>
      <rPr>
        <sz val="11"/>
        <color theme="4"/>
        <rFont val="Calibri"/>
        <family val="2"/>
      </rPr>
      <t>₃</t>
    </r>
  </si>
  <si>
    <t>882-09-7</t>
  </si>
  <si>
    <t>2 g/l</t>
  </si>
  <si>
    <t>0.5 g/l</t>
  </si>
  <si>
    <t>31 mg/L predicted basline toxicity zebrafish 96h</t>
  </si>
  <si>
    <t>28.2 mg/L</t>
  </si>
  <si>
    <t>Hazardous decomposition products formed under fire conditions. - Carbon oxides, Hydrogen chloride gas</t>
  </si>
  <si>
    <t>Carbendazim</t>
  </si>
  <si>
    <t>PTX042</t>
  </si>
  <si>
    <r>
      <t>C</t>
    </r>
    <r>
      <rPr>
        <sz val="11"/>
        <color theme="1"/>
        <rFont val="Calibri"/>
        <family val="2"/>
      </rPr>
      <t>₉</t>
    </r>
    <r>
      <rPr>
        <sz val="11"/>
        <color theme="1"/>
        <rFont val="Calibri"/>
        <family val="2"/>
        <scheme val="minor"/>
      </rPr>
      <t>H</t>
    </r>
    <r>
      <rPr>
        <sz val="11"/>
        <color theme="1"/>
        <rFont val="Calibri"/>
        <family val="2"/>
      </rPr>
      <t>₉</t>
    </r>
    <r>
      <rPr>
        <sz val="11"/>
        <color theme="1"/>
        <rFont val="Calibri"/>
        <family val="2"/>
        <scheme val="minor"/>
      </rPr>
      <t>N</t>
    </r>
    <r>
      <rPr>
        <sz val="11"/>
        <color theme="1"/>
        <rFont val="Calibri"/>
        <family val="2"/>
      </rPr>
      <t>₃</t>
    </r>
    <r>
      <rPr>
        <sz val="11"/>
        <color theme="1"/>
        <rFont val="Calibri"/>
        <family val="2"/>
        <scheme val="minor"/>
      </rPr>
      <t>O</t>
    </r>
    <r>
      <rPr>
        <sz val="11"/>
        <color theme="1"/>
        <rFont val="Calibri"/>
        <family val="2"/>
      </rPr>
      <t>₂</t>
    </r>
  </si>
  <si>
    <t>10605-21-7</t>
  </si>
  <si>
    <t>6.8 g/L</t>
  </si>
  <si>
    <t>0,1 g/l</t>
  </si>
  <si>
    <t>Environmentally hazardous substance, solid, n.o.s.(2-(Methoxycarboxamido)benzimidazole)</t>
  </si>
  <si>
    <t>LC50 - Oncorhynchus mykiss (rainbow trout) - 0,024 mg/l - 96,0 h</t>
  </si>
  <si>
    <t>0.15 mg/L</t>
  </si>
  <si>
    <t>Hazardous decomposition products formed under fire conditions: Carbon oxides, Nitrogen oxides (NOx); Risk of dust explosion</t>
  </si>
  <si>
    <t>Part 1: p(1)-b</t>
  </si>
  <si>
    <t>Tributyltin chloride</t>
  </si>
  <si>
    <t>PTX043</t>
  </si>
  <si>
    <t>TBT</t>
  </si>
  <si>
    <r>
      <t>C</t>
    </r>
    <r>
      <rPr>
        <sz val="11"/>
        <color theme="1"/>
        <rFont val="Calibri"/>
        <family val="2"/>
      </rPr>
      <t>₁₂</t>
    </r>
    <r>
      <rPr>
        <sz val="11"/>
        <color theme="1"/>
        <rFont val="Calibri"/>
        <family val="2"/>
        <scheme val="minor"/>
      </rPr>
      <t>H</t>
    </r>
    <r>
      <rPr>
        <sz val="11"/>
        <color theme="1"/>
        <rFont val="Calibri"/>
        <family val="2"/>
      </rPr>
      <t>₂₇</t>
    </r>
    <r>
      <rPr>
        <sz val="11"/>
        <color theme="1"/>
        <rFont val="Calibri"/>
        <family val="2"/>
        <scheme val="minor"/>
      </rPr>
      <t>ClSn</t>
    </r>
  </si>
  <si>
    <t>1461-22-9</t>
  </si>
  <si>
    <t>'soluble' (at least &lt;1 g/L)</t>
  </si>
  <si>
    <t>0,0758 g/l</t>
  </si>
  <si>
    <t>Organotin compound, liquid, n.o.s.(tributyltin chloride)</t>
  </si>
  <si>
    <t>LC50 - Danio rerio (zebrafish) - 0,0079 mg/l - 96 h</t>
  </si>
  <si>
    <t>static test EC50 - Daphnia magna (Water flea) - 0,0098 mg/l - 48 h
(OECD Test Guideline 202)</t>
  </si>
  <si>
    <t>Hazardous decomposition products formed under fire conditions: Carbon oxides, Hydrogen chloride gas, Tin/tin oxides</t>
  </si>
  <si>
    <r>
      <t xml:space="preserve">Keep container tightly closed in a dry and well-ventilated place. Store in cool place.
</t>
    </r>
    <r>
      <rPr>
        <sz val="11"/>
        <color rgb="FFFF0000"/>
        <rFont val="Calibri"/>
        <family val="2"/>
        <scheme val="minor"/>
      </rPr>
      <t xml:space="preserve">Containers which are opened must be carefully resealed and kept upright to prevent leakage. </t>
    </r>
  </si>
  <si>
    <t xml:space="preserve">Part1: 
p(1) - p(2) / i(1) - i(2)
b-b / sr-sr
Part 3                                                           </t>
  </si>
  <si>
    <t>Picoxystrobin</t>
  </si>
  <si>
    <t>PTX044</t>
  </si>
  <si>
    <r>
      <t>C</t>
    </r>
    <r>
      <rPr>
        <sz val="11"/>
        <color theme="1"/>
        <rFont val="Calibri"/>
        <family val="2"/>
      </rPr>
      <t>₁₈</t>
    </r>
    <r>
      <rPr>
        <sz val="11"/>
        <color theme="1"/>
        <rFont val="Calibri"/>
        <family val="2"/>
        <scheme val="minor"/>
      </rPr>
      <t>H</t>
    </r>
    <r>
      <rPr>
        <sz val="11"/>
        <color theme="1"/>
        <rFont val="Calibri"/>
        <family val="2"/>
      </rPr>
      <t>₁₆</t>
    </r>
    <r>
      <rPr>
        <sz val="11"/>
        <color theme="1"/>
        <rFont val="Calibri"/>
        <family val="2"/>
        <scheme val="minor"/>
      </rPr>
      <t>F</t>
    </r>
    <r>
      <rPr>
        <sz val="11"/>
        <color theme="1"/>
        <rFont val="Calibri"/>
        <family val="2"/>
      </rPr>
      <t>₃</t>
    </r>
    <r>
      <rPr>
        <sz val="11"/>
        <color theme="1"/>
        <rFont val="Calibri"/>
        <family val="2"/>
        <scheme val="minor"/>
      </rPr>
      <t>NO</t>
    </r>
    <r>
      <rPr>
        <sz val="11"/>
        <color theme="1"/>
        <rFont val="Calibri"/>
        <family val="2"/>
      </rPr>
      <t>₄</t>
    </r>
  </si>
  <si>
    <t>117428-22-5</t>
  </si>
  <si>
    <t>3,1 mg/l</t>
  </si>
  <si>
    <t>Environmentally hazardous substance, solid, n.o.s. (Picoxystrobin)</t>
  </si>
  <si>
    <t>LC50 - Oncorhynchus mykiss (rainbow trout) - 0,075 mg/l - 96,0 h</t>
  </si>
  <si>
    <t>EC50 - Daphnia magna (Water flea) - 0,024 mg/l - 48 h</t>
  </si>
  <si>
    <r>
      <t xml:space="preserve">Room temperature; </t>
    </r>
    <r>
      <rPr>
        <sz val="11"/>
        <color rgb="FFFF0000"/>
        <rFont val="Calibri"/>
        <family val="2"/>
        <scheme val="minor"/>
      </rPr>
      <t>protect from light</t>
    </r>
  </si>
  <si>
    <t>Hazardous decomposition products formed under fire conditions: Carbon oxides, Nitrogen oxides (NOx), Hydrogen fluoride</t>
  </si>
  <si>
    <t>Butoxyethanol</t>
  </si>
  <si>
    <t>PTX045</t>
  </si>
  <si>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14</t>
    </r>
    <r>
      <rPr>
        <sz val="11"/>
        <color theme="1"/>
        <rFont val="Calibri"/>
        <family val="2"/>
        <scheme val="minor"/>
      </rPr>
      <t>O</t>
    </r>
    <r>
      <rPr>
        <vertAlign val="subscript"/>
        <sz val="11"/>
        <color theme="1"/>
        <rFont val="Calibri"/>
        <family val="2"/>
        <scheme val="minor"/>
      </rPr>
      <t>2</t>
    </r>
  </si>
  <si>
    <t>111-76-2</t>
  </si>
  <si>
    <t>'miscible in most organic solvents'</t>
  </si>
  <si>
    <t>'miscible'</t>
  </si>
  <si>
    <t>Oncorhynchus mykiss (rainbow trout) - 1.474 mg/l - 96 h</t>
  </si>
  <si>
    <t>1.550 mg/l - 48 h</t>
  </si>
  <si>
    <r>
      <t xml:space="preserve">Room temperature; </t>
    </r>
    <r>
      <rPr>
        <sz val="11"/>
        <color rgb="FFFF0000"/>
        <rFont val="Calibri"/>
        <family val="2"/>
        <scheme val="minor"/>
      </rPr>
      <t>Protected from light.</t>
    </r>
  </si>
  <si>
    <r>
      <t xml:space="preserve">Possibility of hazardous reactions (Violent reactions possible with): Strong oxidizing agents
</t>
    </r>
    <r>
      <rPr>
        <sz val="11"/>
        <color rgb="FFFF0000"/>
        <rFont val="Calibri"/>
        <family val="2"/>
        <scheme val="minor"/>
      </rPr>
      <t>Generates dangerous gases or fumes in contact with: Aluminum</t>
    </r>
  </si>
  <si>
    <t>Do not use light-weight-metal containers.</t>
  </si>
  <si>
    <t>Do not use light-weight-metal containers.
Protected from light.Tightly closed.</t>
  </si>
  <si>
    <t>2,4-dinitrophenol</t>
  </si>
  <si>
    <t>PTX046</t>
  </si>
  <si>
    <t>2,4-DNP</t>
  </si>
  <si>
    <r>
      <t>C</t>
    </r>
    <r>
      <rPr>
        <sz val="11"/>
        <color theme="4"/>
        <rFont val="Calibri"/>
        <family val="2"/>
      </rPr>
      <t>₆</t>
    </r>
    <r>
      <rPr>
        <sz val="11"/>
        <color theme="4"/>
        <rFont val="Calibri"/>
        <family val="2"/>
        <scheme val="minor"/>
      </rPr>
      <t>H</t>
    </r>
    <r>
      <rPr>
        <sz val="11"/>
        <color theme="4"/>
        <rFont val="Calibri"/>
        <family val="2"/>
      </rPr>
      <t>₄</t>
    </r>
    <r>
      <rPr>
        <sz val="11"/>
        <color theme="4"/>
        <rFont val="Calibri"/>
        <family val="2"/>
        <scheme val="minor"/>
      </rPr>
      <t>N</t>
    </r>
    <r>
      <rPr>
        <sz val="11"/>
        <color theme="4"/>
        <rFont val="Calibri"/>
        <family val="2"/>
      </rPr>
      <t>₂</t>
    </r>
    <r>
      <rPr>
        <sz val="11"/>
        <color theme="4"/>
        <rFont val="Calibri"/>
        <family val="2"/>
        <scheme val="minor"/>
      </rPr>
      <t>O</t>
    </r>
    <r>
      <rPr>
        <sz val="11"/>
        <color theme="4"/>
        <rFont val="Calibri"/>
        <family val="2"/>
      </rPr>
      <t>₅</t>
    </r>
  </si>
  <si>
    <t>51-28-5</t>
  </si>
  <si>
    <t>50 - 100 g/L</t>
  </si>
  <si>
    <t>1 - 5,6 g/l</t>
  </si>
  <si>
    <t xml:space="preserve"> 4.1 (6.1)</t>
  </si>
  <si>
    <t>Dinitrophenol, wetted</t>
  </si>
  <si>
    <t>LC50 - Cyprinodon variegatus (sheepshead minnow) - 13.0 - 36.3 mg/l - 96.0 h
LC50 - Lepomis macrochirus (Bluegill) - 1.76 - 5.9 mg/l - 96.0 h</t>
  </si>
  <si>
    <t>4,1 mg/l</t>
  </si>
  <si>
    <r>
      <t xml:space="preserve">Room temperature; </t>
    </r>
    <r>
      <rPr>
        <sz val="11"/>
        <color rgb="FFFF0000"/>
        <rFont val="Calibri"/>
        <family val="2"/>
        <scheme val="minor"/>
      </rPr>
      <t>protect from light</t>
    </r>
    <r>
      <rPr>
        <sz val="11"/>
        <color theme="1"/>
        <rFont val="Calibri"/>
        <family val="2"/>
        <scheme val="minor"/>
      </rPr>
      <t xml:space="preserve">
</t>
    </r>
    <r>
      <rPr>
        <b/>
        <sz val="11"/>
        <color rgb="FFFF0000"/>
        <rFont val="Calibri"/>
        <family val="2"/>
        <scheme val="minor"/>
      </rPr>
      <t xml:space="preserve">AVOID DESSICATOR! </t>
    </r>
    <r>
      <rPr>
        <sz val="11"/>
        <color theme="1"/>
        <rFont val="Calibri"/>
        <family val="2"/>
        <scheme val="minor"/>
      </rPr>
      <t>(Explosive when dry)</t>
    </r>
  </si>
  <si>
    <t>Hazardous decomposition products formed under fire conditions: Carbon oxides, Nitrogen oxides (NOx)</t>
  </si>
  <si>
    <r>
      <rPr>
        <sz val="11"/>
        <color rgb="FFFF0000"/>
        <rFont val="Calibri"/>
        <family val="2"/>
        <scheme val="minor"/>
      </rPr>
      <t>Conditions to avoid: Heat (Explosive when dry)</t>
    </r>
    <r>
      <rPr>
        <sz val="11"/>
        <color theme="4"/>
        <rFont val="Calibri"/>
        <family val="2"/>
        <scheme val="minor"/>
      </rPr>
      <t xml:space="preserve">
Strong oxidizing agents, Strong bases, Acid chlorides, Acid anhydrides</t>
    </r>
    <r>
      <rPr>
        <b/>
        <sz val="11"/>
        <color rgb="FFFF0000"/>
        <rFont val="Calibri"/>
        <family val="2"/>
        <scheme val="minor"/>
      </rPr>
      <t xml:space="preserve">
Keep away from heat and sources of ignition
HIGHLY EXPLOSIVE</t>
    </r>
  </si>
  <si>
    <r>
      <t xml:space="preserve">Tightly closed. Keep away from heat and sources of ignition. Keep locked up or in an area accessible only to qualified or authorized persons.
</t>
    </r>
    <r>
      <rPr>
        <b/>
        <sz val="11"/>
        <color rgb="FFFF0000"/>
        <rFont val="Calibri"/>
        <family val="2"/>
        <scheme val="minor"/>
      </rPr>
      <t>Light sensitive. Heat sensitive.</t>
    </r>
  </si>
  <si>
    <t>E0</t>
  </si>
  <si>
    <t>Cisplatin</t>
  </si>
  <si>
    <t>PTX047</t>
  </si>
  <si>
    <r>
      <t>H</t>
    </r>
    <r>
      <rPr>
        <sz val="11"/>
        <color theme="1"/>
        <rFont val="Calibri"/>
        <family val="2"/>
      </rPr>
      <t>₆</t>
    </r>
    <r>
      <rPr>
        <sz val="11"/>
        <color theme="1"/>
        <rFont val="Calibri"/>
        <family val="2"/>
        <scheme val="minor"/>
      </rPr>
      <t>Cl</t>
    </r>
    <r>
      <rPr>
        <sz val="11"/>
        <color theme="1"/>
        <rFont val="Calibri"/>
        <family val="2"/>
      </rPr>
      <t>₂</t>
    </r>
    <r>
      <rPr>
        <sz val="11"/>
        <color theme="1"/>
        <rFont val="Calibri"/>
        <family val="2"/>
        <scheme val="minor"/>
      </rPr>
      <t>N</t>
    </r>
    <r>
      <rPr>
        <sz val="11"/>
        <color theme="1"/>
        <rFont val="Calibri"/>
        <family val="2"/>
      </rPr>
      <t>₂</t>
    </r>
    <r>
      <rPr>
        <sz val="11"/>
        <color theme="1"/>
        <rFont val="Calibri"/>
        <family val="2"/>
        <scheme val="minor"/>
      </rPr>
      <t>Pt</t>
    </r>
  </si>
  <si>
    <t>15663-27-1</t>
  </si>
  <si>
    <r>
      <t xml:space="preserve">1 - 2.53 g/l
</t>
    </r>
    <r>
      <rPr>
        <sz val="11"/>
        <color rgb="FFFF0000"/>
        <rFont val="Calibri"/>
        <family val="2"/>
        <scheme val="minor"/>
      </rPr>
      <t>* Although highly soluble in DMSO, cisplatin is reported to be rendered inactive due to ligand dplacement by the nucleophilic sulfur of DMSO</t>
    </r>
  </si>
  <si>
    <t>0.253 g/100 g</t>
  </si>
  <si>
    <t>Toxic solid, inorganic, n.o.s. (Cisplatin)</t>
  </si>
  <si>
    <t>LC50 - 64.5 mg/L - 96h, zebrafish, OECD 203</t>
  </si>
  <si>
    <t>EC50 - 0.64-0.94 mg/L - 48 h</t>
  </si>
  <si>
    <t>Hazardous decomposition products formed under fire conditions. - Nitrogen oxides (NOx), Hydrogen chloride gas</t>
  </si>
  <si>
    <t>Etomoxir</t>
  </si>
  <si>
    <t>PTX048</t>
  </si>
  <si>
    <r>
      <t>C</t>
    </r>
    <r>
      <rPr>
        <sz val="11"/>
        <color theme="1"/>
        <rFont val="Calibri"/>
        <family val="2"/>
      </rPr>
      <t>₁₅</t>
    </r>
    <r>
      <rPr>
        <sz val="11"/>
        <color theme="1"/>
        <rFont val="Calibri"/>
        <family val="2"/>
        <scheme val="minor"/>
      </rPr>
      <t>H</t>
    </r>
    <r>
      <rPr>
        <sz val="11"/>
        <color theme="1"/>
        <rFont val="Calibri"/>
        <family val="2"/>
      </rPr>
      <t>₁₈</t>
    </r>
    <r>
      <rPr>
        <sz val="11"/>
        <color theme="1"/>
        <rFont val="Calibri"/>
        <family val="2"/>
        <scheme val="minor"/>
      </rPr>
      <t>ClO</t>
    </r>
    <r>
      <rPr>
        <sz val="11"/>
        <color theme="1"/>
        <rFont val="Calibri"/>
        <family val="2"/>
      </rPr>
      <t>₄</t>
    </r>
    <r>
      <rPr>
        <sz val="11"/>
        <color theme="1"/>
        <rFont val="Calibri"/>
        <family val="2"/>
        <scheme val="minor"/>
      </rPr>
      <t xml:space="preserve"> · Na · H</t>
    </r>
    <r>
      <rPr>
        <sz val="11"/>
        <color theme="1"/>
        <rFont val="Calibri"/>
        <family val="2"/>
      </rPr>
      <t>₂</t>
    </r>
    <r>
      <rPr>
        <sz val="11"/>
        <color theme="1"/>
        <rFont val="Calibri"/>
        <family val="2"/>
        <scheme val="minor"/>
      </rPr>
      <t>O</t>
    </r>
  </si>
  <si>
    <t>82258-36-4</t>
  </si>
  <si>
    <t>21 g/L</t>
  </si>
  <si>
    <t>32 g/L</t>
  </si>
  <si>
    <t>Toxic solid, organic, n.o.s.(2-[6-(4-Chlorophenoxy)hexyl]-2-oxiranecarboxylic acid monosodium salt)</t>
  </si>
  <si>
    <t>2-8 °C</t>
  </si>
  <si>
    <t>Hazardous decomposition products formed under fire conditions. -Hydrogen chloride gas</t>
  </si>
  <si>
    <t>6-diazo-5-oxo-L-nor-Leucine</t>
  </si>
  <si>
    <t>PTX049</t>
  </si>
  <si>
    <t>DON</t>
  </si>
  <si>
    <r>
      <t>C</t>
    </r>
    <r>
      <rPr>
        <sz val="11"/>
        <color theme="1"/>
        <rFont val="Calibri"/>
        <family val="2"/>
      </rPr>
      <t>₆</t>
    </r>
    <r>
      <rPr>
        <sz val="11"/>
        <color theme="1"/>
        <rFont val="Calibri"/>
        <family val="2"/>
        <scheme val="minor"/>
      </rPr>
      <t>H</t>
    </r>
    <r>
      <rPr>
        <sz val="11"/>
        <color theme="1"/>
        <rFont val="Calibri"/>
        <family val="2"/>
      </rPr>
      <t>₉</t>
    </r>
    <r>
      <rPr>
        <sz val="11"/>
        <color theme="1"/>
        <rFont val="Calibri"/>
        <family val="2"/>
        <scheme val="minor"/>
      </rPr>
      <t>N</t>
    </r>
    <r>
      <rPr>
        <sz val="11"/>
        <color theme="1"/>
        <rFont val="Calibri"/>
        <family val="2"/>
      </rPr>
      <t>₃</t>
    </r>
    <r>
      <rPr>
        <sz val="11"/>
        <color theme="1"/>
        <rFont val="Calibri"/>
        <family val="2"/>
        <scheme val="minor"/>
      </rPr>
      <t>O₃</t>
    </r>
  </si>
  <si>
    <t>157-03-9</t>
  </si>
  <si>
    <t>7 g/L</t>
  </si>
  <si>
    <t>34 - 83.33 g/L</t>
  </si>
  <si>
    <t>Toxic solid, organic, n.o.s. (6-Diazo-5-oxo-L-norleucine)</t>
  </si>
  <si>
    <t>Strong acids, Strong bases</t>
  </si>
  <si>
    <t>VAS3947</t>
  </si>
  <si>
    <t>PTX050</t>
  </si>
  <si>
    <t>C₁₄H₁₀N₆OS</t>
  </si>
  <si>
    <t>869853-70-3</t>
  </si>
  <si>
    <t>"soluble"</t>
  </si>
  <si>
    <t>"soluble"?</t>
  </si>
  <si>
    <t>Under fire conditions: Nature of decomposition products not known.</t>
  </si>
  <si>
    <t>Okadaic acid
(okadaic acid sodium salt)</t>
  </si>
  <si>
    <t>PTX051</t>
  </si>
  <si>
    <r>
      <t>C</t>
    </r>
    <r>
      <rPr>
        <sz val="11"/>
        <color theme="4"/>
        <rFont val="Calibri"/>
        <family val="2"/>
      </rPr>
      <t>₄₄</t>
    </r>
    <r>
      <rPr>
        <sz val="11"/>
        <color theme="4"/>
        <rFont val="Calibri"/>
        <family val="2"/>
        <scheme val="minor"/>
      </rPr>
      <t>H</t>
    </r>
    <r>
      <rPr>
        <sz val="11"/>
        <color theme="4"/>
        <rFont val="Calibri"/>
        <family val="2"/>
      </rPr>
      <t>₆₈</t>
    </r>
    <r>
      <rPr>
        <sz val="11"/>
        <color theme="4"/>
        <rFont val="Calibri"/>
        <family val="2"/>
        <scheme val="minor"/>
      </rPr>
      <t>O</t>
    </r>
    <r>
      <rPr>
        <sz val="11"/>
        <color theme="4"/>
        <rFont val="Calibri"/>
        <family val="2"/>
      </rPr>
      <t>₁₃</t>
    </r>
  </si>
  <si>
    <t>78111-17-8
(209266-80-8)</t>
  </si>
  <si>
    <t>Toxins, extracted from living sources, solid, n.o.s. (okadaic acid sodium salt)</t>
  </si>
  <si>
    <t>Medaka fish embryos - EC50  0.75 mg/L</t>
  </si>
  <si>
    <t>15 ± 1.8 mg/l</t>
  </si>
  <si>
    <t>Room temperature, -20 °C? (see manufacturer label)</t>
  </si>
  <si>
    <t>Hazardous decomposition products formed under fire conditions: Carbon oxides, Sodium oxides</t>
  </si>
  <si>
    <t>Bicuculline</t>
  </si>
  <si>
    <t>PTX052</t>
  </si>
  <si>
    <r>
      <t>C</t>
    </r>
    <r>
      <rPr>
        <sz val="11"/>
        <color theme="1"/>
        <rFont val="Calibri"/>
        <family val="2"/>
      </rPr>
      <t>₂₀</t>
    </r>
    <r>
      <rPr>
        <sz val="11"/>
        <color theme="1"/>
        <rFont val="Calibri"/>
        <family val="2"/>
        <scheme val="minor"/>
      </rPr>
      <t>H₁₇NO</t>
    </r>
    <r>
      <rPr>
        <sz val="11"/>
        <color theme="1"/>
        <rFont val="Calibri"/>
        <family val="2"/>
      </rPr>
      <t>₆</t>
    </r>
  </si>
  <si>
    <t>485-49-4</t>
  </si>
  <si>
    <t>10 - 36.74 g/L</t>
  </si>
  <si>
    <t>10.19 g/L</t>
  </si>
  <si>
    <t>Toxic solid, organic, n.o.s. ((+)-Bicuculline)</t>
  </si>
  <si>
    <t>LC50 - Pimephales promelas (fathead minnow) - 0,039 mg/l - 96 h
48h LC50:1.03 mg/L (Gambusia affinis)</t>
  </si>
  <si>
    <r>
      <rPr>
        <sz val="11"/>
        <color rgb="FFFF0000"/>
        <rFont val="Calibri"/>
        <family val="2"/>
        <scheme val="minor"/>
      </rPr>
      <t>Conditions to avoid: Light.</t>
    </r>
    <r>
      <rPr>
        <sz val="11"/>
        <color theme="1"/>
        <rFont val="Calibri"/>
        <family val="2"/>
        <scheme val="minor"/>
      </rPr>
      <t xml:space="preserve">
Incompatible materials: Strong oxidizing agents, Strong bases</t>
    </r>
  </si>
  <si>
    <r>
      <t xml:space="preserve">Keep container tightly closed in a dry and well-ventilated place. Store in cool place.
</t>
    </r>
    <r>
      <rPr>
        <sz val="11"/>
        <color rgb="FFFF0000"/>
        <rFont val="Calibri"/>
        <family val="2"/>
        <scheme val="minor"/>
      </rPr>
      <t>Store under inert gas. Air sensitive. Light sensitive.</t>
    </r>
  </si>
  <si>
    <t>Tetraniliprole</t>
  </si>
  <si>
    <t>PTX053</t>
  </si>
  <si>
    <r>
      <t>C</t>
    </r>
    <r>
      <rPr>
        <sz val="11"/>
        <color theme="1"/>
        <rFont val="Calibri"/>
        <family val="2"/>
      </rPr>
      <t>₂₂</t>
    </r>
    <r>
      <rPr>
        <sz val="9.9"/>
        <color theme="1"/>
        <rFont val="Calibri"/>
        <family val="2"/>
      </rPr>
      <t>H₁₆ClF₃N₁₀O₂</t>
    </r>
  </si>
  <si>
    <t>1229654-66-3</t>
  </si>
  <si>
    <t>&gt;280 g/L</t>
  </si>
  <si>
    <t>0.0012 g/l</t>
  </si>
  <si>
    <t>Environmentally hazardous substance, solid, n.o.s. (Tetraniliprole)</t>
  </si>
  <si>
    <t>LC50/96h - 9.09 mg/l (fish)</t>
  </si>
  <si>
    <t>0.173 - 0.247 mg/L</t>
  </si>
  <si>
    <t>Formation of toxic gases is possible during heating or in case of fire</t>
  </si>
  <si>
    <t>Keep container in a well-ventilated place. Keep away from sources of ignition and heat.</t>
  </si>
  <si>
    <t>Isoproterenol
(isoproterenol hydrochloride)</t>
  </si>
  <si>
    <t>PTX054</t>
  </si>
  <si>
    <r>
      <t>C</t>
    </r>
    <r>
      <rPr>
        <sz val="11"/>
        <color theme="4"/>
        <rFont val="Calibri"/>
        <family val="2"/>
      </rPr>
      <t>₁₁</t>
    </r>
    <r>
      <rPr>
        <sz val="11"/>
        <color theme="4"/>
        <rFont val="Calibri"/>
        <family val="2"/>
        <scheme val="minor"/>
      </rPr>
      <t>H</t>
    </r>
    <r>
      <rPr>
        <sz val="11"/>
        <color theme="4"/>
        <rFont val="Calibri"/>
        <family val="2"/>
      </rPr>
      <t>₁₇</t>
    </r>
    <r>
      <rPr>
        <sz val="11"/>
        <color theme="4"/>
        <rFont val="Calibri"/>
        <family val="2"/>
        <scheme val="minor"/>
      </rPr>
      <t>NO</t>
    </r>
    <r>
      <rPr>
        <sz val="11"/>
        <color theme="4"/>
        <rFont val="Calibri"/>
        <family val="2"/>
      </rPr>
      <t>₃</t>
    </r>
  </si>
  <si>
    <t>7683-59-2
(51-30-9)</t>
  </si>
  <si>
    <t>50 g/l</t>
  </si>
  <si>
    <t>5.86 g/L</t>
  </si>
  <si>
    <t>Imiprothrin</t>
  </si>
  <si>
    <t>PTX055</t>
  </si>
  <si>
    <r>
      <t>C</t>
    </r>
    <r>
      <rPr>
        <sz val="11"/>
        <color theme="1"/>
        <rFont val="Calibri"/>
        <family val="2"/>
      </rPr>
      <t>₁₇</t>
    </r>
    <r>
      <rPr>
        <sz val="11"/>
        <color theme="1"/>
        <rFont val="Calibri"/>
        <family val="2"/>
        <scheme val="minor"/>
      </rPr>
      <t>H</t>
    </r>
    <r>
      <rPr>
        <sz val="11"/>
        <color theme="1"/>
        <rFont val="Calibri"/>
        <family val="2"/>
      </rPr>
      <t>₂₂</t>
    </r>
    <r>
      <rPr>
        <sz val="11"/>
        <color theme="1"/>
        <rFont val="Calibri"/>
        <family val="2"/>
        <scheme val="minor"/>
      </rPr>
      <t>N</t>
    </r>
    <r>
      <rPr>
        <sz val="11"/>
        <color theme="1"/>
        <rFont val="Calibri"/>
        <family val="2"/>
      </rPr>
      <t>₂</t>
    </r>
    <r>
      <rPr>
        <sz val="11"/>
        <color theme="1"/>
        <rFont val="Calibri"/>
        <family val="2"/>
        <scheme val="minor"/>
      </rPr>
      <t>O</t>
    </r>
    <r>
      <rPr>
        <sz val="11"/>
        <color theme="1"/>
        <rFont val="Calibri"/>
        <family val="2"/>
      </rPr>
      <t>₄</t>
    </r>
  </si>
  <si>
    <t>72963-72-5</t>
  </si>
  <si>
    <t>0.09 g/l</t>
  </si>
  <si>
    <t>Environmentally hazardous substance, liquid, n.o.s.(Imiprothrin)</t>
  </si>
  <si>
    <t>LC50 - Oncorhynchus mykiss (rainbow trout) - 0,038 mg/l - 96,0 h</t>
  </si>
  <si>
    <t>0,051 mg/l</t>
  </si>
  <si>
    <t>Darbufelone mesylate</t>
  </si>
  <si>
    <t>PTX056</t>
  </si>
  <si>
    <r>
      <t>C</t>
    </r>
    <r>
      <rPr>
        <sz val="11"/>
        <color theme="4"/>
        <rFont val="Calibri"/>
        <family val="2"/>
      </rPr>
      <t>₁₉</t>
    </r>
    <r>
      <rPr>
        <sz val="11"/>
        <color theme="4"/>
        <rFont val="Calibri"/>
        <family val="2"/>
        <scheme val="minor"/>
      </rPr>
      <t>H</t>
    </r>
    <r>
      <rPr>
        <sz val="11"/>
        <color theme="4"/>
        <rFont val="Calibri"/>
        <family val="2"/>
      </rPr>
      <t>₂₈</t>
    </r>
    <r>
      <rPr>
        <sz val="11"/>
        <color theme="4"/>
        <rFont val="Calibri"/>
        <family val="2"/>
        <scheme val="minor"/>
      </rPr>
      <t>N</t>
    </r>
    <r>
      <rPr>
        <sz val="11"/>
        <color theme="4"/>
        <rFont val="Calibri"/>
        <family val="2"/>
      </rPr>
      <t>₂</t>
    </r>
    <r>
      <rPr>
        <sz val="11"/>
        <color theme="4"/>
        <rFont val="Calibri"/>
        <family val="2"/>
        <scheme val="minor"/>
      </rPr>
      <t>O</t>
    </r>
    <r>
      <rPr>
        <sz val="11"/>
        <color theme="4"/>
        <rFont val="Calibri"/>
        <family val="2"/>
      </rPr>
      <t>₅</t>
    </r>
    <r>
      <rPr>
        <sz val="11"/>
        <color theme="4"/>
        <rFont val="Calibri"/>
        <family val="2"/>
        <scheme val="minor"/>
      </rPr>
      <t>S</t>
    </r>
    <r>
      <rPr>
        <sz val="11"/>
        <color theme="4"/>
        <rFont val="Calibri"/>
        <family val="2"/>
      </rPr>
      <t>₂</t>
    </r>
  </si>
  <si>
    <t>139340-56-0</t>
  </si>
  <si>
    <t>110 g/L</t>
  </si>
  <si>
    <t>'not soluble'</t>
  </si>
  <si>
    <t>6,55 mg/L, EC50 120h zebrafish</t>
  </si>
  <si>
    <t xml:space="preserve"> 4°C, -20 °C?, protected from light
* In solvent : -80°C, 6 months; -20°C, 1 month (protect from light)</t>
  </si>
  <si>
    <t>Under fire conditions, may decompose and emit toxic fumes.</t>
  </si>
  <si>
    <t>Strong acids/bases, strong oxidizing/reducing agents.</t>
  </si>
  <si>
    <t>Keep container tightly sealed in cool, well-ventilated area. Keep away from direct sunlight and sources of ignition.</t>
  </si>
  <si>
    <r>
      <t>Phase III chemicales: nominees (</t>
    </r>
    <r>
      <rPr>
        <b/>
        <sz val="24"/>
        <color rgb="FFFF0000"/>
        <rFont val="Calibri"/>
        <family val="2"/>
        <scheme val="minor"/>
      </rPr>
      <t>still to be selected</t>
    </r>
    <r>
      <rPr>
        <b/>
        <sz val="24"/>
        <rFont val="Calibri"/>
        <family val="2"/>
        <scheme val="minor"/>
      </rPr>
      <t>)</t>
    </r>
  </si>
  <si>
    <t>benzo(a)pyrene</t>
  </si>
  <si>
    <r>
      <t>C</t>
    </r>
    <r>
      <rPr>
        <sz val="11"/>
        <color theme="1"/>
        <rFont val="Calibri"/>
        <family val="2"/>
      </rPr>
      <t>₂₀</t>
    </r>
    <r>
      <rPr>
        <sz val="11"/>
        <color theme="1"/>
        <rFont val="Calibri"/>
        <family val="2"/>
        <scheme val="minor"/>
      </rPr>
      <t>H</t>
    </r>
    <r>
      <rPr>
        <sz val="11"/>
        <color theme="1"/>
        <rFont val="Calibri"/>
        <family val="2"/>
      </rPr>
      <t>₁₂</t>
    </r>
  </si>
  <si>
    <t>50-32-8</t>
  </si>
  <si>
    <t xml:space="preserve"> 50 g/L</t>
  </si>
  <si>
    <t>0.2 to 6.2 μg/L</t>
  </si>
  <si>
    <t>Environmentally hazardous substance, solid, n.o.s.(benzo[a]pyrene)</t>
  </si>
  <si>
    <t>EC50 - 0,25 mg/l - 48 h (above the solubility limit in the test medium)</t>
  </si>
  <si>
    <t>MitoTEMPO</t>
  </si>
  <si>
    <t>C₂₉H₃₅ClN₂O₂P</t>
  </si>
  <si>
    <t xml:space="preserve">1334850-99-5 </t>
  </si>
  <si>
    <t>25 g/L</t>
  </si>
  <si>
    <t>rimonabant</t>
  </si>
  <si>
    <r>
      <rPr>
        <sz val="12"/>
        <color theme="1"/>
        <rFont val="Calibri"/>
        <family val="2"/>
        <scheme val="minor"/>
      </rPr>
      <t>C</t>
    </r>
    <r>
      <rPr>
        <sz val="12"/>
        <color theme="1"/>
        <rFont val="Calibri"/>
        <family val="2"/>
      </rPr>
      <t>₂₂</t>
    </r>
    <r>
      <rPr>
        <sz val="12"/>
        <color theme="1"/>
        <rFont val="Calibri"/>
        <family val="2"/>
        <scheme val="minor"/>
      </rPr>
      <t>H</t>
    </r>
    <r>
      <rPr>
        <sz val="12"/>
        <color theme="1"/>
        <rFont val="Calibri"/>
        <family val="2"/>
      </rPr>
      <t>₂₁</t>
    </r>
    <r>
      <rPr>
        <sz val="12"/>
        <color theme="1"/>
        <rFont val="Calibri"/>
        <family val="2"/>
        <scheme val="minor"/>
      </rPr>
      <t>Cl</t>
    </r>
    <r>
      <rPr>
        <sz val="12"/>
        <color theme="1"/>
        <rFont val="Calibri"/>
        <family val="2"/>
      </rPr>
      <t>₃</t>
    </r>
    <r>
      <rPr>
        <sz val="12"/>
        <color theme="1"/>
        <rFont val="Calibri"/>
        <family val="2"/>
        <scheme val="minor"/>
      </rPr>
      <t>N</t>
    </r>
    <r>
      <rPr>
        <sz val="12"/>
        <color theme="1"/>
        <rFont val="Calibri"/>
        <family val="2"/>
      </rPr>
      <t>₄</t>
    </r>
    <r>
      <rPr>
        <sz val="12"/>
        <color theme="1"/>
        <rFont val="Calibri"/>
        <family val="2"/>
        <scheme val="minor"/>
      </rPr>
      <t>O</t>
    </r>
  </si>
  <si>
    <t>158681-13-1</t>
  </si>
  <si>
    <t>33.33 - 50.02 g/L</t>
  </si>
  <si>
    <t>0.002 g/L</t>
  </si>
  <si>
    <t>Toxic solid, organic, n.o.s.(5-(4-Chlorophenyl)-1-(2,4-dichlorophenyl)-4-methyl-N-1-piperidinyl-1H-pyrazole-3-carboxamide hydrochloride)</t>
  </si>
  <si>
    <t>Endosulfan</t>
  </si>
  <si>
    <r>
      <t>C</t>
    </r>
    <r>
      <rPr>
        <sz val="11"/>
        <color theme="1"/>
        <rFont val="Calibri"/>
        <family val="2"/>
      </rPr>
      <t>₉</t>
    </r>
    <r>
      <rPr>
        <sz val="11"/>
        <color theme="1"/>
        <rFont val="Calibri"/>
        <family val="2"/>
        <scheme val="minor"/>
      </rPr>
      <t>H</t>
    </r>
    <r>
      <rPr>
        <sz val="11"/>
        <color theme="1"/>
        <rFont val="Calibri"/>
        <family val="2"/>
      </rPr>
      <t>₆</t>
    </r>
    <r>
      <rPr>
        <sz val="11"/>
        <color theme="1"/>
        <rFont val="Calibri"/>
        <family val="2"/>
        <scheme val="minor"/>
      </rPr>
      <t>Cl</t>
    </r>
    <r>
      <rPr>
        <sz val="11"/>
        <color theme="1"/>
        <rFont val="Calibri"/>
        <family val="2"/>
      </rPr>
      <t>₆</t>
    </r>
    <r>
      <rPr>
        <sz val="11"/>
        <color theme="1"/>
        <rFont val="Calibri"/>
        <family val="2"/>
        <scheme val="minor"/>
      </rPr>
      <t>O</t>
    </r>
    <r>
      <rPr>
        <sz val="11"/>
        <color theme="1"/>
        <rFont val="Calibri"/>
        <family val="2"/>
      </rPr>
      <t>₃</t>
    </r>
    <r>
      <rPr>
        <sz val="11"/>
        <color theme="1"/>
        <rFont val="Calibri"/>
        <family val="2"/>
        <scheme val="minor"/>
      </rPr>
      <t>S</t>
    </r>
  </si>
  <si>
    <t>115-29-7</t>
  </si>
  <si>
    <t>'slightly soluble'</t>
  </si>
  <si>
    <t>0.53 mg/L</t>
  </si>
  <si>
    <t>Toxic solid, organic, n.o.s.(Endosulfan)</t>
  </si>
  <si>
    <t>LC50 - Cyprinus carpio (Carp) - &lt; 0,01 mg/l - 96,0 h</t>
  </si>
  <si>
    <t>0,2 - 0,9 mg/l</t>
  </si>
  <si>
    <t xml:space="preserve">	29209090</t>
  </si>
  <si>
    <t>Part 1: p(1)-b / Part 3: Pesticide / Part 4: POP</t>
  </si>
  <si>
    <t>Haloxyfop-p-methyl</t>
  </si>
  <si>
    <r>
      <t>C</t>
    </r>
    <r>
      <rPr>
        <sz val="11"/>
        <color theme="1"/>
        <rFont val="Calibri"/>
        <family val="2"/>
      </rPr>
      <t>₁₆</t>
    </r>
    <r>
      <rPr>
        <sz val="11"/>
        <color theme="1"/>
        <rFont val="Calibri"/>
        <family val="2"/>
        <scheme val="minor"/>
      </rPr>
      <t>H</t>
    </r>
    <r>
      <rPr>
        <sz val="11"/>
        <color theme="1"/>
        <rFont val="Calibri"/>
        <family val="2"/>
      </rPr>
      <t>₁₃</t>
    </r>
    <r>
      <rPr>
        <sz val="11"/>
        <color theme="1"/>
        <rFont val="Calibri"/>
        <family val="2"/>
        <scheme val="minor"/>
      </rPr>
      <t>ClF</t>
    </r>
    <r>
      <rPr>
        <sz val="11"/>
        <color theme="1"/>
        <rFont val="Calibri"/>
        <family val="2"/>
      </rPr>
      <t>₃</t>
    </r>
    <r>
      <rPr>
        <sz val="11"/>
        <color theme="1"/>
        <rFont val="Calibri"/>
        <family val="2"/>
        <scheme val="minor"/>
      </rPr>
      <t>NO</t>
    </r>
    <r>
      <rPr>
        <sz val="11"/>
        <color theme="1"/>
        <rFont val="Calibri"/>
        <family val="2"/>
      </rPr>
      <t>₄</t>
    </r>
  </si>
  <si>
    <t>72619-32-0</t>
  </si>
  <si>
    <t>8.74 mg/L</t>
  </si>
  <si>
    <t>Environmentally hazardous substance, liquid, n.o.s.(Methyl (R)-2-(4-(3-chloro-5-trifluoromethyl-2-pyridyloxy)phenoxy)propionate)</t>
  </si>
  <si>
    <t>LC50 - Lepomis macrochirus (Bluegill) - 0,3 mg/l - 96,0 h</t>
  </si>
  <si>
    <t>6,2 mg/l</t>
  </si>
  <si>
    <t>3,5,6-Trichloro-2-pyridinol</t>
  </si>
  <si>
    <r>
      <t>C</t>
    </r>
    <r>
      <rPr>
        <sz val="11"/>
        <color theme="1"/>
        <rFont val="Calibri"/>
        <family val="2"/>
      </rPr>
      <t>₅</t>
    </r>
    <r>
      <rPr>
        <sz val="11"/>
        <color theme="1"/>
        <rFont val="Calibri"/>
        <family val="2"/>
        <scheme val="minor"/>
      </rPr>
      <t>H</t>
    </r>
    <r>
      <rPr>
        <sz val="11"/>
        <color theme="1"/>
        <rFont val="Calibri"/>
        <family val="2"/>
      </rPr>
      <t>₂</t>
    </r>
    <r>
      <rPr>
        <sz val="11"/>
        <color theme="1"/>
        <rFont val="Calibri"/>
        <family val="2"/>
        <scheme val="minor"/>
      </rPr>
      <t>Cl</t>
    </r>
    <r>
      <rPr>
        <sz val="11"/>
        <color theme="1"/>
        <rFont val="Calibri"/>
        <family val="2"/>
      </rPr>
      <t>₃</t>
    </r>
    <r>
      <rPr>
        <sz val="11"/>
        <color theme="1"/>
        <rFont val="Calibri"/>
        <family val="2"/>
        <scheme val="minor"/>
      </rPr>
      <t>NO</t>
    </r>
  </si>
  <si>
    <t>6515-38-4</t>
  </si>
  <si>
    <t>32.5 g/L</t>
  </si>
  <si>
    <t>80.9 mg/L</t>
  </si>
  <si>
    <t>Environmentally hazardous substance, solid, n.o.s.(3,5,6-Trichloro-2-pyridone)</t>
  </si>
  <si>
    <t>LC50 - Pimephales promelas (fathead minnow) - 1,5 mg/l - 48,0 h</t>
  </si>
  <si>
    <t>0.20 mg/L?
3.1 - 10.4 mg/L?</t>
  </si>
  <si>
    <t>Tris(2-ethylhexyl)phosphate</t>
  </si>
  <si>
    <r>
      <t>C</t>
    </r>
    <r>
      <rPr>
        <sz val="11"/>
        <color theme="1"/>
        <rFont val="Calibri"/>
        <family val="2"/>
      </rPr>
      <t>₂₄</t>
    </r>
    <r>
      <rPr>
        <sz val="11"/>
        <color theme="1"/>
        <rFont val="Calibri"/>
        <family val="2"/>
        <scheme val="minor"/>
      </rPr>
      <t>H</t>
    </r>
    <r>
      <rPr>
        <sz val="11"/>
        <color theme="1"/>
        <rFont val="Calibri"/>
        <family val="2"/>
      </rPr>
      <t>₅₁</t>
    </r>
    <r>
      <rPr>
        <sz val="11"/>
        <color theme="1"/>
        <rFont val="Calibri"/>
        <family val="2"/>
        <scheme val="minor"/>
      </rPr>
      <t>O</t>
    </r>
    <r>
      <rPr>
        <sz val="11"/>
        <color theme="1"/>
        <rFont val="Calibri"/>
        <family val="2"/>
      </rPr>
      <t>₄</t>
    </r>
    <r>
      <rPr>
        <sz val="11"/>
        <color theme="1"/>
        <rFont val="Calibri"/>
        <family val="2"/>
        <scheme val="minor"/>
      </rPr>
      <t>P</t>
    </r>
  </si>
  <si>
    <t>78-42-2</t>
  </si>
  <si>
    <t>&lt; 1g/L</t>
  </si>
  <si>
    <t>0,0006 g/l</t>
  </si>
  <si>
    <t>LC50 - Danio rerio (zebra fish) - &gt; 100 mg/l - 96 h Remarks: (above the solubility limit in the test medium)</t>
  </si>
  <si>
    <t>&gt; 0,08 mg/l
&gt; 100 mg/L</t>
  </si>
  <si>
    <t>7-Diethylamino-4-methylcoumarin (Coumarin 47)</t>
  </si>
  <si>
    <r>
      <t>C</t>
    </r>
    <r>
      <rPr>
        <sz val="11"/>
        <color theme="1"/>
        <rFont val="Calibri"/>
        <family val="2"/>
      </rPr>
      <t>₁₄</t>
    </r>
    <r>
      <rPr>
        <sz val="11"/>
        <color theme="1"/>
        <rFont val="Calibri"/>
        <family val="2"/>
        <scheme val="minor"/>
      </rPr>
      <t>H</t>
    </r>
    <r>
      <rPr>
        <sz val="11"/>
        <color theme="1"/>
        <rFont val="Calibri"/>
        <family val="2"/>
      </rPr>
      <t>₁₇</t>
    </r>
    <r>
      <rPr>
        <sz val="11"/>
        <color theme="1"/>
        <rFont val="Calibri"/>
        <family val="2"/>
        <scheme val="minor"/>
      </rPr>
      <t>NO</t>
    </r>
    <r>
      <rPr>
        <sz val="11"/>
        <color theme="1"/>
        <rFont val="Calibri"/>
        <family val="2"/>
      </rPr>
      <t>₂</t>
    </r>
  </si>
  <si>
    <t>91-44-1</t>
  </si>
  <si>
    <t>'soluble'?</t>
  </si>
  <si>
    <t>53.28 mg/L</t>
  </si>
  <si>
    <t>330 mg/L based on baseline toxicity in zebrafish</t>
  </si>
  <si>
    <t>10.9 mg/L</t>
  </si>
  <si>
    <t>6PPD-Quinone</t>
  </si>
  <si>
    <r>
      <t>C</t>
    </r>
    <r>
      <rPr>
        <sz val="11"/>
        <color theme="1"/>
        <rFont val="Calibri"/>
        <family val="2"/>
      </rPr>
      <t>₁₈</t>
    </r>
    <r>
      <rPr>
        <sz val="11"/>
        <color theme="1"/>
        <rFont val="Calibri"/>
        <family val="2"/>
        <scheme val="minor"/>
      </rPr>
      <t>H</t>
    </r>
    <r>
      <rPr>
        <sz val="11"/>
        <color theme="1"/>
        <rFont val="Calibri"/>
        <family val="2"/>
      </rPr>
      <t>₂₂</t>
    </r>
    <r>
      <rPr>
        <sz val="11"/>
        <color theme="1"/>
        <rFont val="Calibri"/>
        <family val="2"/>
        <scheme val="minor"/>
      </rPr>
      <t>N</t>
    </r>
    <r>
      <rPr>
        <sz val="11"/>
        <color theme="1"/>
        <rFont val="Calibri"/>
        <family val="2"/>
      </rPr>
      <t>₂O₂</t>
    </r>
  </si>
  <si>
    <t>Not yet available</t>
  </si>
  <si>
    <t>"relatively high soluble"</t>
  </si>
  <si>
    <t>96h-LC50 (Lepomis macrochirus): 0.4 mg/l. 96h                              LC50 (Oncorhynchus mykiss): 0.14 mg/l. 96h                    LC50 (Pimephales promelas): 0.45 mg/l.</t>
  </si>
  <si>
    <t>48h-EC50 (Daphnia magna): 0.82 mg/l</t>
  </si>
  <si>
    <t>no data</t>
  </si>
  <si>
    <t>N-1,3-Dimethylbutyl-N'-phenyl-p-phenylenediamine (6PPD)</t>
  </si>
  <si>
    <r>
      <t>C</t>
    </r>
    <r>
      <rPr>
        <sz val="11"/>
        <color theme="1"/>
        <rFont val="Calibri"/>
        <family val="2"/>
      </rPr>
      <t>₁₈</t>
    </r>
    <r>
      <rPr>
        <sz val="11"/>
        <color theme="1"/>
        <rFont val="Calibri"/>
        <family val="2"/>
        <scheme val="minor"/>
      </rPr>
      <t>H</t>
    </r>
    <r>
      <rPr>
        <sz val="11"/>
        <color theme="1"/>
        <rFont val="Calibri"/>
        <family val="2"/>
      </rPr>
      <t>₂₄</t>
    </r>
    <r>
      <rPr>
        <sz val="11"/>
        <color theme="1"/>
        <rFont val="Calibri"/>
        <family val="2"/>
        <scheme val="minor"/>
      </rPr>
      <t>N</t>
    </r>
    <r>
      <rPr>
        <sz val="11"/>
        <color theme="1"/>
        <rFont val="Calibri"/>
        <family val="2"/>
      </rPr>
      <t>₂</t>
    </r>
  </si>
  <si>
    <t>793-24-8</t>
  </si>
  <si>
    <r>
      <t>1 mg/l</t>
    </r>
    <r>
      <rPr>
        <sz val="11"/>
        <color rgb="FFFF0000"/>
        <rFont val="Calibri"/>
        <family val="2"/>
        <scheme val="minor"/>
      </rPr>
      <t xml:space="preserve"> (6PPD is not stable in water under environmental conditions. The half-life is less than 1 day under aerobic conditions)</t>
    </r>
  </si>
  <si>
    <t>flow-through test LC50 - Oryzias latipes - 0,028 mg/l - 96 h</t>
  </si>
  <si>
    <t xml:space="preserve">
0.13 -0.69 mg/L</t>
  </si>
  <si>
    <t>Store away from sources of ignition</t>
  </si>
  <si>
    <t>andrographolide</t>
  </si>
  <si>
    <r>
      <t>C</t>
    </r>
    <r>
      <rPr>
        <sz val="11"/>
        <color theme="4"/>
        <rFont val="Calibri"/>
        <family val="2"/>
      </rPr>
      <t>₂₀</t>
    </r>
    <r>
      <rPr>
        <sz val="11"/>
        <color theme="4"/>
        <rFont val="Calibri"/>
        <family val="2"/>
        <scheme val="minor"/>
      </rPr>
      <t>H</t>
    </r>
    <r>
      <rPr>
        <sz val="11"/>
        <color theme="4"/>
        <rFont val="Calibri"/>
        <family val="2"/>
      </rPr>
      <t>₃₀</t>
    </r>
    <r>
      <rPr>
        <sz val="11"/>
        <color theme="4"/>
        <rFont val="Calibri"/>
        <family val="2"/>
        <scheme val="minor"/>
      </rPr>
      <t>O</t>
    </r>
    <r>
      <rPr>
        <sz val="11"/>
        <color theme="4"/>
        <rFont val="Calibri"/>
        <family val="2"/>
      </rPr>
      <t>₅</t>
    </r>
  </si>
  <si>
    <t>5508-58-7</t>
  </si>
  <si>
    <t>2 - 25 g/l</t>
  </si>
  <si>
    <t>46.26 - 146.9 mg/L</t>
  </si>
  <si>
    <t>3.5 mg/L</t>
  </si>
  <si>
    <t>Benzothiazole-2-sulfonic acid</t>
  </si>
  <si>
    <r>
      <t>C</t>
    </r>
    <r>
      <rPr>
        <vertAlign val="subscript"/>
        <sz val="11"/>
        <color theme="4"/>
        <rFont val="Calibri"/>
        <family val="2"/>
        <scheme val="minor"/>
      </rPr>
      <t>7</t>
    </r>
    <r>
      <rPr>
        <sz val="11"/>
        <color theme="4"/>
        <rFont val="Calibri"/>
        <family val="2"/>
        <scheme val="minor"/>
      </rPr>
      <t>H</t>
    </r>
    <r>
      <rPr>
        <vertAlign val="subscript"/>
        <sz val="11"/>
        <color theme="4"/>
        <rFont val="Calibri"/>
        <family val="2"/>
        <scheme val="minor"/>
      </rPr>
      <t>5</t>
    </r>
    <r>
      <rPr>
        <sz val="11"/>
        <color theme="4"/>
        <rFont val="Calibri"/>
        <family val="2"/>
        <scheme val="minor"/>
      </rPr>
      <t>NO</t>
    </r>
    <r>
      <rPr>
        <vertAlign val="subscript"/>
        <sz val="11"/>
        <color theme="4"/>
        <rFont val="Calibri"/>
        <family val="2"/>
        <scheme val="minor"/>
      </rPr>
      <t>3</t>
    </r>
    <r>
      <rPr>
        <sz val="11"/>
        <color theme="4"/>
        <rFont val="Calibri"/>
        <family val="2"/>
        <scheme val="minor"/>
      </rPr>
      <t>S</t>
    </r>
    <r>
      <rPr>
        <vertAlign val="subscript"/>
        <sz val="11"/>
        <color theme="4"/>
        <rFont val="Calibri"/>
        <family val="2"/>
        <scheme val="minor"/>
      </rPr>
      <t>2</t>
    </r>
  </si>
  <si>
    <t>941-57-1</t>
  </si>
  <si>
    <t>no</t>
  </si>
  <si>
    <t>Diuron</t>
  </si>
  <si>
    <r>
      <t>C</t>
    </r>
    <r>
      <rPr>
        <sz val="11"/>
        <color theme="1"/>
        <rFont val="Calibri"/>
        <family val="2"/>
      </rPr>
      <t>₉</t>
    </r>
    <r>
      <rPr>
        <sz val="11"/>
        <color theme="1"/>
        <rFont val="Calibri"/>
        <family val="2"/>
        <scheme val="minor"/>
      </rPr>
      <t>H</t>
    </r>
    <r>
      <rPr>
        <sz val="11"/>
        <color theme="1"/>
        <rFont val="Calibri"/>
        <family val="2"/>
      </rPr>
      <t>₁₀</t>
    </r>
    <r>
      <rPr>
        <sz val="11"/>
        <color theme="1"/>
        <rFont val="Calibri"/>
        <family val="2"/>
        <scheme val="minor"/>
      </rPr>
      <t>Cl</t>
    </r>
    <r>
      <rPr>
        <sz val="11"/>
        <color theme="1"/>
        <rFont val="Calibri"/>
        <family val="2"/>
      </rPr>
      <t>₂</t>
    </r>
    <r>
      <rPr>
        <sz val="11"/>
        <color theme="1"/>
        <rFont val="Calibri"/>
        <family val="2"/>
        <scheme val="minor"/>
      </rPr>
      <t>N</t>
    </r>
    <r>
      <rPr>
        <sz val="11"/>
        <color theme="1"/>
        <rFont val="Calibri"/>
        <family val="2"/>
      </rPr>
      <t>₂</t>
    </r>
    <r>
      <rPr>
        <sz val="11"/>
        <color theme="1"/>
        <rFont val="Calibri"/>
        <family val="2"/>
        <scheme val="minor"/>
      </rPr>
      <t>O</t>
    </r>
  </si>
  <si>
    <t>330-54-1</t>
  </si>
  <si>
    <t>"Slightly Soluble"</t>
  </si>
  <si>
    <t>0,029 g/l</t>
  </si>
  <si>
    <t>Environmentally hazardous substance, solid, n.o.s. (Diuron (ISO))</t>
  </si>
  <si>
    <t>static test LC50 - Oncorhynchus mykiss (rainbow trout) - 14,7 mg/l - 96 h</t>
  </si>
  <si>
    <t>1,4 mg/l</t>
  </si>
  <si>
    <t>Epoxiconazole</t>
  </si>
  <si>
    <r>
      <t>C</t>
    </r>
    <r>
      <rPr>
        <sz val="11"/>
        <color theme="1"/>
        <rFont val="Calibri"/>
        <family val="2"/>
      </rPr>
      <t>₁₇</t>
    </r>
    <r>
      <rPr>
        <sz val="11"/>
        <color theme="1"/>
        <rFont val="Calibri"/>
        <family val="2"/>
        <scheme val="minor"/>
      </rPr>
      <t>H</t>
    </r>
    <r>
      <rPr>
        <sz val="11"/>
        <color theme="1"/>
        <rFont val="Calibri"/>
        <family val="2"/>
      </rPr>
      <t>₁₃</t>
    </r>
    <r>
      <rPr>
        <sz val="11"/>
        <color theme="1"/>
        <rFont val="Calibri"/>
        <family val="2"/>
        <scheme val="minor"/>
      </rPr>
      <t>ClFN</t>
    </r>
    <r>
      <rPr>
        <sz val="11"/>
        <color theme="1"/>
        <rFont val="Calibri"/>
        <family val="2"/>
      </rPr>
      <t>₃</t>
    </r>
    <r>
      <rPr>
        <sz val="11"/>
        <color theme="1"/>
        <rFont val="Calibri"/>
        <family val="2"/>
        <scheme val="minor"/>
      </rPr>
      <t>O</t>
    </r>
  </si>
  <si>
    <t>133855-98-8</t>
  </si>
  <si>
    <t>&gt; 81 g/L</t>
  </si>
  <si>
    <t>9.457 mg/L</t>
  </si>
  <si>
    <t>Environmentally hazardous substance, solid, n.o.s. (Epoxiconazole)</t>
  </si>
  <si>
    <t>static test LC50 - Oncorhynchus mykiss (rainbow trout) - 3,54 mg/l - 96 h</t>
  </si>
  <si>
    <t>8,69 mg/l</t>
  </si>
  <si>
    <t>1,2,3-Benzotriazole</t>
  </si>
  <si>
    <r>
      <t>C</t>
    </r>
    <r>
      <rPr>
        <sz val="11"/>
        <color theme="1"/>
        <rFont val="Calibri"/>
        <family val="2"/>
      </rPr>
      <t>₆</t>
    </r>
    <r>
      <rPr>
        <sz val="11"/>
        <color theme="1"/>
        <rFont val="Calibri"/>
        <family val="2"/>
        <scheme val="minor"/>
      </rPr>
      <t>H</t>
    </r>
    <r>
      <rPr>
        <sz val="11"/>
        <color theme="1"/>
        <rFont val="Calibri"/>
        <family val="2"/>
      </rPr>
      <t>₅</t>
    </r>
    <r>
      <rPr>
        <sz val="11"/>
        <color theme="1"/>
        <rFont val="Calibri"/>
        <family val="2"/>
        <scheme val="minor"/>
      </rPr>
      <t>N</t>
    </r>
    <r>
      <rPr>
        <sz val="11"/>
        <color theme="1"/>
        <rFont val="Calibri"/>
        <family val="2"/>
      </rPr>
      <t>₃</t>
    </r>
  </si>
  <si>
    <t>95-14-7</t>
  </si>
  <si>
    <t xml:space="preserve"> &gt; 100 g/L</t>
  </si>
  <si>
    <t>19 g/l</t>
  </si>
  <si>
    <t>Environmentally hazardous substance, solid, n.o.s. (1H-Benzotriazole)</t>
  </si>
  <si>
    <t>semi-static test LC50 - Danio rerio (zebra fish) - 180 mg/l - 96 h (OECD Test Guideline 203)</t>
  </si>
  <si>
    <t>8,58 mg/l</t>
  </si>
  <si>
    <t>Propylparaben</t>
  </si>
  <si>
    <r>
      <t>C</t>
    </r>
    <r>
      <rPr>
        <sz val="11"/>
        <color theme="1"/>
        <rFont val="Calibri"/>
        <family val="2"/>
      </rPr>
      <t>₁₀</t>
    </r>
    <r>
      <rPr>
        <sz val="11"/>
        <color theme="1"/>
        <rFont val="Calibri"/>
        <family val="2"/>
        <scheme val="minor"/>
      </rPr>
      <t>H</t>
    </r>
    <r>
      <rPr>
        <sz val="11"/>
        <color theme="1"/>
        <rFont val="Calibri"/>
        <family val="2"/>
      </rPr>
      <t>₁₂</t>
    </r>
    <r>
      <rPr>
        <sz val="11"/>
        <color theme="1"/>
        <rFont val="Calibri"/>
        <family val="2"/>
        <scheme val="minor"/>
      </rPr>
      <t>O</t>
    </r>
    <r>
      <rPr>
        <sz val="11"/>
        <color theme="1"/>
        <rFont val="Calibri"/>
        <family val="2"/>
      </rPr>
      <t>₃</t>
    </r>
  </si>
  <si>
    <t>94-13-3</t>
  </si>
  <si>
    <t>36 g/L</t>
  </si>
  <si>
    <t>0,4 g/l</t>
  </si>
  <si>
    <t>static test EC50 - Danio rerio (zebra fish) - 6,4 mg/l - 96 h</t>
  </si>
  <si>
    <t>15,4 mg/l</t>
  </si>
  <si>
    <t>Metolachlor</t>
  </si>
  <si>
    <r>
      <t>C</t>
    </r>
    <r>
      <rPr>
        <sz val="11"/>
        <color theme="1"/>
        <rFont val="Calibri"/>
        <family val="2"/>
      </rPr>
      <t>₁₅</t>
    </r>
    <r>
      <rPr>
        <sz val="11"/>
        <color theme="1"/>
        <rFont val="Calibri"/>
        <family val="2"/>
        <scheme val="minor"/>
      </rPr>
      <t>H</t>
    </r>
    <r>
      <rPr>
        <sz val="11"/>
        <color theme="1"/>
        <rFont val="Calibri"/>
        <family val="2"/>
      </rPr>
      <t>₂₂</t>
    </r>
    <r>
      <rPr>
        <sz val="11"/>
        <color theme="1"/>
        <rFont val="Calibri"/>
        <family val="2"/>
        <scheme val="minor"/>
      </rPr>
      <t>ClNO</t>
    </r>
    <r>
      <rPr>
        <sz val="11"/>
        <color theme="1"/>
        <rFont val="Calibri"/>
        <family val="2"/>
      </rPr>
      <t>₂</t>
    </r>
  </si>
  <si>
    <t>51218-45-2</t>
  </si>
  <si>
    <t>? (Soluble in most organic solvents)</t>
  </si>
  <si>
    <t>530 mg/L</t>
  </si>
  <si>
    <t>LC50 - Oncorhynchus mykiss (rainbow trout) - 3,9 mg/l - 96 h</t>
  </si>
  <si>
    <t>25,1 mg/l</t>
  </si>
  <si>
    <t>Room temperature, 2 - 8 °C, -20 °C</t>
  </si>
  <si>
    <t>Dofetilide</t>
  </si>
  <si>
    <r>
      <t>C</t>
    </r>
    <r>
      <rPr>
        <sz val="11"/>
        <color theme="1"/>
        <rFont val="Calibri"/>
        <family val="2"/>
      </rPr>
      <t>₁₉</t>
    </r>
    <r>
      <rPr>
        <sz val="11"/>
        <color theme="1"/>
        <rFont val="Calibri"/>
        <family val="2"/>
        <scheme val="minor"/>
      </rPr>
      <t>H</t>
    </r>
    <r>
      <rPr>
        <sz val="11"/>
        <color theme="1"/>
        <rFont val="Calibri"/>
        <family val="2"/>
      </rPr>
      <t>₂₇</t>
    </r>
    <r>
      <rPr>
        <sz val="11"/>
        <color theme="1"/>
        <rFont val="Calibri"/>
        <family val="2"/>
        <scheme val="minor"/>
      </rPr>
      <t>N</t>
    </r>
    <r>
      <rPr>
        <sz val="11"/>
        <color theme="1"/>
        <rFont val="Calibri"/>
        <family val="2"/>
      </rPr>
      <t>₃</t>
    </r>
    <r>
      <rPr>
        <sz val="11"/>
        <color theme="1"/>
        <rFont val="Calibri"/>
        <family val="2"/>
        <scheme val="minor"/>
      </rPr>
      <t>O</t>
    </r>
    <r>
      <rPr>
        <sz val="11"/>
        <color theme="1"/>
        <rFont val="Calibri"/>
        <family val="2"/>
      </rPr>
      <t>₅</t>
    </r>
    <r>
      <rPr>
        <sz val="11"/>
        <color theme="1"/>
        <rFont val="Calibri"/>
        <family val="2"/>
        <scheme val="minor"/>
      </rPr>
      <t>S</t>
    </r>
    <r>
      <rPr>
        <sz val="11"/>
        <color theme="1"/>
        <rFont val="Calibri"/>
        <family val="2"/>
      </rPr>
      <t>₂</t>
    </r>
  </si>
  <si>
    <t>115256-11-6</t>
  </si>
  <si>
    <t>≥ 100 g/L</t>
  </si>
  <si>
    <r>
      <t>"Very slightly soluble" (</t>
    </r>
    <r>
      <rPr>
        <sz val="11"/>
        <color rgb="FFFF0000"/>
        <rFont val="Calibri"/>
        <family val="2"/>
        <scheme val="minor"/>
      </rPr>
      <t>We do not recommend storing the aqueous solution for more than one day</t>
    </r>
    <r>
      <rPr>
        <sz val="11"/>
        <color theme="1"/>
        <rFont val="Calibri"/>
        <family val="2"/>
        <scheme val="minor"/>
      </rPr>
      <t>)</t>
    </r>
  </si>
  <si>
    <t>Cyprinodon variegatus (Sheepshead Minnow) LC50 &gt; 23 mg/L</t>
  </si>
  <si>
    <t>1,7 mg/l</t>
  </si>
  <si>
    <t>2 - 8 °C, -20 °C?</t>
  </si>
  <si>
    <t>8-Hydroxyquinoline</t>
  </si>
  <si>
    <r>
      <t>C</t>
    </r>
    <r>
      <rPr>
        <sz val="12"/>
        <color theme="1"/>
        <rFont val="Calibri"/>
        <family val="2"/>
      </rPr>
      <t>₉</t>
    </r>
    <r>
      <rPr>
        <sz val="12"/>
        <color theme="1"/>
        <rFont val="Calibri"/>
        <family val="2"/>
        <scheme val="minor"/>
      </rPr>
      <t>H</t>
    </r>
    <r>
      <rPr>
        <sz val="12"/>
        <color theme="1"/>
        <rFont val="Calibri"/>
        <family val="2"/>
      </rPr>
      <t>₇</t>
    </r>
    <r>
      <rPr>
        <sz val="12"/>
        <color theme="1"/>
        <rFont val="Calibri"/>
        <family val="2"/>
        <scheme val="minor"/>
      </rPr>
      <t>NO</t>
    </r>
  </si>
  <si>
    <t>148-24-3</t>
  </si>
  <si>
    <t>0,555 g/l</t>
  </si>
  <si>
    <t>Toxic solid, organic, n.o.s.(8-Hydroxyquinoline)</t>
  </si>
  <si>
    <t>LC50 - Fish - 18 mg/l - 96 h</t>
  </si>
  <si>
    <t>2,4 mg/l</t>
  </si>
  <si>
    <t>Room temperature (light sensitive)</t>
  </si>
  <si>
    <t>9-Cyanoanthracene</t>
  </si>
  <si>
    <r>
      <t>C</t>
    </r>
    <r>
      <rPr>
        <sz val="12"/>
        <color theme="1"/>
        <rFont val="Calibri"/>
        <family val="2"/>
      </rPr>
      <t>₁₅</t>
    </r>
    <r>
      <rPr>
        <sz val="12"/>
        <color theme="1"/>
        <rFont val="Calibri"/>
        <family val="2"/>
        <scheme val="minor"/>
      </rPr>
      <t>H</t>
    </r>
    <r>
      <rPr>
        <sz val="12"/>
        <color theme="1"/>
        <rFont val="Calibri"/>
        <family val="2"/>
      </rPr>
      <t>₉</t>
    </r>
    <r>
      <rPr>
        <sz val="12"/>
        <color theme="1"/>
        <rFont val="Calibri"/>
        <family val="2"/>
        <scheme val="minor"/>
      </rPr>
      <t>N</t>
    </r>
  </si>
  <si>
    <t>1210-12-4</t>
  </si>
  <si>
    <t>0.4087 mg/L</t>
  </si>
  <si>
    <t>Iminostilbene</t>
  </si>
  <si>
    <r>
      <t>C</t>
    </r>
    <r>
      <rPr>
        <sz val="12"/>
        <color theme="1"/>
        <rFont val="Calibri"/>
        <family val="2"/>
      </rPr>
      <t>₁₄</t>
    </r>
    <r>
      <rPr>
        <sz val="12"/>
        <color theme="1"/>
        <rFont val="Calibri"/>
        <family val="2"/>
        <scheme val="minor"/>
      </rPr>
      <t>H</t>
    </r>
    <r>
      <rPr>
        <sz val="12"/>
        <color theme="1"/>
        <rFont val="Calibri"/>
        <family val="2"/>
      </rPr>
      <t>₁₁</t>
    </r>
    <r>
      <rPr>
        <sz val="12"/>
        <color theme="1"/>
        <rFont val="Calibri"/>
        <family val="2"/>
        <scheme val="minor"/>
      </rPr>
      <t>N</t>
    </r>
  </si>
  <si>
    <t>256-96-2</t>
  </si>
  <si>
    <t>38 g/L</t>
  </si>
  <si>
    <t>Environmentally hazardous substance, solid, n.o.s.(5H-Dibenz[b,f]azepine)</t>
  </si>
  <si>
    <t>Room temperature, 2 - 8 °C?</t>
  </si>
  <si>
    <t>ACTIVE (if 5H-Dibenz[b,f]azepine, 10,11-dihydro-)</t>
  </si>
  <si>
    <t>Emamectin benzoate</t>
  </si>
  <si>
    <r>
      <t>C</t>
    </r>
    <r>
      <rPr>
        <sz val="11"/>
        <color theme="1"/>
        <rFont val="Calibri"/>
        <family val="2"/>
      </rPr>
      <t>₅₆</t>
    </r>
    <r>
      <rPr>
        <sz val="11"/>
        <color theme="1"/>
        <rFont val="Calibri"/>
        <family val="2"/>
        <scheme val="minor"/>
      </rPr>
      <t>H</t>
    </r>
    <r>
      <rPr>
        <sz val="11"/>
        <color theme="1"/>
        <rFont val="Calibri"/>
        <family val="2"/>
      </rPr>
      <t>₈₁</t>
    </r>
    <r>
      <rPr>
        <sz val="11"/>
        <color theme="1"/>
        <rFont val="Calibri"/>
        <family val="2"/>
        <scheme val="minor"/>
      </rPr>
      <t>NO</t>
    </r>
    <r>
      <rPr>
        <sz val="11"/>
        <color theme="1"/>
        <rFont val="Calibri"/>
        <family val="2"/>
      </rPr>
      <t>₁₅</t>
    </r>
  </si>
  <si>
    <t>155569-91-8</t>
  </si>
  <si>
    <t>24 mg/L</t>
  </si>
  <si>
    <t>Toxic solid, organic, n.o.s.(Emamectin-benzoate)</t>
  </si>
  <si>
    <t>LC50 - Oncorhynchus mykiss (rainbow trout) - 0,17 mg/l - 96,0 h</t>
  </si>
  <si>
    <t>1 µg/L</t>
  </si>
  <si>
    <t>Abamectin</t>
  </si>
  <si>
    <r>
      <t>C</t>
    </r>
    <r>
      <rPr>
        <sz val="11"/>
        <color theme="1"/>
        <rFont val="Calibri"/>
        <family val="2"/>
      </rPr>
      <t>₄₈</t>
    </r>
    <r>
      <rPr>
        <sz val="11"/>
        <color theme="1"/>
        <rFont val="Calibri"/>
        <family val="2"/>
        <scheme val="minor"/>
      </rPr>
      <t>H</t>
    </r>
    <r>
      <rPr>
        <sz val="11"/>
        <color theme="1"/>
        <rFont val="Calibri"/>
        <family val="2"/>
      </rPr>
      <t>₇₂</t>
    </r>
    <r>
      <rPr>
        <sz val="11"/>
        <color theme="1"/>
        <rFont val="Calibri"/>
        <family val="2"/>
        <scheme val="minor"/>
      </rPr>
      <t>O</t>
    </r>
    <r>
      <rPr>
        <sz val="11"/>
        <color theme="1"/>
        <rFont val="Calibri"/>
        <family val="2"/>
      </rPr>
      <t>₁₄</t>
    </r>
    <r>
      <rPr>
        <sz val="11"/>
        <color theme="1"/>
        <rFont val="Calibri"/>
        <family val="2"/>
        <scheme val="minor"/>
      </rPr>
      <t>.C</t>
    </r>
    <r>
      <rPr>
        <sz val="11"/>
        <color theme="1"/>
        <rFont val="Calibri"/>
        <family val="2"/>
      </rPr>
      <t>₄₇</t>
    </r>
    <r>
      <rPr>
        <sz val="11"/>
        <color theme="1"/>
        <rFont val="Calibri"/>
        <family val="2"/>
        <scheme val="minor"/>
      </rPr>
      <t>H</t>
    </r>
    <r>
      <rPr>
        <sz val="11"/>
        <color theme="1"/>
        <rFont val="Calibri"/>
        <family val="2"/>
      </rPr>
      <t>₇₀</t>
    </r>
    <r>
      <rPr>
        <sz val="11"/>
        <color theme="1"/>
        <rFont val="Calibri"/>
        <family val="2"/>
        <scheme val="minor"/>
      </rPr>
      <t>O</t>
    </r>
    <r>
      <rPr>
        <sz val="11"/>
        <color theme="1"/>
        <rFont val="Calibri"/>
        <family val="2"/>
      </rPr>
      <t>₁₄</t>
    </r>
  </si>
  <si>
    <t>71751-41-2</t>
  </si>
  <si>
    <t>3.5 mg/L - 10g/L?</t>
  </si>
  <si>
    <t>Toxic solid, organic, n.o.s.(Abamectin)14.3Transport hazard class(es)</t>
  </si>
  <si>
    <t>LC50 - Oncorhynchus mykiss (rainbow trout) - 0,004 mg/l - 96,0 h</t>
  </si>
  <si>
    <t>&lt; 0,001 mg/l</t>
  </si>
  <si>
    <t>E5</t>
  </si>
  <si>
    <t>Fentin</t>
  </si>
  <si>
    <r>
      <t>C</t>
    </r>
    <r>
      <rPr>
        <sz val="11"/>
        <color theme="1"/>
        <rFont val="Calibri"/>
        <family val="2"/>
      </rPr>
      <t>₁₈</t>
    </r>
    <r>
      <rPr>
        <sz val="11"/>
        <color theme="1"/>
        <rFont val="Calibri"/>
        <family val="2"/>
        <scheme val="minor"/>
      </rPr>
      <t>H</t>
    </r>
    <r>
      <rPr>
        <sz val="11"/>
        <color theme="1"/>
        <rFont val="Calibri"/>
        <family val="2"/>
      </rPr>
      <t>₁₆</t>
    </r>
    <r>
      <rPr>
        <sz val="11"/>
        <color theme="1"/>
        <rFont val="Calibri"/>
        <family val="2"/>
        <scheme val="minor"/>
      </rPr>
      <t>OSn</t>
    </r>
  </si>
  <si>
    <t>76-87-9</t>
  </si>
  <si>
    <t>'Moderately soluble in most organic solvents'?</t>
  </si>
  <si>
    <t>1 mg/l</t>
  </si>
  <si>
    <t>Organotin compound, solid, n.o.s.(Triphenyltin hydroxide)</t>
  </si>
  <si>
    <t>LC50 - Pimephales promelas (fathead minnow) - 0,007 mg/l - 96,0 h</t>
  </si>
  <si>
    <t>EC50 - Daphnia magna (Water flea) - 0,0087 mg/l - 48 h</t>
  </si>
  <si>
    <t>p(1)-p(2)</t>
  </si>
  <si>
    <t>Milbemectin (mix of &gt;70% Milbemycin A4 CAS 51596-11-3; &lt;30% Milbemycin A3 CAS 51596-10-2)</t>
  </si>
  <si>
    <r>
      <t>C</t>
    </r>
    <r>
      <rPr>
        <sz val="11"/>
        <color theme="1"/>
        <rFont val="Calibri"/>
        <family val="2"/>
      </rPr>
      <t>₃₁</t>
    </r>
    <r>
      <rPr>
        <sz val="11"/>
        <color theme="1"/>
        <rFont val="Calibri"/>
        <family val="2"/>
        <scheme val="minor"/>
      </rPr>
      <t>H</t>
    </r>
    <r>
      <rPr>
        <sz val="11"/>
        <color theme="1"/>
        <rFont val="Calibri"/>
        <family val="2"/>
      </rPr>
      <t>₄₄</t>
    </r>
    <r>
      <rPr>
        <sz val="11"/>
        <color theme="1"/>
        <rFont val="Calibri"/>
        <family val="2"/>
        <scheme val="minor"/>
      </rPr>
      <t>O</t>
    </r>
    <r>
      <rPr>
        <sz val="11"/>
        <color theme="1"/>
        <rFont val="Calibri"/>
        <family val="2"/>
      </rPr>
      <t>₇</t>
    </r>
    <r>
      <rPr>
        <sz val="11"/>
        <color theme="1"/>
        <rFont val="Calibri"/>
        <family val="2"/>
        <scheme val="minor"/>
      </rPr>
      <t xml:space="preserve"> (A3)  C</t>
    </r>
    <r>
      <rPr>
        <sz val="11"/>
        <color theme="1"/>
        <rFont val="Calibri"/>
        <family val="2"/>
      </rPr>
      <t>₃₂</t>
    </r>
    <r>
      <rPr>
        <sz val="11"/>
        <color theme="1"/>
        <rFont val="Calibri"/>
        <family val="2"/>
        <scheme val="minor"/>
      </rPr>
      <t>H</t>
    </r>
    <r>
      <rPr>
        <sz val="11"/>
        <color theme="1"/>
        <rFont val="Calibri"/>
        <family val="2"/>
      </rPr>
      <t>₄₆</t>
    </r>
    <r>
      <rPr>
        <sz val="11"/>
        <color theme="1"/>
        <rFont val="Calibri"/>
        <family val="2"/>
        <scheme val="minor"/>
      </rPr>
      <t>O</t>
    </r>
    <r>
      <rPr>
        <sz val="11"/>
        <color theme="1"/>
        <rFont val="Calibri"/>
        <family val="2"/>
      </rPr>
      <t>₇</t>
    </r>
    <r>
      <rPr>
        <sz val="11"/>
        <color theme="1"/>
        <rFont val="Calibri"/>
        <family val="2"/>
        <scheme val="minor"/>
      </rPr>
      <t xml:space="preserve"> (A4)</t>
    </r>
  </si>
  <si>
    <t>NOCAS</t>
  </si>
  <si>
    <t>Milbemectin A3: 7,2 mg /l
Milbemectin A4: 0,88 mg/l</t>
  </si>
  <si>
    <t>96h LC50: 4.4-35 µg/L</t>
  </si>
  <si>
    <t>48h EC50: 11 µg/L</t>
  </si>
  <si>
    <t>Stannane, tributyl(2-methyl-1-oxo-2-propenyl)oxy-</t>
  </si>
  <si>
    <r>
      <t>C</t>
    </r>
    <r>
      <rPr>
        <sz val="11"/>
        <color theme="1"/>
        <rFont val="Calibri"/>
        <family val="2"/>
      </rPr>
      <t>₁₆</t>
    </r>
    <r>
      <rPr>
        <sz val="11"/>
        <color theme="1"/>
        <rFont val="Calibri"/>
        <family val="2"/>
        <scheme val="minor"/>
      </rPr>
      <t>H</t>
    </r>
    <r>
      <rPr>
        <sz val="11"/>
        <color theme="1"/>
        <rFont val="Calibri"/>
        <family val="2"/>
      </rPr>
      <t>₃₂</t>
    </r>
    <r>
      <rPr>
        <sz val="11"/>
        <color theme="1"/>
        <rFont val="Calibri"/>
        <family val="2"/>
        <scheme val="minor"/>
      </rPr>
      <t>O</t>
    </r>
    <r>
      <rPr>
        <sz val="11"/>
        <color theme="1"/>
        <rFont val="Calibri"/>
        <family val="2"/>
      </rPr>
      <t>₂</t>
    </r>
    <r>
      <rPr>
        <sz val="11"/>
        <color theme="1"/>
        <rFont val="Calibri"/>
        <family val="2"/>
        <scheme val="minor"/>
      </rPr>
      <t>Sn</t>
    </r>
  </si>
  <si>
    <t>2155-70-6</t>
  </si>
  <si>
    <t xml:space="preserve">0.274 mg/L </t>
  </si>
  <si>
    <t>LC50 0,41 mg/L (zebrafish, 120h)</t>
  </si>
  <si>
    <t>&lt; 5 ºC</t>
  </si>
  <si>
    <t>Pyridaben</t>
  </si>
  <si>
    <r>
      <t>C</t>
    </r>
    <r>
      <rPr>
        <sz val="11"/>
        <color theme="1"/>
        <rFont val="Calibri"/>
        <family val="2"/>
      </rPr>
      <t>₁₉</t>
    </r>
    <r>
      <rPr>
        <sz val="11"/>
        <color theme="1"/>
        <rFont val="Calibri"/>
        <family val="2"/>
        <scheme val="minor"/>
      </rPr>
      <t>H</t>
    </r>
    <r>
      <rPr>
        <sz val="11"/>
        <color theme="1"/>
        <rFont val="Calibri"/>
        <family val="2"/>
      </rPr>
      <t>₂₅</t>
    </r>
    <r>
      <rPr>
        <sz val="11"/>
        <color theme="1"/>
        <rFont val="Calibri"/>
        <family val="2"/>
        <scheme val="minor"/>
      </rPr>
      <t>ClN</t>
    </r>
    <r>
      <rPr>
        <sz val="11"/>
        <color theme="1"/>
        <rFont val="Calibri"/>
        <family val="2"/>
      </rPr>
      <t>₂</t>
    </r>
    <r>
      <rPr>
        <sz val="11"/>
        <color theme="1"/>
        <rFont val="Calibri"/>
        <family val="2"/>
        <scheme val="minor"/>
      </rPr>
      <t>OS</t>
    </r>
  </si>
  <si>
    <t>96489-71-3</t>
  </si>
  <si>
    <t>50 mg/mL</t>
  </si>
  <si>
    <t>0,022 mg/l</t>
  </si>
  <si>
    <t>LC50 - Oncorhynchus mykiss (rainbow trout) - 0,72 µg/l - 96,0 h</t>
  </si>
  <si>
    <t>EC50 - Daphnia magna (Water flea) - 0,53 µg/l - 48 h</t>
  </si>
  <si>
    <t>Hexamethyl-p-rosaniline chloride</t>
  </si>
  <si>
    <r>
      <t>C</t>
    </r>
    <r>
      <rPr>
        <sz val="11"/>
        <color theme="4"/>
        <rFont val="Calibri"/>
        <family val="2"/>
      </rPr>
      <t>₂₅</t>
    </r>
    <r>
      <rPr>
        <sz val="11"/>
        <color theme="4"/>
        <rFont val="Calibri"/>
        <family val="2"/>
        <scheme val="minor"/>
      </rPr>
      <t>H</t>
    </r>
    <r>
      <rPr>
        <sz val="11"/>
        <color theme="4"/>
        <rFont val="Calibri"/>
        <family val="2"/>
      </rPr>
      <t>₃₀</t>
    </r>
    <r>
      <rPr>
        <sz val="11"/>
        <color theme="4"/>
        <rFont val="Calibri"/>
        <family val="2"/>
        <scheme val="minor"/>
      </rPr>
      <t>ClN</t>
    </r>
    <r>
      <rPr>
        <sz val="11"/>
        <color theme="4"/>
        <rFont val="Calibri"/>
        <family val="2"/>
      </rPr>
      <t>₃</t>
    </r>
  </si>
  <si>
    <t>548-62-9</t>
  </si>
  <si>
    <t>≥ 100 mg/mL</t>
  </si>
  <si>
    <t>10 g/l  - completely soluble</t>
  </si>
  <si>
    <t>static test LC50 - Pimephales promelas (fathead minnow) - 0,082 mg/l - 96 h Remarks: (ECHA)</t>
  </si>
  <si>
    <t>static test EC50 - Daphnia magna (Water flea) - &gt; 0,24 - &lt; 0,5 mg/l
- 48 h
(OECD Test Guideline 202)</t>
  </si>
  <si>
    <t>Isazophos</t>
  </si>
  <si>
    <r>
      <t>C</t>
    </r>
    <r>
      <rPr>
        <sz val="11"/>
        <color theme="1"/>
        <rFont val="Calibri"/>
        <family val="2"/>
      </rPr>
      <t>₉</t>
    </r>
    <r>
      <rPr>
        <sz val="11"/>
        <color theme="1"/>
        <rFont val="Calibri"/>
        <family val="2"/>
        <scheme val="minor"/>
      </rPr>
      <t>H</t>
    </r>
    <r>
      <rPr>
        <sz val="11"/>
        <color theme="1"/>
        <rFont val="Calibri"/>
        <family val="2"/>
      </rPr>
      <t>₁₇</t>
    </r>
    <r>
      <rPr>
        <sz val="11"/>
        <color theme="1"/>
        <rFont val="Calibri"/>
        <family val="2"/>
        <scheme val="minor"/>
      </rPr>
      <t>ClN</t>
    </r>
    <r>
      <rPr>
        <sz val="11"/>
        <color theme="1"/>
        <rFont val="Calibri"/>
        <family val="2"/>
      </rPr>
      <t>₃</t>
    </r>
    <r>
      <rPr>
        <sz val="11"/>
        <color theme="1"/>
        <rFont val="Calibri"/>
        <family val="2"/>
        <scheme val="minor"/>
      </rPr>
      <t>O</t>
    </r>
    <r>
      <rPr>
        <sz val="11"/>
        <color theme="1"/>
        <rFont val="Calibri"/>
        <family val="2"/>
      </rPr>
      <t>₃</t>
    </r>
    <r>
      <rPr>
        <sz val="11"/>
        <color theme="1"/>
        <rFont val="Calibri"/>
        <family val="2"/>
        <scheme val="minor"/>
      </rPr>
      <t>PS</t>
    </r>
  </si>
  <si>
    <t>42509-80-8</t>
  </si>
  <si>
    <t>'Soluble'</t>
  </si>
  <si>
    <t>69 mg/l</t>
  </si>
  <si>
    <t>LC50/96 h - 0.006 mg/l (fish)</t>
  </si>
  <si>
    <t>EC50/48 h - 0.5 mg/l (daphnia)</t>
  </si>
  <si>
    <t>Quinoxyfen</t>
  </si>
  <si>
    <r>
      <t>C</t>
    </r>
    <r>
      <rPr>
        <sz val="11"/>
        <color theme="1"/>
        <rFont val="Calibri"/>
        <family val="2"/>
      </rPr>
      <t>₁₅</t>
    </r>
    <r>
      <rPr>
        <sz val="11"/>
        <color theme="1"/>
        <rFont val="Calibri"/>
        <family val="2"/>
        <scheme val="minor"/>
      </rPr>
      <t>H</t>
    </r>
    <r>
      <rPr>
        <sz val="11"/>
        <color theme="1"/>
        <rFont val="Calibri"/>
        <family val="2"/>
      </rPr>
      <t>₈</t>
    </r>
    <r>
      <rPr>
        <sz val="11"/>
        <color theme="1"/>
        <rFont val="Calibri"/>
        <family val="2"/>
        <scheme val="minor"/>
      </rPr>
      <t>Cl</t>
    </r>
    <r>
      <rPr>
        <sz val="11"/>
        <color theme="1"/>
        <rFont val="Calibri"/>
        <family val="2"/>
      </rPr>
      <t>₂</t>
    </r>
    <r>
      <rPr>
        <sz val="11"/>
        <color theme="1"/>
        <rFont val="Calibri"/>
        <family val="2"/>
        <scheme val="minor"/>
      </rPr>
      <t>FNO</t>
    </r>
  </si>
  <si>
    <t>124495-18-7</t>
  </si>
  <si>
    <t>Soluble</t>
  </si>
  <si>
    <t>0,047 mg/l</t>
  </si>
  <si>
    <t>96 -hour LC50 (Rainbow trout): 0.27 mg./L
96 -hour LC50 (Common carp): 0.42 mg/L</t>
  </si>
  <si>
    <t>48-hour EC50 (Daphnia magna): 0.08 mg/L;</t>
  </si>
  <si>
    <t>Tebufenpyrad</t>
  </si>
  <si>
    <r>
      <t>C</t>
    </r>
    <r>
      <rPr>
        <sz val="11"/>
        <color theme="1"/>
        <rFont val="Calibri"/>
        <family val="2"/>
      </rPr>
      <t>₁₈</t>
    </r>
    <r>
      <rPr>
        <sz val="11"/>
        <color theme="1"/>
        <rFont val="Calibri"/>
        <family val="2"/>
        <scheme val="minor"/>
      </rPr>
      <t>H</t>
    </r>
    <r>
      <rPr>
        <sz val="11"/>
        <color theme="1"/>
        <rFont val="Calibri"/>
        <family val="2"/>
      </rPr>
      <t>₂₄</t>
    </r>
    <r>
      <rPr>
        <sz val="11"/>
        <color theme="1"/>
        <rFont val="Calibri"/>
        <family val="2"/>
        <scheme val="minor"/>
      </rPr>
      <t>ClN</t>
    </r>
    <r>
      <rPr>
        <sz val="11"/>
        <color theme="1"/>
        <rFont val="Calibri"/>
        <family val="2"/>
      </rPr>
      <t>₃</t>
    </r>
    <r>
      <rPr>
        <sz val="11"/>
        <color theme="1"/>
        <rFont val="Calibri"/>
        <family val="2"/>
        <scheme val="minor"/>
      </rPr>
      <t>O</t>
    </r>
  </si>
  <si>
    <t>119168-77-3</t>
  </si>
  <si>
    <t>from 'slightly soluble' to 'soluble'</t>
  </si>
  <si>
    <t>2,39 mg/l</t>
  </si>
  <si>
    <t>96 -hour LC50 (Rainbow trout): 0.023 mg./L</t>
  </si>
  <si>
    <t>EC50 - Daphnia magna (Water flea) - 0,046 mg/l - 48 h</t>
  </si>
  <si>
    <t>(Z,E)-Fenpyroximate</t>
  </si>
  <si>
    <r>
      <t>C</t>
    </r>
    <r>
      <rPr>
        <sz val="11"/>
        <color theme="1"/>
        <rFont val="Calibri"/>
        <family val="2"/>
      </rPr>
      <t>₂₄</t>
    </r>
    <r>
      <rPr>
        <sz val="11"/>
        <color theme="1"/>
        <rFont val="Calibri"/>
        <family val="2"/>
        <scheme val="minor"/>
      </rPr>
      <t>H</t>
    </r>
    <r>
      <rPr>
        <sz val="11"/>
        <color theme="1"/>
        <rFont val="Calibri"/>
        <family val="2"/>
      </rPr>
      <t>₂₇</t>
    </r>
    <r>
      <rPr>
        <sz val="11"/>
        <color theme="1"/>
        <rFont val="Calibri"/>
        <family val="2"/>
        <scheme val="minor"/>
      </rPr>
      <t>N</t>
    </r>
    <r>
      <rPr>
        <sz val="11"/>
        <color theme="1"/>
        <rFont val="Calibri"/>
        <family val="2"/>
      </rPr>
      <t>₃</t>
    </r>
    <r>
      <rPr>
        <sz val="11"/>
        <color theme="1"/>
        <rFont val="Calibri"/>
        <family val="2"/>
        <scheme val="minor"/>
      </rPr>
      <t>O</t>
    </r>
    <r>
      <rPr>
        <sz val="11"/>
        <color theme="1"/>
        <rFont val="Calibri"/>
        <family val="2"/>
      </rPr>
      <t>₄</t>
    </r>
  </si>
  <si>
    <t>111812-58-9</t>
  </si>
  <si>
    <t>100 mg/mL</t>
  </si>
  <si>
    <t>LC50 - Oncorhynchus mykiss (rainbow trout) - 0.08 mg/l - 96.0 h</t>
  </si>
  <si>
    <t>EC50 - Daphnia - 0.2 mg/l - 24 h</t>
  </si>
  <si>
    <t>Benzo[b]fluoranthene</t>
  </si>
  <si>
    <t>205-99-2</t>
  </si>
  <si>
    <t>1.2 μg/L</t>
  </si>
  <si>
    <t>Environmentally hazardous substance, solid, n.o.s</t>
  </si>
  <si>
    <t>No toxicity has been observed up to the water solubility limit of the substance?
0,0422 mg/L predicted based on baseline toxicity 96h, zebrafish</t>
  </si>
  <si>
    <t>Immobilization EC50 - Daphnia magna (Water flea) - &gt; 1,024 mg/l -
24 h</t>
  </si>
  <si>
    <t>O-Ethyl O-(p-nitrophenyl) phenylphosphonothioate</t>
  </si>
  <si>
    <r>
      <t>C</t>
    </r>
    <r>
      <rPr>
        <sz val="11"/>
        <color theme="1"/>
        <rFont val="Calibri"/>
        <family val="2"/>
      </rPr>
      <t>₁₄</t>
    </r>
    <r>
      <rPr>
        <sz val="11"/>
        <color theme="1"/>
        <rFont val="Calibri"/>
        <family val="2"/>
        <scheme val="minor"/>
      </rPr>
      <t>H</t>
    </r>
    <r>
      <rPr>
        <sz val="11"/>
        <color theme="1"/>
        <rFont val="Calibri"/>
        <family val="2"/>
      </rPr>
      <t>₁₄</t>
    </r>
    <r>
      <rPr>
        <sz val="11"/>
        <color theme="1"/>
        <rFont val="Calibri"/>
        <family val="2"/>
        <scheme val="minor"/>
      </rPr>
      <t>NO</t>
    </r>
    <r>
      <rPr>
        <sz val="11"/>
        <color theme="1"/>
        <rFont val="Calibri"/>
        <family val="2"/>
      </rPr>
      <t>₄</t>
    </r>
    <r>
      <rPr>
        <sz val="11"/>
        <color theme="1"/>
        <rFont val="Calibri"/>
        <family val="2"/>
        <scheme val="minor"/>
      </rPr>
      <t>PS</t>
    </r>
  </si>
  <si>
    <t>2104-64-5</t>
  </si>
  <si>
    <t>''Slightly Soluble''</t>
  </si>
  <si>
    <t>6,6 mg/l</t>
  </si>
  <si>
    <t>LC50 - Lepomis macrochirus (Bluegill) - 0,11 mg/l - 96,0 h</t>
  </si>
  <si>
    <t>EC50 - Daphnia magna (Water flea) - 0,06 µg/l - 26 h</t>
  </si>
  <si>
    <t>Coumaphos</t>
  </si>
  <si>
    <r>
      <t>C</t>
    </r>
    <r>
      <rPr>
        <sz val="11"/>
        <color theme="1"/>
        <rFont val="Calibri"/>
        <family val="2"/>
      </rPr>
      <t>₁₄</t>
    </r>
    <r>
      <rPr>
        <sz val="11"/>
        <color theme="1"/>
        <rFont val="Calibri"/>
        <family val="2"/>
        <scheme val="minor"/>
      </rPr>
      <t>H</t>
    </r>
    <r>
      <rPr>
        <sz val="11"/>
        <color theme="1"/>
        <rFont val="Calibri"/>
        <family val="2"/>
      </rPr>
      <t>₁₆</t>
    </r>
    <r>
      <rPr>
        <sz val="11"/>
        <color theme="1"/>
        <rFont val="Calibri"/>
        <family val="2"/>
        <scheme val="minor"/>
      </rPr>
      <t>ClO</t>
    </r>
    <r>
      <rPr>
        <sz val="11"/>
        <color theme="1"/>
        <rFont val="Calibri"/>
        <family val="2"/>
      </rPr>
      <t>₅</t>
    </r>
    <r>
      <rPr>
        <sz val="11"/>
        <color theme="1"/>
        <rFont val="Calibri"/>
        <family val="2"/>
        <scheme val="minor"/>
      </rPr>
      <t>PS</t>
    </r>
  </si>
  <si>
    <t>56-72-4</t>
  </si>
  <si>
    <t>LC50 - Lepomis macrochirus (Bluegill) - 0,18 mg/l - 96,0 h</t>
  </si>
  <si>
    <t>EC50 - Daphnia magna (Water flea) - &lt; 0,001 mg/l - 48 h</t>
  </si>
  <si>
    <t>Methylene bis(thiocyanate)</t>
  </si>
  <si>
    <r>
      <t>C</t>
    </r>
    <r>
      <rPr>
        <sz val="11"/>
        <color theme="1"/>
        <rFont val="Calibri"/>
        <family val="2"/>
      </rPr>
      <t>₃</t>
    </r>
    <r>
      <rPr>
        <sz val="11"/>
        <color theme="1"/>
        <rFont val="Calibri"/>
        <family val="2"/>
        <scheme val="minor"/>
      </rPr>
      <t>H</t>
    </r>
    <r>
      <rPr>
        <sz val="11"/>
        <color theme="1"/>
        <rFont val="Calibri"/>
        <family val="2"/>
      </rPr>
      <t>₂</t>
    </r>
    <r>
      <rPr>
        <sz val="11"/>
        <color theme="1"/>
        <rFont val="Calibri"/>
        <family val="2"/>
        <scheme val="minor"/>
      </rPr>
      <t>N</t>
    </r>
    <r>
      <rPr>
        <sz val="11"/>
        <color theme="1"/>
        <rFont val="Calibri"/>
        <family val="2"/>
      </rPr>
      <t>₂</t>
    </r>
    <r>
      <rPr>
        <sz val="11"/>
        <color theme="1"/>
        <rFont val="Calibri"/>
        <family val="2"/>
        <scheme val="minor"/>
      </rPr>
      <t>S</t>
    </r>
    <r>
      <rPr>
        <sz val="11"/>
        <color theme="1"/>
        <rFont val="Calibri"/>
        <family val="2"/>
      </rPr>
      <t>₂</t>
    </r>
  </si>
  <si>
    <t>6317-18-6</t>
  </si>
  <si>
    <t>&gt; 100 g/l</t>
  </si>
  <si>
    <t>5 mg/l</t>
  </si>
  <si>
    <t>0,67 - 1,51 mg/L zebrafish 120h
0,24 mg/L rainbow trout 96h</t>
  </si>
  <si>
    <t>EC50 (Daphnia magna (Water flea)): 0.07 mg/l
Exposure time: 48 h</t>
  </si>
  <si>
    <t>Molinate</t>
  </si>
  <si>
    <r>
      <t>C</t>
    </r>
    <r>
      <rPr>
        <sz val="11"/>
        <color theme="1"/>
        <rFont val="Calibri"/>
        <family val="2"/>
      </rPr>
      <t>₉</t>
    </r>
    <r>
      <rPr>
        <sz val="11"/>
        <color theme="1"/>
        <rFont val="Calibri"/>
        <family val="2"/>
        <scheme val="minor"/>
      </rPr>
      <t>H</t>
    </r>
    <r>
      <rPr>
        <sz val="11"/>
        <color theme="1"/>
        <rFont val="Calibri"/>
        <family val="2"/>
      </rPr>
      <t>₁₇</t>
    </r>
    <r>
      <rPr>
        <sz val="11"/>
        <color theme="1"/>
        <rFont val="Calibri"/>
        <family val="2"/>
        <scheme val="minor"/>
      </rPr>
      <t>NOS</t>
    </r>
  </si>
  <si>
    <t>2212-67-1</t>
  </si>
  <si>
    <t>'Miscible with most common organic solvents'?</t>
  </si>
  <si>
    <t>1100 mg/l</t>
  </si>
  <si>
    <t>LC50 - Cyprinodon variegatus (sheepshead minnow) - 12 - 17 mg/l - 96,0 h</t>
  </si>
  <si>
    <t>EC50 - Daphnia magna (Water flea) - 3,2 - 32,0 mg/l - 48 h</t>
  </si>
  <si>
    <t>N-Lauryl-2-pyrrolidone</t>
  </si>
  <si>
    <r>
      <t>C</t>
    </r>
    <r>
      <rPr>
        <sz val="11"/>
        <color theme="1"/>
        <rFont val="Calibri"/>
        <family val="2"/>
      </rPr>
      <t>₁₆</t>
    </r>
    <r>
      <rPr>
        <sz val="11"/>
        <color theme="1"/>
        <rFont val="Calibri"/>
        <family val="2"/>
        <scheme val="minor"/>
      </rPr>
      <t>H</t>
    </r>
    <r>
      <rPr>
        <sz val="11"/>
        <color theme="1"/>
        <rFont val="Calibri"/>
        <family val="2"/>
      </rPr>
      <t>₃₁</t>
    </r>
    <r>
      <rPr>
        <sz val="11"/>
        <color theme="1"/>
        <rFont val="Calibri"/>
        <family val="2"/>
        <scheme val="minor"/>
      </rPr>
      <t>NO</t>
    </r>
  </si>
  <si>
    <t>2687-96-9</t>
  </si>
  <si>
    <t>'soluble with organic solvents'?</t>
  </si>
  <si>
    <t>0.052 g/L</t>
  </si>
  <si>
    <t>LC50 (Oncorhynchus mykiss (rainbow trout)): 0.59 mg/l
Exposure time: 96 h</t>
  </si>
  <si>
    <t>EC50 (Daphnia magna (Water flea)): 0.27 mg/l
Exposure time: 48 h</t>
  </si>
  <si>
    <t>Phenylmercuric acetate</t>
  </si>
  <si>
    <r>
      <t>C</t>
    </r>
    <r>
      <rPr>
        <sz val="11"/>
        <color theme="1"/>
        <rFont val="Calibri"/>
        <family val="2"/>
      </rPr>
      <t>₈</t>
    </r>
    <r>
      <rPr>
        <sz val="11"/>
        <color theme="1"/>
        <rFont val="Calibri"/>
        <family val="2"/>
        <scheme val="minor"/>
      </rPr>
      <t>H</t>
    </r>
    <r>
      <rPr>
        <sz val="11"/>
        <color theme="1"/>
        <rFont val="Calibri"/>
        <family val="2"/>
      </rPr>
      <t>₈</t>
    </r>
    <r>
      <rPr>
        <sz val="11"/>
        <color theme="1"/>
        <rFont val="Calibri"/>
        <family val="2"/>
        <scheme val="minor"/>
      </rPr>
      <t>HgO</t>
    </r>
    <r>
      <rPr>
        <sz val="11"/>
        <color theme="1"/>
        <rFont val="Calibri"/>
        <family val="2"/>
      </rPr>
      <t>₂</t>
    </r>
  </si>
  <si>
    <t>62-38-4</t>
  </si>
  <si>
    <t>4370 mg/l</t>
  </si>
  <si>
    <t>LC50 - Oncorhynchus mykiss (rainbow trout) - 0,0090 mg/l - 96,0 h</t>
  </si>
  <si>
    <t>LC50 - Daphnia pulex (Water flea) - 0,005 mg/l - 3 h</t>
  </si>
  <si>
    <t>Room temperature; Light sensitive</t>
  </si>
  <si>
    <t>4-Dodecylbenzenesulfonic acid</t>
  </si>
  <si>
    <r>
      <t>C</t>
    </r>
    <r>
      <rPr>
        <sz val="11"/>
        <color theme="1"/>
        <rFont val="Calibri"/>
        <family val="2"/>
      </rPr>
      <t>₁₈</t>
    </r>
    <r>
      <rPr>
        <sz val="11"/>
        <color theme="1"/>
        <rFont val="Calibri"/>
        <family val="2"/>
        <scheme val="minor"/>
      </rPr>
      <t>H</t>
    </r>
    <r>
      <rPr>
        <sz val="11"/>
        <color theme="1"/>
        <rFont val="Calibri"/>
        <family val="2"/>
      </rPr>
      <t>₃₀</t>
    </r>
    <r>
      <rPr>
        <sz val="11"/>
        <color theme="1"/>
        <rFont val="Calibri"/>
        <family val="2"/>
        <scheme val="minor"/>
      </rPr>
      <t>O</t>
    </r>
    <r>
      <rPr>
        <sz val="11"/>
        <color theme="1"/>
        <rFont val="Calibri"/>
        <family val="2"/>
      </rPr>
      <t>₃</t>
    </r>
    <r>
      <rPr>
        <sz val="11"/>
        <color theme="1"/>
        <rFont val="Calibri"/>
        <family val="2"/>
        <scheme val="minor"/>
      </rPr>
      <t>S</t>
    </r>
  </si>
  <si>
    <t>27176-87-0</t>
  </si>
  <si>
    <t>0,00027 g/l</t>
  </si>
  <si>
    <t>10.8 mg/L LC50 Oncorhynchus mykiss 96 h static 1 3.5 - 10 mg/L LC50
Brachydanio rerio 96 h static 1</t>
  </si>
  <si>
    <t>5.88 mg/L EC50 Daphnia magna 48 h</t>
  </si>
  <si>
    <t>Room temperature
Hygroscopic. Protect from moisture</t>
  </si>
  <si>
    <t>Octrizole</t>
  </si>
  <si>
    <r>
      <t>C</t>
    </r>
    <r>
      <rPr>
        <sz val="11"/>
        <color theme="1"/>
        <rFont val="Calibri"/>
        <family val="2"/>
      </rPr>
      <t>₂₀</t>
    </r>
    <r>
      <rPr>
        <sz val="11"/>
        <color theme="1"/>
        <rFont val="Calibri"/>
        <family val="2"/>
        <scheme val="minor"/>
      </rPr>
      <t>H</t>
    </r>
    <r>
      <rPr>
        <sz val="11"/>
        <color theme="1"/>
        <rFont val="Calibri"/>
        <family val="2"/>
      </rPr>
      <t>₂₅</t>
    </r>
    <r>
      <rPr>
        <sz val="11"/>
        <color theme="1"/>
        <rFont val="Calibri"/>
        <family val="2"/>
        <scheme val="minor"/>
      </rPr>
      <t>N</t>
    </r>
    <r>
      <rPr>
        <sz val="11"/>
        <color theme="1"/>
        <rFont val="Calibri"/>
        <family val="2"/>
      </rPr>
      <t>₃</t>
    </r>
    <r>
      <rPr>
        <sz val="11"/>
        <color theme="1"/>
        <rFont val="Calibri"/>
        <family val="2"/>
        <scheme val="minor"/>
      </rPr>
      <t>O</t>
    </r>
  </si>
  <si>
    <t>3147-75-9</t>
  </si>
  <si>
    <t>0,1678 mg/l</t>
  </si>
  <si>
    <t>0,044 mg/L based on baseline toxicity 96h zebrafish
&gt; 100 mg/L zebrafish 96h</t>
  </si>
  <si>
    <t>&gt; 100 mg/L daphnia magna 48h</t>
  </si>
  <si>
    <t>Heptadecafluorooctanesulfonic acid potassium salt</t>
  </si>
  <si>
    <r>
      <t>C</t>
    </r>
    <r>
      <rPr>
        <sz val="11"/>
        <color theme="1"/>
        <rFont val="Calibri"/>
        <family val="2"/>
      </rPr>
      <t>₈</t>
    </r>
    <r>
      <rPr>
        <sz val="11"/>
        <color theme="1"/>
        <rFont val="Calibri"/>
        <family val="2"/>
        <scheme val="minor"/>
      </rPr>
      <t>F</t>
    </r>
    <r>
      <rPr>
        <sz val="11"/>
        <color theme="1"/>
        <rFont val="Calibri"/>
        <family val="2"/>
      </rPr>
      <t>₁₇</t>
    </r>
    <r>
      <rPr>
        <sz val="11"/>
        <color theme="1"/>
        <rFont val="Calibri"/>
        <family val="2"/>
        <scheme val="minor"/>
      </rPr>
      <t>KO</t>
    </r>
    <r>
      <rPr>
        <sz val="11"/>
        <color theme="1"/>
        <rFont val="Calibri"/>
        <family val="2"/>
      </rPr>
      <t>₃</t>
    </r>
    <r>
      <rPr>
        <sz val="11"/>
        <color theme="1"/>
        <rFont val="Calibri"/>
        <family val="2"/>
        <scheme val="minor"/>
      </rPr>
      <t>S</t>
    </r>
  </si>
  <si>
    <t>2795-39-3</t>
  </si>
  <si>
    <t>519 mg/L</t>
  </si>
  <si>
    <t>LC50 - Pimephales promelas (fathead minnow) - 8 - 11 mg/l - 96,0 h</t>
  </si>
  <si>
    <t>EC50 - Daphnia magna (Water flea) - 33 - 91 mg/l - 48 h</t>
  </si>
  <si>
    <t>Octhilinone</t>
  </si>
  <si>
    <r>
      <t>C</t>
    </r>
    <r>
      <rPr>
        <sz val="11"/>
        <color theme="1"/>
        <rFont val="Calibri"/>
        <family val="2"/>
      </rPr>
      <t>₁₁</t>
    </r>
    <r>
      <rPr>
        <sz val="11"/>
        <color theme="1"/>
        <rFont val="Calibri"/>
        <family val="2"/>
        <scheme val="minor"/>
      </rPr>
      <t>H</t>
    </r>
    <r>
      <rPr>
        <sz val="11"/>
        <color theme="1"/>
        <rFont val="Calibri"/>
        <family val="2"/>
      </rPr>
      <t>₁₉</t>
    </r>
    <r>
      <rPr>
        <sz val="11"/>
        <color theme="1"/>
        <rFont val="Calibri"/>
        <family val="2"/>
        <scheme val="minor"/>
      </rPr>
      <t>NOS</t>
    </r>
  </si>
  <si>
    <t>26530-20-1</t>
  </si>
  <si>
    <t>500 mg/l</t>
  </si>
  <si>
    <t>LC50 - Pimephales promelas (fathead minnow) - 0,14 mg/l - 96,0 h</t>
  </si>
  <si>
    <t>EC50 - Daphnia magna (Water flea) - 0,18 mg/l - 48 h</t>
  </si>
  <si>
    <t>6-chloro-3-[(4-chlorothiophen-2-yl)carbonyl]-5-fluoro-2-oxo-2,3-dihydro-1H-indole-1-carboxamide</t>
  </si>
  <si>
    <t>135080-03-4</t>
  </si>
  <si>
    <t>3,4,4'-Trichlorocarbanilide</t>
  </si>
  <si>
    <r>
      <t>C</t>
    </r>
    <r>
      <rPr>
        <sz val="11"/>
        <color theme="1"/>
        <rFont val="Calibri"/>
        <family val="2"/>
      </rPr>
      <t>₁₃</t>
    </r>
    <r>
      <rPr>
        <sz val="11"/>
        <color theme="1"/>
        <rFont val="Calibri"/>
        <family val="2"/>
        <scheme val="minor"/>
      </rPr>
      <t>H</t>
    </r>
    <r>
      <rPr>
        <sz val="11"/>
        <color theme="1"/>
        <rFont val="Calibri"/>
        <family val="2"/>
      </rPr>
      <t>₉</t>
    </r>
    <r>
      <rPr>
        <sz val="11"/>
        <color theme="1"/>
        <rFont val="Calibri"/>
        <family val="2"/>
        <scheme val="minor"/>
      </rPr>
      <t>Cl</t>
    </r>
    <r>
      <rPr>
        <sz val="11"/>
        <color theme="1"/>
        <rFont val="Calibri"/>
        <family val="2"/>
      </rPr>
      <t>₃</t>
    </r>
    <r>
      <rPr>
        <sz val="11"/>
        <color theme="1"/>
        <rFont val="Calibri"/>
        <family val="2"/>
        <scheme val="minor"/>
      </rPr>
      <t>N</t>
    </r>
    <r>
      <rPr>
        <sz val="11"/>
        <color theme="1"/>
        <rFont val="Calibri"/>
        <family val="2"/>
      </rPr>
      <t>₂</t>
    </r>
    <r>
      <rPr>
        <sz val="11"/>
        <color theme="1"/>
        <rFont val="Calibri"/>
        <family val="2"/>
        <scheme val="minor"/>
      </rPr>
      <t>O</t>
    </r>
  </si>
  <si>
    <t>101-20-2</t>
  </si>
  <si>
    <t>'Slightly Soluble''</t>
  </si>
  <si>
    <t>&lt;1 g/L</t>
  </si>
  <si>
    <t>0.085 mg/L (fish, 96h)</t>
  </si>
  <si>
    <t>0.005 mg/L daphnia magna, 48 or 72h?</t>
  </si>
  <si>
    <t>Fenamiphos</t>
  </si>
  <si>
    <r>
      <t>C</t>
    </r>
    <r>
      <rPr>
        <sz val="11"/>
        <color theme="1"/>
        <rFont val="Calibri"/>
        <family val="2"/>
      </rPr>
      <t>₁₃</t>
    </r>
    <r>
      <rPr>
        <sz val="11"/>
        <color theme="1"/>
        <rFont val="Calibri"/>
        <family val="2"/>
        <scheme val="minor"/>
      </rPr>
      <t>H</t>
    </r>
    <r>
      <rPr>
        <sz val="11"/>
        <color theme="1"/>
        <rFont val="Calibri"/>
        <family val="2"/>
      </rPr>
      <t>₂₂</t>
    </r>
    <r>
      <rPr>
        <sz val="11"/>
        <color theme="1"/>
        <rFont val="Calibri"/>
        <family val="2"/>
        <scheme val="minor"/>
      </rPr>
      <t>NO</t>
    </r>
    <r>
      <rPr>
        <sz val="11"/>
        <color theme="1"/>
        <rFont val="Calibri"/>
        <family val="2"/>
      </rPr>
      <t>₃</t>
    </r>
    <r>
      <rPr>
        <sz val="11"/>
        <color theme="1"/>
        <rFont val="Calibri"/>
        <family val="2"/>
        <scheme val="minor"/>
      </rPr>
      <t>PS</t>
    </r>
  </si>
  <si>
    <t>22224-92-6</t>
  </si>
  <si>
    <t>0,3 g/l</t>
  </si>
  <si>
    <t>LC50 - Cyprinodon variegatus (sheepshead minnow) - 0,02 mg/l - 96,0 h
LC50 - Oncorhynchus mykiss (rainbow trout) - 0,07 - 0,6 mg/l - 96,0 h</t>
  </si>
  <si>
    <t>EC50 - Daphnia magna (Water flea) - 0,002 mg/l - 48 h</t>
  </si>
  <si>
    <t xml:space="preserve"> 2 - 8 °C</t>
  </si>
  <si>
    <t>Pyriproxyfen</t>
  </si>
  <si>
    <r>
      <t>C</t>
    </r>
    <r>
      <rPr>
        <sz val="11"/>
        <color theme="1"/>
        <rFont val="Calibri"/>
        <family val="2"/>
      </rPr>
      <t>₂₀</t>
    </r>
    <r>
      <rPr>
        <sz val="11"/>
        <color theme="1"/>
        <rFont val="Calibri"/>
        <family val="2"/>
        <scheme val="minor"/>
      </rPr>
      <t>H</t>
    </r>
    <r>
      <rPr>
        <sz val="11"/>
        <color theme="1"/>
        <rFont val="Calibri"/>
        <family val="2"/>
      </rPr>
      <t>₁₉</t>
    </r>
    <r>
      <rPr>
        <sz val="11"/>
        <color theme="1"/>
        <rFont val="Calibri"/>
        <family val="2"/>
        <scheme val="minor"/>
      </rPr>
      <t>NO</t>
    </r>
    <r>
      <rPr>
        <sz val="11"/>
        <color theme="1"/>
        <rFont val="Calibri"/>
        <family val="2"/>
      </rPr>
      <t>₃</t>
    </r>
  </si>
  <si>
    <t>95737-68-1</t>
  </si>
  <si>
    <t>64 mg/mL</t>
  </si>
  <si>
    <t>0,37 mg/l</t>
  </si>
  <si>
    <t>LC50 - Oncorhynchus mykiss (rainbow trout) - 0,45 mg/l - 96,0 h</t>
  </si>
  <si>
    <t>EC50 - Daphnia magna (Water flea) - 0,4 mg/l - 48 h</t>
  </si>
  <si>
    <t>Oxyfluorfen</t>
  </si>
  <si>
    <r>
      <t>C</t>
    </r>
    <r>
      <rPr>
        <sz val="11"/>
        <color theme="1"/>
        <rFont val="Calibri"/>
        <family val="2"/>
      </rPr>
      <t>₁₅</t>
    </r>
    <r>
      <rPr>
        <sz val="11"/>
        <color theme="1"/>
        <rFont val="Calibri"/>
        <family val="2"/>
        <scheme val="minor"/>
      </rPr>
      <t>H</t>
    </r>
    <r>
      <rPr>
        <sz val="11"/>
        <color theme="1"/>
        <rFont val="Calibri"/>
        <family val="2"/>
      </rPr>
      <t>₁₁</t>
    </r>
    <r>
      <rPr>
        <sz val="11"/>
        <color theme="1"/>
        <rFont val="Calibri"/>
        <family val="2"/>
        <scheme val="minor"/>
      </rPr>
      <t>ClF</t>
    </r>
    <r>
      <rPr>
        <sz val="11"/>
        <color theme="1"/>
        <rFont val="Calibri"/>
        <family val="2"/>
      </rPr>
      <t>₃</t>
    </r>
    <r>
      <rPr>
        <sz val="11"/>
        <color theme="1"/>
        <rFont val="Calibri"/>
        <family val="2"/>
        <scheme val="minor"/>
      </rPr>
      <t>NO</t>
    </r>
    <r>
      <rPr>
        <sz val="11"/>
        <color theme="1"/>
        <rFont val="Calibri"/>
        <family val="2"/>
      </rPr>
      <t>₄</t>
    </r>
  </si>
  <si>
    <t>42874-03-3</t>
  </si>
  <si>
    <t>Soluble ( &lt; 1 mg/ml refers to the product slightly soluble or insoluble )</t>
  </si>
  <si>
    <t>0,116 mg/l</t>
  </si>
  <si>
    <t>LC50 - Pimephales promelas (fathead minnow) - 0,15 mg/l - 96,0 h</t>
  </si>
  <si>
    <t>EC50 - Daphnia magna (Water flea) - 0,5 mg/l - 48 h</t>
  </si>
  <si>
    <t>Parathion</t>
  </si>
  <si>
    <r>
      <t>C</t>
    </r>
    <r>
      <rPr>
        <sz val="11"/>
        <color theme="1"/>
        <rFont val="Calibri"/>
        <family val="2"/>
      </rPr>
      <t>₁₀</t>
    </r>
    <r>
      <rPr>
        <sz val="11"/>
        <color theme="1"/>
        <rFont val="Calibri"/>
        <family val="2"/>
        <scheme val="minor"/>
      </rPr>
      <t>H</t>
    </r>
    <r>
      <rPr>
        <sz val="11"/>
        <color theme="1"/>
        <rFont val="Calibri"/>
        <family val="2"/>
      </rPr>
      <t>₁₄</t>
    </r>
    <r>
      <rPr>
        <sz val="11"/>
        <color theme="1"/>
        <rFont val="Calibri"/>
        <family val="2"/>
        <scheme val="minor"/>
      </rPr>
      <t>NO</t>
    </r>
    <r>
      <rPr>
        <sz val="11"/>
        <color theme="1"/>
        <rFont val="Calibri"/>
        <family val="2"/>
      </rPr>
      <t>₅</t>
    </r>
    <r>
      <rPr>
        <sz val="11"/>
        <color theme="1"/>
        <rFont val="Calibri"/>
        <family val="2"/>
        <scheme val="minor"/>
      </rPr>
      <t>PS</t>
    </r>
  </si>
  <si>
    <t>56-38-2</t>
  </si>
  <si>
    <t xml:space="preserve">24 mg/l </t>
  </si>
  <si>
    <t>Organophosphorus compound, liquid, toxic, n.o.s. (Parathion)</t>
  </si>
  <si>
    <t>LC50 - Lepomis macrochirus (Bluegill) - 0,03 mg/l - 96,0 h</t>
  </si>
  <si>
    <t>p,p'-DDD</t>
  </si>
  <si>
    <r>
      <t>C</t>
    </r>
    <r>
      <rPr>
        <sz val="11"/>
        <color theme="1"/>
        <rFont val="Calibri"/>
        <family val="2"/>
      </rPr>
      <t>₁₄</t>
    </r>
    <r>
      <rPr>
        <sz val="11"/>
        <color theme="1"/>
        <rFont val="Calibri"/>
        <family val="2"/>
        <scheme val="minor"/>
      </rPr>
      <t>H</t>
    </r>
    <r>
      <rPr>
        <sz val="11"/>
        <color theme="1"/>
        <rFont val="Calibri"/>
        <family val="2"/>
      </rPr>
      <t>₁₀</t>
    </r>
    <r>
      <rPr>
        <sz val="11"/>
        <color theme="1"/>
        <rFont val="Calibri"/>
        <family val="2"/>
        <scheme val="minor"/>
      </rPr>
      <t>Cl</t>
    </r>
    <r>
      <rPr>
        <sz val="11"/>
        <color theme="1"/>
        <rFont val="Calibri"/>
        <family val="2"/>
      </rPr>
      <t>₄</t>
    </r>
  </si>
  <si>
    <t>72-54-8</t>
  </si>
  <si>
    <t>90 μg/L</t>
  </si>
  <si>
    <t>LC50 - other fish - 1,18 - 9 mg/l - 96,0 h
LC50 - Lepomis macrochirus (Bluegill) - 0,04 - 0,05 mg/l - 96,0 h
LC50 - Oncorhynchus mykiss (rainbow trout) - 0,06 - 0,09 mg/l - 96,0 h
LC50 - Pimephales promelas (fathead minnow) - 3,47 - 5,58 mg/l - 96,0 h</t>
  </si>
  <si>
    <t>EC50 - Daphnia pulex (Water flea) - 0,01 mg/l - 48 h</t>
  </si>
  <si>
    <t>Methoxychlor</t>
  </si>
  <si>
    <r>
      <t>C</t>
    </r>
    <r>
      <rPr>
        <sz val="11"/>
        <color theme="1"/>
        <rFont val="Calibri"/>
        <family val="2"/>
      </rPr>
      <t>₁₆</t>
    </r>
    <r>
      <rPr>
        <sz val="11"/>
        <color theme="1"/>
        <rFont val="Calibri"/>
        <family val="2"/>
        <scheme val="minor"/>
      </rPr>
      <t>H</t>
    </r>
    <r>
      <rPr>
        <sz val="11"/>
        <color theme="1"/>
        <rFont val="Calibri"/>
        <family val="2"/>
      </rPr>
      <t>₁₅</t>
    </r>
    <r>
      <rPr>
        <sz val="11"/>
        <color theme="1"/>
        <rFont val="Calibri"/>
        <family val="2"/>
        <scheme val="minor"/>
      </rPr>
      <t>Cl</t>
    </r>
    <r>
      <rPr>
        <sz val="11"/>
        <color theme="1"/>
        <rFont val="Calibri"/>
        <family val="2"/>
      </rPr>
      <t>₃</t>
    </r>
    <r>
      <rPr>
        <sz val="11"/>
        <color theme="1"/>
        <rFont val="Calibri"/>
        <family val="2"/>
        <scheme val="minor"/>
      </rPr>
      <t>O</t>
    </r>
    <r>
      <rPr>
        <sz val="11"/>
        <color theme="1"/>
        <rFont val="Calibri"/>
        <family val="2"/>
      </rPr>
      <t>₂</t>
    </r>
  </si>
  <si>
    <t>72-43-5</t>
  </si>
  <si>
    <t>0,1 mg/l</t>
  </si>
  <si>
    <t>LC50 - Oncorhynchus mykiss (rainbow trout) - 0,052 mg/l - 96 h</t>
  </si>
  <si>
    <t>EC50 - Daphnia magna (Water flea) - 0,00078 mg/l - 48 h</t>
  </si>
  <si>
    <t>Dicofol</t>
  </si>
  <si>
    <r>
      <t>C</t>
    </r>
    <r>
      <rPr>
        <sz val="11"/>
        <color theme="1"/>
        <rFont val="Calibri"/>
        <family val="2"/>
      </rPr>
      <t>₁₄</t>
    </r>
    <r>
      <rPr>
        <sz val="11"/>
        <color theme="1"/>
        <rFont val="Calibri"/>
        <family val="2"/>
        <scheme val="minor"/>
      </rPr>
      <t>H</t>
    </r>
    <r>
      <rPr>
        <sz val="11"/>
        <color theme="1"/>
        <rFont val="Calibri"/>
        <family val="2"/>
      </rPr>
      <t>₉</t>
    </r>
    <r>
      <rPr>
        <sz val="11"/>
        <color theme="1"/>
        <rFont val="Calibri"/>
        <family val="2"/>
        <scheme val="minor"/>
      </rPr>
      <t>Cl</t>
    </r>
    <r>
      <rPr>
        <sz val="11"/>
        <color theme="1"/>
        <rFont val="Calibri"/>
        <family val="2"/>
      </rPr>
      <t>₅</t>
    </r>
    <r>
      <rPr>
        <sz val="11"/>
        <color theme="1"/>
        <rFont val="Calibri"/>
        <family val="2"/>
        <scheme val="minor"/>
      </rPr>
      <t>O</t>
    </r>
  </si>
  <si>
    <t>115-32-2</t>
  </si>
  <si>
    <t>0,8 mg/l</t>
  </si>
  <si>
    <t>LC50 - Oncorhynchus mykiss (rainbow trout) - 0,21 mg/l - 96,0 h</t>
  </si>
  <si>
    <t>EC50 - Daphnia magna (Water flea) - 0,08 mg/l - 24 h</t>
  </si>
  <si>
    <t>Iodosulfuron-methyl-sodium</t>
  </si>
  <si>
    <r>
      <t>C</t>
    </r>
    <r>
      <rPr>
        <sz val="11"/>
        <color theme="1"/>
        <rFont val="Calibri"/>
        <family val="2"/>
      </rPr>
      <t>₁₄</t>
    </r>
    <r>
      <rPr>
        <sz val="11"/>
        <color theme="1"/>
        <rFont val="Calibri"/>
        <family val="2"/>
        <scheme val="minor"/>
      </rPr>
      <t>H</t>
    </r>
    <r>
      <rPr>
        <sz val="11"/>
        <color theme="1"/>
        <rFont val="Calibri"/>
        <family val="2"/>
      </rPr>
      <t>₁₃</t>
    </r>
    <r>
      <rPr>
        <sz val="11"/>
        <color theme="1"/>
        <rFont val="Calibri"/>
        <family val="2"/>
        <scheme val="minor"/>
      </rPr>
      <t>IN</t>
    </r>
    <r>
      <rPr>
        <sz val="11"/>
        <color theme="1"/>
        <rFont val="Calibri"/>
        <family val="2"/>
      </rPr>
      <t>₅</t>
    </r>
    <r>
      <rPr>
        <sz val="11"/>
        <color theme="1"/>
        <rFont val="Calibri"/>
        <family val="2"/>
        <scheme val="minor"/>
      </rPr>
      <t>NaO</t>
    </r>
    <r>
      <rPr>
        <sz val="11"/>
        <color theme="1"/>
        <rFont val="Calibri"/>
        <family val="2"/>
      </rPr>
      <t>₆</t>
    </r>
    <r>
      <rPr>
        <sz val="11"/>
        <color theme="1"/>
        <rFont val="Calibri"/>
        <family val="2"/>
        <scheme val="minor"/>
      </rPr>
      <t>S</t>
    </r>
  </si>
  <si>
    <t>144550-36-7</t>
  </si>
  <si>
    <t xml:space="preserve">0,16 g/l </t>
  </si>
  <si>
    <t>Species: Oncorhynchus mykiss (rainbow trout)
Value: &gt; 100 mg/l
Exposure time: 96 h</t>
  </si>
  <si>
    <t>Species: Daphnia magna (Water flea)
Value: &gt; 100 mg/l
Exposure time: 48 h</t>
  </si>
  <si>
    <t>4-Butyrolactone</t>
  </si>
  <si>
    <r>
      <t>C</t>
    </r>
    <r>
      <rPr>
        <sz val="11"/>
        <color theme="1"/>
        <rFont val="Calibri"/>
        <family val="2"/>
      </rPr>
      <t>₄</t>
    </r>
    <r>
      <rPr>
        <sz val="11"/>
        <color theme="1"/>
        <rFont val="Calibri"/>
        <family val="2"/>
        <scheme val="minor"/>
      </rPr>
      <t>H</t>
    </r>
    <r>
      <rPr>
        <sz val="11"/>
        <color theme="1"/>
        <rFont val="Calibri"/>
        <family val="2"/>
      </rPr>
      <t>₆</t>
    </r>
    <r>
      <rPr>
        <sz val="11"/>
        <color theme="1"/>
        <rFont val="Calibri"/>
        <family val="2"/>
        <scheme val="minor"/>
      </rPr>
      <t>O</t>
    </r>
    <r>
      <rPr>
        <sz val="11"/>
        <color theme="1"/>
        <rFont val="Calibri"/>
        <family val="2"/>
      </rPr>
      <t>₂</t>
    </r>
  </si>
  <si>
    <t>96-48-0</t>
  </si>
  <si>
    <t>1.000 g/l - miscible in all proportions</t>
  </si>
  <si>
    <t>static test LC50 - Lepomis macrochirus (Bluegill sunfish) - 56 mg/l - 96 h (OECD Test Guideline 203)</t>
  </si>
  <si>
    <t>static test EC50 - Daphnia magna (Water flea) - &gt; 500 mg/l - 48 h
(Directive 67/548/EEC, Annex V, C.2.)</t>
  </si>
  <si>
    <t>Room temperature (Hygroscopic)</t>
  </si>
  <si>
    <t>2-Ethoxyethyl acetate</t>
  </si>
  <si>
    <r>
      <t>C</t>
    </r>
    <r>
      <rPr>
        <sz val="11"/>
        <color theme="1"/>
        <rFont val="Calibri"/>
        <family val="2"/>
      </rPr>
      <t>₆</t>
    </r>
    <r>
      <rPr>
        <sz val="11"/>
        <color theme="1"/>
        <rFont val="Calibri"/>
        <family val="2"/>
        <scheme val="minor"/>
      </rPr>
      <t>H</t>
    </r>
    <r>
      <rPr>
        <sz val="11"/>
        <color theme="1"/>
        <rFont val="Calibri"/>
        <family val="2"/>
      </rPr>
      <t>₁₂</t>
    </r>
    <r>
      <rPr>
        <sz val="11"/>
        <color theme="1"/>
        <rFont val="Calibri"/>
        <family val="2"/>
        <scheme val="minor"/>
      </rPr>
      <t>O</t>
    </r>
    <r>
      <rPr>
        <sz val="11"/>
        <color theme="1"/>
        <rFont val="Calibri"/>
        <family val="2"/>
      </rPr>
      <t>₃</t>
    </r>
  </si>
  <si>
    <t>111-15-9</t>
  </si>
  <si>
    <t xml:space="preserve">247 g/l </t>
  </si>
  <si>
    <t>LC50 - Pimephales promelas (fathead minnow) - 40,7 - 43,6 mg/l - 96 h</t>
  </si>
  <si>
    <t>EC50 - Daphnia magna (Water flea) - 193,6 mg/l - 48 h</t>
  </si>
  <si>
    <t>Keep away from heat and sources of ignition</t>
  </si>
  <si>
    <t>Diclosulam</t>
  </si>
  <si>
    <r>
      <t>C</t>
    </r>
    <r>
      <rPr>
        <sz val="11"/>
        <color theme="4"/>
        <rFont val="Calibri"/>
        <family val="2"/>
      </rPr>
      <t>₁₃</t>
    </r>
    <r>
      <rPr>
        <sz val="11"/>
        <color theme="4"/>
        <rFont val="Arial"/>
        <family val="2"/>
      </rPr>
      <t>H</t>
    </r>
    <r>
      <rPr>
        <sz val="11"/>
        <color theme="4"/>
        <rFont val="Calibri"/>
        <family val="2"/>
      </rPr>
      <t>₁₀</t>
    </r>
    <r>
      <rPr>
        <sz val="11"/>
        <color theme="4"/>
        <rFont val="Arial"/>
        <family val="2"/>
      </rPr>
      <t>Cl</t>
    </r>
    <r>
      <rPr>
        <sz val="11"/>
        <color theme="4"/>
        <rFont val="Calibri"/>
        <family val="2"/>
      </rPr>
      <t>₂</t>
    </r>
    <r>
      <rPr>
        <sz val="11"/>
        <color theme="4"/>
        <rFont val="Arial"/>
        <family val="2"/>
      </rPr>
      <t>FN</t>
    </r>
    <r>
      <rPr>
        <sz val="11"/>
        <color theme="4"/>
        <rFont val="Calibri"/>
        <family val="2"/>
      </rPr>
      <t>₅</t>
    </r>
    <r>
      <rPr>
        <sz val="11"/>
        <color theme="4"/>
        <rFont val="Arial"/>
        <family val="2"/>
      </rPr>
      <t>O</t>
    </r>
    <r>
      <rPr>
        <sz val="11"/>
        <color theme="4"/>
        <rFont val="Calibri"/>
        <family val="2"/>
      </rPr>
      <t>₃</t>
    </r>
    <r>
      <rPr>
        <sz val="11"/>
        <color theme="4"/>
        <rFont val="Arial"/>
        <family val="2"/>
      </rPr>
      <t>S</t>
    </r>
  </si>
  <si>
    <t>145701-21-9</t>
  </si>
  <si>
    <t>0.006 g/l</t>
  </si>
  <si>
    <t xml:space="preserve">LC50/96 h &gt;110 mg/l </t>
  </si>
  <si>
    <t>78mg/l - 48h</t>
  </si>
  <si>
    <t>Dicrotophos</t>
  </si>
  <si>
    <r>
      <t>C</t>
    </r>
    <r>
      <rPr>
        <sz val="11"/>
        <color theme="1"/>
        <rFont val="Calibri"/>
        <family val="2"/>
      </rPr>
      <t>₈</t>
    </r>
    <r>
      <rPr>
        <sz val="11"/>
        <color theme="1"/>
        <rFont val="Calibri"/>
        <family val="2"/>
        <scheme val="minor"/>
      </rPr>
      <t>H</t>
    </r>
    <r>
      <rPr>
        <sz val="11"/>
        <color theme="1"/>
        <rFont val="Calibri"/>
        <family val="2"/>
      </rPr>
      <t>₁₆</t>
    </r>
    <r>
      <rPr>
        <sz val="11"/>
        <color theme="1"/>
        <rFont val="Calibri"/>
        <family val="2"/>
        <scheme val="minor"/>
      </rPr>
      <t>NO</t>
    </r>
    <r>
      <rPr>
        <sz val="11"/>
        <color theme="1"/>
        <rFont val="Calibri"/>
        <family val="2"/>
      </rPr>
      <t>₅</t>
    </r>
    <r>
      <rPr>
        <sz val="11"/>
        <color theme="1"/>
        <rFont val="Calibri"/>
        <family val="2"/>
        <scheme val="minor"/>
      </rPr>
      <t>P</t>
    </r>
  </si>
  <si>
    <t>141-66-2</t>
  </si>
  <si>
    <t>miscible'</t>
  </si>
  <si>
    <t>LC50 - Oncorhynchus mykiss (rainbow trout) - 6,3 mg/l - 96,0 h</t>
  </si>
  <si>
    <t>EC50 - Daphnia magna (Water flea) - 0,013 mg/l - 48 h</t>
  </si>
  <si>
    <t>EPTC</t>
  </si>
  <si>
    <r>
      <t>C</t>
    </r>
    <r>
      <rPr>
        <sz val="11"/>
        <color theme="1"/>
        <rFont val="Calibri"/>
        <family val="2"/>
      </rPr>
      <t>₉</t>
    </r>
    <r>
      <rPr>
        <sz val="11"/>
        <color theme="1"/>
        <rFont val="Calibri"/>
        <family val="2"/>
        <scheme val="minor"/>
      </rPr>
      <t>H</t>
    </r>
    <r>
      <rPr>
        <sz val="11"/>
        <color theme="1"/>
        <rFont val="Calibri"/>
        <family val="2"/>
      </rPr>
      <t>₁₉</t>
    </r>
    <r>
      <rPr>
        <sz val="11"/>
        <color theme="1"/>
        <rFont val="Calibri"/>
        <family val="2"/>
        <scheme val="minor"/>
      </rPr>
      <t>NOS</t>
    </r>
  </si>
  <si>
    <t>759-94-4</t>
  </si>
  <si>
    <t>0,344 g/l - partly soluble</t>
  </si>
  <si>
    <t>flow-through test LC50 - Cyprinodon variegatus (sheepshead minnow) - ca. 17 mg/l - 96 h (US-EPA)</t>
  </si>
  <si>
    <t>static test EC50 - Daphnia magna (Water flea) - ca. 4,8 - 8,4 mg/l -
48 h</t>
  </si>
  <si>
    <t>6-Deisopropylatrazine</t>
  </si>
  <si>
    <r>
      <t>C</t>
    </r>
    <r>
      <rPr>
        <sz val="11"/>
        <color theme="1"/>
        <rFont val="Calibri"/>
        <family val="2"/>
      </rPr>
      <t>₅</t>
    </r>
    <r>
      <rPr>
        <sz val="11"/>
        <color theme="1"/>
        <rFont val="Calibri"/>
        <family val="2"/>
        <scheme val="minor"/>
      </rPr>
      <t>H</t>
    </r>
    <r>
      <rPr>
        <sz val="11"/>
        <color theme="1"/>
        <rFont val="Calibri"/>
        <family val="2"/>
      </rPr>
      <t>₈</t>
    </r>
    <r>
      <rPr>
        <sz val="11"/>
        <color theme="1"/>
        <rFont val="Calibri"/>
        <family val="2"/>
        <scheme val="minor"/>
      </rPr>
      <t>ClN</t>
    </r>
    <r>
      <rPr>
        <sz val="11"/>
        <color theme="1"/>
        <rFont val="Calibri"/>
        <family val="2"/>
      </rPr>
      <t>₅</t>
    </r>
  </si>
  <si>
    <t>1007-28-9</t>
  </si>
  <si>
    <t>535,7 mg/L based on predicted baseline toxicity zebrafish EC50 96h</t>
  </si>
  <si>
    <t>N-Nitrosodi-N-butylamine</t>
  </si>
  <si>
    <r>
      <t>C</t>
    </r>
    <r>
      <rPr>
        <sz val="11"/>
        <color theme="1"/>
        <rFont val="Calibri"/>
        <family val="2"/>
      </rPr>
      <t>₈</t>
    </r>
    <r>
      <rPr>
        <sz val="11"/>
        <color theme="1"/>
        <rFont val="Calibri"/>
        <family val="2"/>
        <scheme val="minor"/>
      </rPr>
      <t>H</t>
    </r>
    <r>
      <rPr>
        <sz val="11"/>
        <color theme="1"/>
        <rFont val="Calibri"/>
        <family val="2"/>
      </rPr>
      <t>₁₈</t>
    </r>
    <r>
      <rPr>
        <sz val="11"/>
        <color theme="1"/>
        <rFont val="Calibri"/>
        <family val="2"/>
        <scheme val="minor"/>
      </rPr>
      <t>N</t>
    </r>
    <r>
      <rPr>
        <sz val="11"/>
        <color theme="1"/>
        <rFont val="Calibri"/>
        <family val="2"/>
      </rPr>
      <t>₂</t>
    </r>
    <r>
      <rPr>
        <sz val="11"/>
        <color theme="1"/>
        <rFont val="Calibri"/>
        <family val="2"/>
        <scheme val="minor"/>
      </rPr>
      <t>O</t>
    </r>
  </si>
  <si>
    <t>924-16-3</t>
  </si>
  <si>
    <t>250 mg/ml</t>
  </si>
  <si>
    <t>1,199 g/L</t>
  </si>
  <si>
    <t>68,5 mg/L based on predicted baseline toxicity zebrafish 96h</t>
  </si>
  <si>
    <t>Containers which are opened must be carefully resealed and kept upright to prevent leakage</t>
  </si>
  <si>
    <t>Oxamyl</t>
  </si>
  <si>
    <r>
      <t>C</t>
    </r>
    <r>
      <rPr>
        <sz val="11"/>
        <color theme="1"/>
        <rFont val="Calibri"/>
        <family val="2"/>
      </rPr>
      <t>₇</t>
    </r>
    <r>
      <rPr>
        <sz val="11"/>
        <color theme="1"/>
        <rFont val="Calibri"/>
        <family val="2"/>
        <scheme val="minor"/>
      </rPr>
      <t>H</t>
    </r>
    <r>
      <rPr>
        <sz val="11"/>
        <color theme="1"/>
        <rFont val="Calibri"/>
        <family val="2"/>
      </rPr>
      <t>₁₃</t>
    </r>
    <r>
      <rPr>
        <sz val="11"/>
        <color theme="1"/>
        <rFont val="Calibri"/>
        <family val="2"/>
        <scheme val="minor"/>
      </rPr>
      <t>N</t>
    </r>
    <r>
      <rPr>
        <sz val="11"/>
        <color theme="1"/>
        <rFont val="Calibri"/>
        <family val="2"/>
      </rPr>
      <t>₃</t>
    </r>
    <r>
      <rPr>
        <sz val="11"/>
        <color theme="1"/>
        <rFont val="Calibri"/>
        <family val="2"/>
        <scheme val="minor"/>
      </rPr>
      <t>O</t>
    </r>
    <r>
      <rPr>
        <sz val="11"/>
        <color theme="1"/>
        <rFont val="Calibri"/>
        <family val="2"/>
      </rPr>
      <t>₃</t>
    </r>
    <r>
      <rPr>
        <sz val="11"/>
        <color theme="1"/>
        <rFont val="Calibri"/>
        <family val="2"/>
        <scheme val="minor"/>
      </rPr>
      <t>S</t>
    </r>
  </si>
  <si>
    <t>23135-22-0</t>
  </si>
  <si>
    <t>280 g/l</t>
  </si>
  <si>
    <t>LC50 - Pimephales promelas (fathead minnow) - 5,48 mg/l - 96,0 h</t>
  </si>
  <si>
    <t>EC50 - Daphnia magna (Water flea) - 0,42 mg/l - 48 h</t>
  </si>
  <si>
    <t>Imazaquin</t>
  </si>
  <si>
    <r>
      <t>C</t>
    </r>
    <r>
      <rPr>
        <sz val="11"/>
        <color theme="1"/>
        <rFont val="Calibri"/>
        <family val="2"/>
      </rPr>
      <t>₁₇</t>
    </r>
    <r>
      <rPr>
        <sz val="11"/>
        <color theme="1"/>
        <rFont val="Calibri"/>
        <family val="2"/>
        <scheme val="minor"/>
      </rPr>
      <t>H</t>
    </r>
    <r>
      <rPr>
        <sz val="11"/>
        <color theme="1"/>
        <rFont val="Calibri"/>
        <family val="2"/>
      </rPr>
      <t>₁₇</t>
    </r>
    <r>
      <rPr>
        <sz val="11"/>
        <color theme="1"/>
        <rFont val="Calibri"/>
        <family val="2"/>
        <scheme val="minor"/>
      </rPr>
      <t>N</t>
    </r>
    <r>
      <rPr>
        <sz val="11"/>
        <color theme="1"/>
        <rFont val="Calibri"/>
        <family val="2"/>
      </rPr>
      <t>₃</t>
    </r>
    <r>
      <rPr>
        <sz val="11"/>
        <color theme="1"/>
        <rFont val="Calibri"/>
        <family val="2"/>
        <scheme val="minor"/>
      </rPr>
      <t>O</t>
    </r>
    <r>
      <rPr>
        <sz val="11"/>
        <color theme="1"/>
        <rFont val="Calibri"/>
        <family val="2"/>
      </rPr>
      <t>₃</t>
    </r>
  </si>
  <si>
    <t>81335-37-7</t>
  </si>
  <si>
    <t>15,9g/100ml</t>
  </si>
  <si>
    <t>0,6g/l</t>
  </si>
  <si>
    <t>LC50 - Lepomis macrochirus (Bluegill) - 420 mg/l - 96 h</t>
  </si>
  <si>
    <t>EC50 - Daphnia magna (Water flea) - 280 mg/l - 48 h</t>
  </si>
  <si>
    <t>Metalaxyl</t>
  </si>
  <si>
    <r>
      <t>C</t>
    </r>
    <r>
      <rPr>
        <sz val="11"/>
        <color theme="1"/>
        <rFont val="Calibri"/>
        <family val="2"/>
      </rPr>
      <t>₁₅</t>
    </r>
    <r>
      <rPr>
        <sz val="11"/>
        <color theme="1"/>
        <rFont val="Calibri"/>
        <family val="2"/>
        <scheme val="minor"/>
      </rPr>
      <t>H</t>
    </r>
    <r>
      <rPr>
        <sz val="11"/>
        <color theme="1"/>
        <rFont val="Calibri"/>
        <family val="2"/>
      </rPr>
      <t>₂₁</t>
    </r>
    <r>
      <rPr>
        <sz val="11"/>
        <color theme="1"/>
        <rFont val="Calibri"/>
        <family val="2"/>
        <scheme val="minor"/>
      </rPr>
      <t>NO</t>
    </r>
    <r>
      <rPr>
        <sz val="11"/>
        <color theme="1"/>
        <rFont val="Calibri"/>
        <family val="2"/>
      </rPr>
      <t>₄</t>
    </r>
  </si>
  <si>
    <t>57837-19-1</t>
  </si>
  <si>
    <t>26 g/l</t>
  </si>
  <si>
    <t>static test LC50 - Oncorhynchus mykiss (rainbow trout) - 18,4 mg/l - 96 h (US-EPA)</t>
  </si>
  <si>
    <t>EC50 48 hr Daphnia - 3.47 mg/l</t>
  </si>
  <si>
    <t>Cyclanilide</t>
  </si>
  <si>
    <r>
      <t>C</t>
    </r>
    <r>
      <rPr>
        <sz val="11"/>
        <color theme="1"/>
        <rFont val="Calibri"/>
        <family val="2"/>
      </rPr>
      <t>₁₁</t>
    </r>
    <r>
      <rPr>
        <sz val="11"/>
        <color theme="1"/>
        <rFont val="Calibri"/>
        <family val="2"/>
        <scheme val="minor"/>
      </rPr>
      <t>H</t>
    </r>
    <r>
      <rPr>
        <sz val="11"/>
        <color theme="1"/>
        <rFont val="Calibri"/>
        <family val="2"/>
      </rPr>
      <t>₉</t>
    </r>
    <r>
      <rPr>
        <sz val="11"/>
        <color theme="1"/>
        <rFont val="Calibri"/>
        <family val="2"/>
        <scheme val="minor"/>
      </rPr>
      <t>Cl</t>
    </r>
    <r>
      <rPr>
        <sz val="11"/>
        <color theme="1"/>
        <rFont val="Calibri"/>
        <family val="2"/>
      </rPr>
      <t>₂</t>
    </r>
    <r>
      <rPr>
        <sz val="11"/>
        <color theme="1"/>
        <rFont val="Calibri"/>
        <family val="2"/>
        <scheme val="minor"/>
      </rPr>
      <t>NO</t>
    </r>
    <r>
      <rPr>
        <sz val="11"/>
        <color theme="1"/>
        <rFont val="Calibri"/>
        <family val="2"/>
      </rPr>
      <t>₃</t>
    </r>
  </si>
  <si>
    <t>113136-77-9</t>
  </si>
  <si>
    <t>0,049 g/l</t>
  </si>
  <si>
    <t>flow-through test LC50 - Oncorhynchus mykiss (rainbow trout) - &gt; 11 mg/l - 96 h Remarks: (ECHA)</t>
  </si>
  <si>
    <t>EC50 - Crustacea - 11,3 mg/l - 48 h
Remarks: (ECHA)</t>
  </si>
  <si>
    <t>Picloram</t>
  </si>
  <si>
    <r>
      <t>C</t>
    </r>
    <r>
      <rPr>
        <sz val="11"/>
        <color theme="1"/>
        <rFont val="Calibri"/>
        <family val="2"/>
      </rPr>
      <t>₆</t>
    </r>
    <r>
      <rPr>
        <sz val="11"/>
        <color theme="1"/>
        <rFont val="Calibri"/>
        <family val="2"/>
        <scheme val="minor"/>
      </rPr>
      <t>H</t>
    </r>
    <r>
      <rPr>
        <sz val="11"/>
        <color theme="1"/>
        <rFont val="Calibri"/>
        <family val="2"/>
      </rPr>
      <t>₃</t>
    </r>
    <r>
      <rPr>
        <sz val="11"/>
        <color theme="1"/>
        <rFont val="Calibri"/>
        <family val="2"/>
        <scheme val="minor"/>
      </rPr>
      <t>Cl</t>
    </r>
    <r>
      <rPr>
        <sz val="11"/>
        <color theme="1"/>
        <rFont val="Calibri"/>
        <family val="2"/>
      </rPr>
      <t>₃</t>
    </r>
    <r>
      <rPr>
        <sz val="11"/>
        <color theme="1"/>
        <rFont val="Calibri"/>
        <family val="2"/>
        <scheme val="minor"/>
      </rPr>
      <t>N</t>
    </r>
    <r>
      <rPr>
        <sz val="11"/>
        <color theme="1"/>
        <rFont val="Calibri"/>
        <family val="2"/>
      </rPr>
      <t>₂</t>
    </r>
    <r>
      <rPr>
        <sz val="11"/>
        <color theme="1"/>
        <rFont val="Calibri"/>
        <family val="2"/>
        <scheme val="minor"/>
      </rPr>
      <t>O</t>
    </r>
    <r>
      <rPr>
        <sz val="11"/>
        <color theme="1"/>
        <rFont val="Calibri"/>
        <family val="2"/>
      </rPr>
      <t>₂</t>
    </r>
  </si>
  <si>
    <t>1918-02-1</t>
  </si>
  <si>
    <t>420 mg/l</t>
  </si>
  <si>
    <t>19.3 mg/L for rainbow trout, 14.5 mg/L for bluegill sunfish, and 55 mg/L for fathead minnows</t>
  </si>
  <si>
    <t>LC50 - Daphnia magna (Water flea) - 34,4 -100 mg/l - 48 h</t>
  </si>
  <si>
    <t>Room temperature (Moisture sensitive; Store under inert gas?)</t>
  </si>
  <si>
    <t>Penoxsulam</t>
  </si>
  <si>
    <r>
      <t>C</t>
    </r>
    <r>
      <rPr>
        <sz val="11"/>
        <color theme="1"/>
        <rFont val="Calibri"/>
        <family val="2"/>
      </rPr>
      <t>₁₆</t>
    </r>
    <r>
      <rPr>
        <sz val="11"/>
        <color theme="1"/>
        <rFont val="Calibri"/>
        <family val="2"/>
        <scheme val="minor"/>
      </rPr>
      <t>H</t>
    </r>
    <r>
      <rPr>
        <sz val="11"/>
        <color theme="1"/>
        <rFont val="Calibri"/>
        <family val="2"/>
      </rPr>
      <t>₁₄</t>
    </r>
    <r>
      <rPr>
        <sz val="11"/>
        <color theme="1"/>
        <rFont val="Calibri"/>
        <family val="2"/>
        <scheme val="minor"/>
      </rPr>
      <t>F</t>
    </r>
    <r>
      <rPr>
        <sz val="11"/>
        <color theme="1"/>
        <rFont val="Calibri"/>
        <family val="2"/>
      </rPr>
      <t>₅</t>
    </r>
    <r>
      <rPr>
        <sz val="11"/>
        <color theme="1"/>
        <rFont val="Calibri"/>
        <family val="2"/>
        <scheme val="minor"/>
      </rPr>
      <t>N₅O₅S</t>
    </r>
  </si>
  <si>
    <t>219714-96-2</t>
  </si>
  <si>
    <t>0,0049 - 1,46 g/l</t>
  </si>
  <si>
    <t>LC50 - Oncorhynchus mykiss (rainbow trout) - &gt; 100 mg/l - 96 h</t>
  </si>
  <si>
    <t>EC50 - Daphnia (water flea) - 98,3 mg/l - 48 h</t>
  </si>
  <si>
    <t>2,4-DB</t>
  </si>
  <si>
    <r>
      <t>C</t>
    </r>
    <r>
      <rPr>
        <sz val="11"/>
        <color theme="1"/>
        <rFont val="Calibri"/>
        <family val="2"/>
      </rPr>
      <t>₁₀</t>
    </r>
    <r>
      <rPr>
        <sz val="11"/>
        <color theme="1"/>
        <rFont val="Calibri"/>
        <family val="2"/>
        <scheme val="minor"/>
      </rPr>
      <t>H₁₀Cl</t>
    </r>
    <r>
      <rPr>
        <sz val="11"/>
        <color theme="1"/>
        <rFont val="Calibri"/>
        <family val="2"/>
      </rPr>
      <t>₂</t>
    </r>
    <r>
      <rPr>
        <sz val="11"/>
        <color theme="1"/>
        <rFont val="Calibri"/>
        <family val="2"/>
        <scheme val="minor"/>
      </rPr>
      <t>O</t>
    </r>
    <r>
      <rPr>
        <sz val="11"/>
        <color theme="1"/>
        <rFont val="Calibri"/>
        <family val="2"/>
      </rPr>
      <t>₃</t>
    </r>
  </si>
  <si>
    <t>94-82-6</t>
  </si>
  <si>
    <t>approximately 30 mg/ml</t>
  </si>
  <si>
    <t>24,3 g /l</t>
  </si>
  <si>
    <t>LC50 - Oncorhynchus mykiss (rainbow trout) - 1,97 mg/l - 96,0 h</t>
  </si>
  <si>
    <t>EC50 - Daphnia magna (Water flea) - 25 mg/l - 48 h</t>
  </si>
  <si>
    <t>Diazoxon</t>
  </si>
  <si>
    <r>
      <t>C</t>
    </r>
    <r>
      <rPr>
        <sz val="12"/>
        <color theme="1"/>
        <rFont val="Calibri"/>
        <family val="2"/>
      </rPr>
      <t>₁₂</t>
    </r>
    <r>
      <rPr>
        <sz val="12"/>
        <color theme="1"/>
        <rFont val="Calibri"/>
        <family val="2"/>
        <scheme val="minor"/>
      </rPr>
      <t>H</t>
    </r>
    <r>
      <rPr>
        <sz val="12"/>
        <color theme="1"/>
        <rFont val="Calibri"/>
        <family val="2"/>
      </rPr>
      <t>₂₁</t>
    </r>
    <r>
      <rPr>
        <sz val="12"/>
        <color theme="1"/>
        <rFont val="Calibri"/>
        <family val="2"/>
        <scheme val="minor"/>
      </rPr>
      <t>N</t>
    </r>
    <r>
      <rPr>
        <sz val="12"/>
        <color theme="1"/>
        <rFont val="Calibri"/>
        <family val="2"/>
      </rPr>
      <t>₂</t>
    </r>
    <r>
      <rPr>
        <sz val="12"/>
        <color theme="1"/>
        <rFont val="Calibri"/>
        <family val="2"/>
        <scheme val="minor"/>
      </rPr>
      <t>O</t>
    </r>
    <r>
      <rPr>
        <sz val="12"/>
        <color theme="1"/>
        <rFont val="Calibri"/>
        <family val="2"/>
      </rPr>
      <t>₄</t>
    </r>
    <r>
      <rPr>
        <sz val="12"/>
        <color theme="1"/>
        <rFont val="Calibri"/>
        <family val="2"/>
        <scheme val="minor"/>
      </rPr>
      <t>P</t>
    </r>
  </si>
  <si>
    <t>962-58-3</t>
  </si>
  <si>
    <t>5.29 g/L</t>
  </si>
  <si>
    <t>Toxic, liquid, organic, n.o.s. (Diazinon)</t>
  </si>
  <si>
    <t>13,31 mg/L 120h zebrafish EC50</t>
  </si>
  <si>
    <t>2 - 8 °C (Hygroscopic, store under inert atmosphere?)</t>
  </si>
  <si>
    <t>Simazine</t>
  </si>
  <si>
    <r>
      <t>C</t>
    </r>
    <r>
      <rPr>
        <sz val="11"/>
        <color theme="1"/>
        <rFont val="Calibri"/>
        <family val="2"/>
      </rPr>
      <t>₇</t>
    </r>
    <r>
      <rPr>
        <sz val="11"/>
        <color theme="1"/>
        <rFont val="Calibri"/>
        <family val="2"/>
        <scheme val="minor"/>
      </rPr>
      <t>H</t>
    </r>
    <r>
      <rPr>
        <sz val="11"/>
        <color theme="1"/>
        <rFont val="Calibri"/>
        <family val="2"/>
      </rPr>
      <t>₁₂</t>
    </r>
    <r>
      <rPr>
        <sz val="11"/>
        <color theme="1"/>
        <rFont val="Calibri"/>
        <family val="2"/>
        <scheme val="minor"/>
      </rPr>
      <t>ClN</t>
    </r>
    <r>
      <rPr>
        <sz val="11"/>
        <color theme="1"/>
        <rFont val="Calibri"/>
        <family val="2"/>
      </rPr>
      <t>₅</t>
    </r>
  </si>
  <si>
    <t>122-34-9</t>
  </si>
  <si>
    <t>'Soluble''</t>
  </si>
  <si>
    <t>0,005 g/l</t>
  </si>
  <si>
    <t>flow-through test LC50 - Cyprinodon variegatus (sheepshead minnow) - &gt; 4,3 mg/l - 96 h
LC50 96 h: &gt; 10 mg/L static
(Oncorhynchus mykiss)
LC50 96 h: 3.5 - 7.15 mg/L
static (Pimephales promelas)
LC50 96 h: = 56 mg/L
(Oncorhynchus mykiss)
LC50 96 h: = 82 mg/L
semi-static (Oncorhynchus
mykiss) LC50 96 h: = 118
mg/L (Lepomis
macrochirus) LC50 96 h:
9.9 - 26 mg/L static (Lepomis
macrochirus) LC50 96 h: =
49 mg/L static (Poecilia
reticulata)</t>
  </si>
  <si>
    <t xml:space="preserve">EC50 48 h: 0.56 - 2.2 mg/L
Static (Daphnia magna) </t>
  </si>
  <si>
    <t>Cacodylic acid</t>
  </si>
  <si>
    <r>
      <t>C</t>
    </r>
    <r>
      <rPr>
        <sz val="11"/>
        <color theme="1"/>
        <rFont val="Calibri"/>
        <family val="2"/>
      </rPr>
      <t>₂</t>
    </r>
    <r>
      <rPr>
        <sz val="11"/>
        <color theme="1"/>
        <rFont val="Calibri"/>
        <family val="2"/>
        <scheme val="minor"/>
      </rPr>
      <t>H</t>
    </r>
    <r>
      <rPr>
        <sz val="11"/>
        <color theme="1"/>
        <rFont val="Calibri"/>
        <family val="2"/>
      </rPr>
      <t>₇</t>
    </r>
    <r>
      <rPr>
        <sz val="11"/>
        <color theme="1"/>
        <rFont val="Calibri"/>
        <family val="2"/>
        <scheme val="minor"/>
      </rPr>
      <t>AsO</t>
    </r>
    <r>
      <rPr>
        <sz val="11"/>
        <color theme="1"/>
        <rFont val="Calibri"/>
        <family val="2"/>
      </rPr>
      <t>₂</t>
    </r>
  </si>
  <si>
    <t>75-60-5</t>
  </si>
  <si>
    <t>LC50 - Lepomis macrochirus (Bluegill sunfish) - 180 mg/l - 96 h</t>
  </si>
  <si>
    <t>EC50 Daphnia magna (Water flea): 53,5 mg/l; 48 h (of the sodium salt)</t>
  </si>
  <si>
    <t>RT (Hygroscopic. Store under inert gas?)</t>
  </si>
  <si>
    <t>Dimethoate</t>
  </si>
  <si>
    <r>
      <t>C</t>
    </r>
    <r>
      <rPr>
        <sz val="11"/>
        <color theme="1"/>
        <rFont val="Calibri"/>
        <family val="2"/>
      </rPr>
      <t>₅</t>
    </r>
    <r>
      <rPr>
        <sz val="11"/>
        <color theme="1"/>
        <rFont val="Calibri"/>
        <family val="2"/>
        <scheme val="minor"/>
      </rPr>
      <t>H</t>
    </r>
    <r>
      <rPr>
        <sz val="11"/>
        <color theme="1"/>
        <rFont val="Calibri"/>
        <family val="2"/>
      </rPr>
      <t>₁₂</t>
    </r>
    <r>
      <rPr>
        <sz val="11"/>
        <color theme="1"/>
        <rFont val="Calibri"/>
        <family val="2"/>
        <scheme val="minor"/>
      </rPr>
      <t>NO</t>
    </r>
    <r>
      <rPr>
        <sz val="11"/>
        <color theme="1"/>
        <rFont val="Calibri"/>
        <family val="2"/>
      </rPr>
      <t>₃</t>
    </r>
    <r>
      <rPr>
        <sz val="11"/>
        <color theme="1"/>
        <rFont val="Calibri"/>
        <family val="2"/>
        <scheme val="minor"/>
      </rPr>
      <t>PS</t>
    </r>
    <r>
      <rPr>
        <sz val="11"/>
        <color theme="1"/>
        <rFont val="Calibri"/>
        <family val="2"/>
      </rPr>
      <t>₂</t>
    </r>
  </si>
  <si>
    <t>60-51-5</t>
  </si>
  <si>
    <t>23,5 g/l</t>
  </si>
  <si>
    <t>static test LC50 - Salmo gairdneri - 7,5 mg/l - 96 h</t>
  </si>
  <si>
    <t>Immobilization EC50 - Daphnia magna (Water flea) - 5,4 mg/l - 48 h
(OECD Test Guideline 202)</t>
  </si>
  <si>
    <t>Clofentezine</t>
  </si>
  <si>
    <r>
      <t>C</t>
    </r>
    <r>
      <rPr>
        <sz val="12"/>
        <color theme="1"/>
        <rFont val="Calibri"/>
        <family val="2"/>
      </rPr>
      <t>₁₄</t>
    </r>
    <r>
      <rPr>
        <sz val="12"/>
        <color theme="1"/>
        <rFont val="Calibri"/>
        <family val="2"/>
        <scheme val="minor"/>
      </rPr>
      <t>H</t>
    </r>
    <r>
      <rPr>
        <sz val="12"/>
        <color theme="1"/>
        <rFont val="Calibri"/>
        <family val="2"/>
      </rPr>
      <t>₈</t>
    </r>
    <r>
      <rPr>
        <sz val="12"/>
        <color theme="1"/>
        <rFont val="Calibri"/>
        <family val="2"/>
        <scheme val="minor"/>
      </rPr>
      <t>Cl</t>
    </r>
    <r>
      <rPr>
        <sz val="12"/>
        <color theme="1"/>
        <rFont val="Calibri"/>
        <family val="2"/>
      </rPr>
      <t>₂</t>
    </r>
    <r>
      <rPr>
        <sz val="12"/>
        <color theme="1"/>
        <rFont val="Calibri"/>
        <family val="2"/>
        <scheme val="minor"/>
      </rPr>
      <t>N</t>
    </r>
    <r>
      <rPr>
        <sz val="12"/>
        <color theme="1"/>
        <rFont val="Calibri"/>
        <family val="2"/>
      </rPr>
      <t>₄</t>
    </r>
  </si>
  <si>
    <t>74115-24-5</t>
  </si>
  <si>
    <t>15,5mg/ml</t>
  </si>
  <si>
    <t>0,0342 mg/l</t>
  </si>
  <si>
    <t>LC50 - Oncorhynchus mykiss (rainbow trout) - &gt; 0,015 mg/l - 96 h</t>
  </si>
  <si>
    <t>EC50 - Daphnia magna (Water flea) - &gt; 0,84 µg/l - 48 h
Remarks: (ECOTOX Database</t>
  </si>
  <si>
    <t>1,4-Diaminoanthraquinone</t>
  </si>
  <si>
    <r>
      <t>C</t>
    </r>
    <r>
      <rPr>
        <sz val="12"/>
        <color theme="1"/>
        <rFont val="Calibri"/>
        <family val="2"/>
      </rPr>
      <t>₁₄</t>
    </r>
    <r>
      <rPr>
        <sz val="12"/>
        <color theme="1"/>
        <rFont val="Calibri"/>
        <family val="2"/>
        <scheme val="minor"/>
      </rPr>
      <t>H</t>
    </r>
    <r>
      <rPr>
        <sz val="12"/>
        <color theme="1"/>
        <rFont val="Calibri"/>
        <family val="2"/>
      </rPr>
      <t>₁₀</t>
    </r>
    <r>
      <rPr>
        <sz val="12"/>
        <color theme="1"/>
        <rFont val="Calibri"/>
        <family val="2"/>
        <scheme val="minor"/>
      </rPr>
      <t>N</t>
    </r>
    <r>
      <rPr>
        <sz val="12"/>
        <color theme="1"/>
        <rFont val="Calibri"/>
        <family val="2"/>
      </rPr>
      <t>₂</t>
    </r>
    <r>
      <rPr>
        <sz val="12"/>
        <color theme="1"/>
        <rFont val="Calibri"/>
        <family val="2"/>
        <scheme val="minor"/>
      </rPr>
      <t>O</t>
    </r>
    <r>
      <rPr>
        <sz val="12"/>
        <color theme="1"/>
        <rFont val="Calibri"/>
        <family val="2"/>
      </rPr>
      <t>₂</t>
    </r>
  </si>
  <si>
    <t>128-95-0</t>
  </si>
  <si>
    <t>0,00016 g/l</t>
  </si>
  <si>
    <t>1,8-Dihydroxy-4,5-dinitroanthraquinone</t>
  </si>
  <si>
    <r>
      <t>C</t>
    </r>
    <r>
      <rPr>
        <sz val="11"/>
        <color theme="1"/>
        <rFont val="Calibri"/>
        <family val="2"/>
      </rPr>
      <t>₁₄</t>
    </r>
    <r>
      <rPr>
        <sz val="11"/>
        <color theme="1"/>
        <rFont val="Calibri"/>
        <family val="2"/>
        <scheme val="minor"/>
      </rPr>
      <t>H</t>
    </r>
    <r>
      <rPr>
        <sz val="11"/>
        <color theme="1"/>
        <rFont val="Calibri"/>
        <family val="2"/>
      </rPr>
      <t>₆</t>
    </r>
    <r>
      <rPr>
        <sz val="11"/>
        <color theme="1"/>
        <rFont val="Calibri"/>
        <family val="2"/>
        <scheme val="minor"/>
      </rPr>
      <t>N</t>
    </r>
    <r>
      <rPr>
        <sz val="11"/>
        <color theme="1"/>
        <rFont val="Calibri"/>
        <family val="2"/>
      </rPr>
      <t>₂</t>
    </r>
    <r>
      <rPr>
        <sz val="11"/>
        <color theme="1"/>
        <rFont val="Calibri"/>
        <family val="2"/>
        <scheme val="minor"/>
      </rPr>
      <t>O</t>
    </r>
    <r>
      <rPr>
        <sz val="11"/>
        <color theme="1"/>
        <rFont val="Calibri"/>
        <family val="2"/>
      </rPr>
      <t>₈</t>
    </r>
  </si>
  <si>
    <t>81-55-0</t>
  </si>
  <si>
    <t>≥ 100 mg/ml</t>
  </si>
  <si>
    <t>&lt; 0,1 g/l</t>
  </si>
  <si>
    <t>?
ECOSAR analysis indicates the target substance to have a high potential for aquatic toxicity (EC50 below 1)</t>
  </si>
  <si>
    <t>2-Aminoanthraquinone</t>
  </si>
  <si>
    <r>
      <t>C</t>
    </r>
    <r>
      <rPr>
        <sz val="12"/>
        <color theme="1"/>
        <rFont val="Calibri"/>
        <family val="2"/>
      </rPr>
      <t>₁₄</t>
    </r>
    <r>
      <rPr>
        <sz val="12"/>
        <color theme="1"/>
        <rFont val="Calibri"/>
        <family val="2"/>
        <scheme val="minor"/>
      </rPr>
      <t>H</t>
    </r>
    <r>
      <rPr>
        <sz val="12"/>
        <color theme="1"/>
        <rFont val="Calibri"/>
        <family val="2"/>
      </rPr>
      <t>₉</t>
    </r>
    <r>
      <rPr>
        <sz val="12"/>
        <color theme="1"/>
        <rFont val="Calibri"/>
        <family val="2"/>
        <scheme val="minor"/>
      </rPr>
      <t>NO</t>
    </r>
    <r>
      <rPr>
        <sz val="12"/>
        <color theme="1"/>
        <rFont val="Calibri"/>
        <family val="2"/>
      </rPr>
      <t>₂</t>
    </r>
  </si>
  <si>
    <t>117-79-3</t>
  </si>
  <si>
    <t>10-50 mg/ml</t>
  </si>
  <si>
    <t>&lt; 1 g/l</t>
  </si>
  <si>
    <t>LC50: &gt; 10000 mg/L, 96h; static (Leuciscus idus)</t>
  </si>
  <si>
    <t>EC50 - Daphnia magna (Water flea) - &gt; 378 mg/l - 48 h</t>
  </si>
  <si>
    <t>C.I. Basic red 9 monohydrochloride</t>
  </si>
  <si>
    <r>
      <t>C</t>
    </r>
    <r>
      <rPr>
        <sz val="12"/>
        <color theme="1"/>
        <rFont val="Calibri"/>
        <family val="2"/>
      </rPr>
      <t>₁₉</t>
    </r>
    <r>
      <rPr>
        <sz val="12"/>
        <color theme="1"/>
        <rFont val="Calibri"/>
        <family val="2"/>
        <scheme val="minor"/>
      </rPr>
      <t>H</t>
    </r>
    <r>
      <rPr>
        <sz val="12"/>
        <color theme="1"/>
        <rFont val="Calibri"/>
        <family val="2"/>
      </rPr>
      <t>₁₇</t>
    </r>
    <r>
      <rPr>
        <sz val="12"/>
        <color theme="1"/>
        <rFont val="Calibri"/>
        <family val="2"/>
        <scheme val="minor"/>
      </rPr>
      <t>N</t>
    </r>
    <r>
      <rPr>
        <sz val="12"/>
        <color theme="1"/>
        <rFont val="Calibri"/>
        <family val="2"/>
      </rPr>
      <t>₃</t>
    </r>
    <r>
      <rPr>
        <sz val="12"/>
        <color theme="1"/>
        <rFont val="Calibri"/>
        <family val="2"/>
        <scheme val="minor"/>
      </rPr>
      <t xml:space="preserve"> · HCl</t>
    </r>
  </si>
  <si>
    <t>569-61-9</t>
  </si>
  <si>
    <t>10 g/l</t>
  </si>
  <si>
    <t>Room temperature (Store under inert gas?)</t>
  </si>
  <si>
    <t>Chlorfenapyr</t>
  </si>
  <si>
    <r>
      <t>C</t>
    </r>
    <r>
      <rPr>
        <sz val="11"/>
        <color theme="1"/>
        <rFont val="Calibri"/>
        <family val="2"/>
      </rPr>
      <t>₁₅</t>
    </r>
    <r>
      <rPr>
        <sz val="11"/>
        <color theme="1"/>
        <rFont val="Calibri"/>
        <family val="2"/>
        <scheme val="minor"/>
      </rPr>
      <t>H</t>
    </r>
    <r>
      <rPr>
        <sz val="11"/>
        <color theme="1"/>
        <rFont val="Calibri"/>
        <family val="2"/>
      </rPr>
      <t>₁₁</t>
    </r>
    <r>
      <rPr>
        <sz val="11"/>
        <color theme="1"/>
        <rFont val="Calibri"/>
        <family val="2"/>
        <scheme val="minor"/>
      </rPr>
      <t>BrClF</t>
    </r>
    <r>
      <rPr>
        <sz val="11"/>
        <color theme="1"/>
        <rFont val="Calibri"/>
        <family val="2"/>
      </rPr>
      <t>₃</t>
    </r>
    <r>
      <rPr>
        <sz val="11"/>
        <color theme="1"/>
        <rFont val="Calibri"/>
        <family val="2"/>
        <scheme val="minor"/>
      </rPr>
      <t>N</t>
    </r>
    <r>
      <rPr>
        <sz val="11"/>
        <color theme="1"/>
        <rFont val="Calibri"/>
        <family val="2"/>
      </rPr>
      <t>₂</t>
    </r>
    <r>
      <rPr>
        <sz val="11"/>
        <color theme="1"/>
        <rFont val="Calibri"/>
        <family val="2"/>
        <scheme val="minor"/>
      </rPr>
      <t>O</t>
    </r>
  </si>
  <si>
    <t>122453-73-0</t>
  </si>
  <si>
    <t>250 mg/mL</t>
  </si>
  <si>
    <t>0.14 mg/l</t>
  </si>
  <si>
    <t>LC50 - Oncorhynchus mykiss (rainbow trout) - &lt; 0,01 mg/l - 96,0 h</t>
  </si>
  <si>
    <t>EC50 - Daphnia magna (Water flea) - &lt; 0,01 mg/l - 96 h</t>
  </si>
  <si>
    <t>Chlorophacinone</t>
  </si>
  <si>
    <r>
      <t>C</t>
    </r>
    <r>
      <rPr>
        <sz val="11"/>
        <color theme="1"/>
        <rFont val="Calibri"/>
        <family val="2"/>
      </rPr>
      <t>₂₃</t>
    </r>
    <r>
      <rPr>
        <sz val="11"/>
        <color theme="1"/>
        <rFont val="Calibri"/>
        <family val="2"/>
        <scheme val="minor"/>
      </rPr>
      <t>H</t>
    </r>
    <r>
      <rPr>
        <sz val="11"/>
        <color theme="1"/>
        <rFont val="Calibri"/>
        <family val="2"/>
      </rPr>
      <t>₁₅</t>
    </r>
    <r>
      <rPr>
        <sz val="11"/>
        <color theme="1"/>
        <rFont val="Calibri"/>
        <family val="2"/>
        <scheme val="minor"/>
      </rPr>
      <t>ClO</t>
    </r>
    <r>
      <rPr>
        <sz val="11"/>
        <color theme="1"/>
        <rFont val="Calibri"/>
        <family val="2"/>
      </rPr>
      <t>₃</t>
    </r>
  </si>
  <si>
    <t>3691-35-8</t>
  </si>
  <si>
    <t>flow-through test LC50 - Oncorhynchus mykiss (rainbow trout) - 0,45 mg/l - 96 h (OECD Test Guideline 203)</t>
  </si>
  <si>
    <t>flow-through test EC50 - Daphnia magna (Water flea) - 0,64 mg/l -
48 h
(OECD Test Guideline 202)</t>
  </si>
  <si>
    <t>Diclazuril</t>
  </si>
  <si>
    <r>
      <t>C</t>
    </r>
    <r>
      <rPr>
        <sz val="11"/>
        <color theme="1"/>
        <rFont val="Calibri"/>
        <family val="2"/>
      </rPr>
      <t>₁₇</t>
    </r>
    <r>
      <rPr>
        <sz val="11"/>
        <color theme="1"/>
        <rFont val="Calibri"/>
        <family val="2"/>
        <scheme val="minor"/>
      </rPr>
      <t>H</t>
    </r>
    <r>
      <rPr>
        <sz val="11"/>
        <color theme="1"/>
        <rFont val="Calibri"/>
        <family val="2"/>
      </rPr>
      <t>₉</t>
    </r>
    <r>
      <rPr>
        <sz val="11"/>
        <color theme="1"/>
        <rFont val="Calibri"/>
        <family val="2"/>
        <scheme val="minor"/>
      </rPr>
      <t>Cl</t>
    </r>
    <r>
      <rPr>
        <sz val="11"/>
        <color theme="1"/>
        <rFont val="Calibri"/>
        <family val="2"/>
      </rPr>
      <t>₃</t>
    </r>
    <r>
      <rPr>
        <sz val="11"/>
        <color theme="1"/>
        <rFont val="Calibri"/>
        <family val="2"/>
        <scheme val="minor"/>
      </rPr>
      <t>N</t>
    </r>
    <r>
      <rPr>
        <sz val="11"/>
        <color theme="1"/>
        <rFont val="Calibri"/>
        <family val="2"/>
      </rPr>
      <t>₄</t>
    </r>
    <r>
      <rPr>
        <sz val="11"/>
        <color theme="1"/>
        <rFont val="Calibri"/>
        <family val="2"/>
        <scheme val="minor"/>
      </rPr>
      <t>O</t>
    </r>
    <r>
      <rPr>
        <sz val="11"/>
        <color theme="1"/>
        <rFont val="Calibri"/>
        <family val="2"/>
      </rPr>
      <t>₂</t>
    </r>
  </si>
  <si>
    <t>101831-37-2</t>
  </si>
  <si>
    <t>16 mg/mL</t>
  </si>
  <si>
    <t>LC50 (Lepomis macrochirus (Bluegill sunfish)): 0.58 mg/l
Exposure time: 96 h</t>
  </si>
  <si>
    <t>EC50 (Daphnia magna (Water flea)): &gt; 0.63 mg/l
Exposure time: 48 h</t>
  </si>
  <si>
    <t>Diphenylurea</t>
  </si>
  <si>
    <r>
      <t>C</t>
    </r>
    <r>
      <rPr>
        <sz val="12"/>
        <color theme="1"/>
        <rFont val="Calibri"/>
        <family val="2"/>
      </rPr>
      <t>₁₃</t>
    </r>
    <r>
      <rPr>
        <sz val="12"/>
        <color theme="1"/>
        <rFont val="Calibri"/>
        <family val="2"/>
        <scheme val="minor"/>
      </rPr>
      <t>H</t>
    </r>
    <r>
      <rPr>
        <sz val="12"/>
        <color theme="1"/>
        <rFont val="Calibri"/>
        <family val="2"/>
      </rPr>
      <t>₁₂</t>
    </r>
    <r>
      <rPr>
        <sz val="12"/>
        <color theme="1"/>
        <rFont val="Calibri"/>
        <family val="2"/>
        <scheme val="minor"/>
      </rPr>
      <t>N</t>
    </r>
    <r>
      <rPr>
        <sz val="12"/>
        <color theme="1"/>
        <rFont val="Calibri"/>
        <family val="2"/>
      </rPr>
      <t>₂</t>
    </r>
    <r>
      <rPr>
        <sz val="12"/>
        <color theme="1"/>
        <rFont val="Calibri"/>
        <family val="2"/>
        <scheme val="minor"/>
      </rPr>
      <t>O</t>
    </r>
  </si>
  <si>
    <t>102-07-8</t>
  </si>
  <si>
    <t>0,0912 mg/l</t>
  </si>
  <si>
    <t>Emodin</t>
  </si>
  <si>
    <t>518-82-1</t>
  </si>
  <si>
    <t>1,5 mg/ml</t>
  </si>
  <si>
    <t>&lt;1 g /l</t>
  </si>
  <si>
    <t>96 h LC50, grass carp: 3.15 mg/L</t>
  </si>
  <si>
    <t xml:space="preserve">2 - 8 °C </t>
  </si>
  <si>
    <t>FCCP (2-[2-[4-(trifluoromethoxy)phenyl]hydrazinylidene]-propanedinitrile)</t>
  </si>
  <si>
    <r>
      <t>C</t>
    </r>
    <r>
      <rPr>
        <sz val="11"/>
        <color theme="1"/>
        <rFont val="Calibri"/>
        <family val="2"/>
      </rPr>
      <t>₁₀</t>
    </r>
    <r>
      <rPr>
        <sz val="11"/>
        <color theme="1"/>
        <rFont val="Calibri"/>
        <family val="2"/>
        <scheme val="minor"/>
      </rPr>
      <t>H</t>
    </r>
    <r>
      <rPr>
        <sz val="11"/>
        <color theme="1"/>
        <rFont val="Calibri"/>
        <family val="2"/>
      </rPr>
      <t>₅</t>
    </r>
    <r>
      <rPr>
        <sz val="11"/>
        <color theme="1"/>
        <rFont val="Calibri"/>
        <family val="2"/>
        <scheme val="minor"/>
      </rPr>
      <t>F</t>
    </r>
    <r>
      <rPr>
        <sz val="11"/>
        <color theme="1"/>
        <rFont val="Calibri"/>
        <family val="2"/>
      </rPr>
      <t>₃</t>
    </r>
    <r>
      <rPr>
        <sz val="11"/>
        <color theme="1"/>
        <rFont val="Calibri"/>
        <family val="2"/>
        <scheme val="minor"/>
      </rPr>
      <t>N</t>
    </r>
    <r>
      <rPr>
        <sz val="11"/>
        <color theme="1"/>
        <rFont val="Calibri"/>
        <family val="2"/>
      </rPr>
      <t>₄</t>
    </r>
    <r>
      <rPr>
        <sz val="11"/>
        <color theme="1"/>
        <rFont val="Calibri"/>
        <family val="2"/>
        <scheme val="minor"/>
      </rPr>
      <t>O</t>
    </r>
  </si>
  <si>
    <t>370-86-5</t>
  </si>
  <si>
    <t>50 mg/ml</t>
  </si>
  <si>
    <t>Niclosamide</t>
  </si>
  <si>
    <r>
      <t>C</t>
    </r>
    <r>
      <rPr>
        <sz val="11"/>
        <color theme="1"/>
        <rFont val="Calibri"/>
        <family val="2"/>
      </rPr>
      <t>₁₃</t>
    </r>
    <r>
      <rPr>
        <sz val="11"/>
        <color theme="1"/>
        <rFont val="Calibri"/>
        <family val="2"/>
        <scheme val="minor"/>
      </rPr>
      <t>H</t>
    </r>
    <r>
      <rPr>
        <sz val="11"/>
        <color theme="1"/>
        <rFont val="Calibri"/>
        <family val="2"/>
      </rPr>
      <t>₈</t>
    </r>
    <r>
      <rPr>
        <sz val="11"/>
        <color theme="1"/>
        <rFont val="Calibri"/>
        <family val="2"/>
        <scheme val="minor"/>
      </rPr>
      <t>Cl</t>
    </r>
    <r>
      <rPr>
        <sz val="11"/>
        <color theme="1"/>
        <rFont val="Calibri"/>
        <family val="2"/>
      </rPr>
      <t>₂</t>
    </r>
    <r>
      <rPr>
        <sz val="11"/>
        <color theme="1"/>
        <rFont val="Calibri"/>
        <family val="2"/>
        <scheme val="minor"/>
      </rPr>
      <t>N</t>
    </r>
    <r>
      <rPr>
        <sz val="11"/>
        <color theme="1"/>
        <rFont val="Calibri"/>
        <family val="2"/>
      </rPr>
      <t>₂</t>
    </r>
    <r>
      <rPr>
        <sz val="11"/>
        <color theme="1"/>
        <rFont val="Calibri"/>
        <family val="2"/>
        <scheme val="minor"/>
      </rPr>
      <t>O</t>
    </r>
    <r>
      <rPr>
        <sz val="11"/>
        <color theme="1"/>
        <rFont val="Calibri"/>
        <family val="2"/>
      </rPr>
      <t>₄</t>
    </r>
  </si>
  <si>
    <t>50-65-7</t>
  </si>
  <si>
    <t>3,26 mg/ml</t>
  </si>
  <si>
    <t>13,32 mg/l</t>
  </si>
  <si>
    <t>LC50 – Danio rerio (zebra fish) – 0.11 mg/l – 96 h</t>
  </si>
  <si>
    <t>EC50 – Daphnia magna (water flea) – 0.002 mg/l – 24 d</t>
  </si>
  <si>
    <t>Palmatine</t>
  </si>
  <si>
    <r>
      <t>C</t>
    </r>
    <r>
      <rPr>
        <sz val="11"/>
        <color theme="1"/>
        <rFont val="Calibri"/>
        <family val="2"/>
      </rPr>
      <t>₂₁</t>
    </r>
    <r>
      <rPr>
        <sz val="11"/>
        <color theme="1"/>
        <rFont val="Calibri"/>
        <family val="2"/>
        <scheme val="minor"/>
      </rPr>
      <t>H</t>
    </r>
    <r>
      <rPr>
        <sz val="11"/>
        <color theme="1"/>
        <rFont val="Calibri"/>
        <family val="2"/>
      </rPr>
      <t>₂₂</t>
    </r>
    <r>
      <rPr>
        <sz val="11"/>
        <color theme="1"/>
        <rFont val="Calibri"/>
        <family val="2"/>
        <scheme val="minor"/>
      </rPr>
      <t>NO</t>
    </r>
    <r>
      <rPr>
        <sz val="11"/>
        <color theme="1"/>
        <rFont val="Calibri"/>
        <family val="2"/>
      </rPr>
      <t>₄</t>
    </r>
  </si>
  <si>
    <t>3486-67-7</t>
  </si>
  <si>
    <t>77 mg/ml</t>
  </si>
  <si>
    <t>77 g/l</t>
  </si>
  <si>
    <t>2-8°C (Store in a well closed container. Protected from air and light)</t>
  </si>
  <si>
    <t>Pinacyanol chloride</t>
  </si>
  <si>
    <r>
      <t>C</t>
    </r>
    <r>
      <rPr>
        <sz val="11"/>
        <color theme="1"/>
        <rFont val="Calibri"/>
        <family val="2"/>
      </rPr>
      <t>₂₅</t>
    </r>
    <r>
      <rPr>
        <sz val="11"/>
        <color theme="1"/>
        <rFont val="Calibri"/>
        <family val="2"/>
        <scheme val="minor"/>
      </rPr>
      <t>H</t>
    </r>
    <r>
      <rPr>
        <sz val="11"/>
        <color theme="1"/>
        <rFont val="Calibri"/>
        <family val="2"/>
      </rPr>
      <t>₂₅</t>
    </r>
    <r>
      <rPr>
        <sz val="11"/>
        <color theme="1"/>
        <rFont val="Calibri"/>
        <family val="2"/>
        <scheme val="minor"/>
      </rPr>
      <t>ClN</t>
    </r>
    <r>
      <rPr>
        <sz val="11"/>
        <color theme="1"/>
        <rFont val="Calibri"/>
        <family val="2"/>
      </rPr>
      <t>₂</t>
    </r>
  </si>
  <si>
    <r>
      <rPr>
        <b/>
        <sz val="11"/>
        <color rgb="FFFF0000"/>
        <rFont val="Calibri"/>
        <family val="2"/>
        <scheme val="minor"/>
      </rPr>
      <t>605-91-4</t>
    </r>
    <r>
      <rPr>
        <sz val="11"/>
        <color rgb="FF4472C4"/>
        <rFont val="Calibri"/>
        <family val="2"/>
        <scheme val="minor"/>
      </rPr>
      <t xml:space="preserve">
2768-90-3</t>
    </r>
  </si>
  <si>
    <t>1 g/l</t>
  </si>
  <si>
    <t>Rhein</t>
  </si>
  <si>
    <r>
      <t>C</t>
    </r>
    <r>
      <rPr>
        <sz val="11"/>
        <color theme="1"/>
        <rFont val="Calibri"/>
        <family val="2"/>
      </rPr>
      <t>₁₅</t>
    </r>
    <r>
      <rPr>
        <sz val="11"/>
        <color theme="1"/>
        <rFont val="Calibri"/>
        <family val="2"/>
        <scheme val="minor"/>
      </rPr>
      <t>H</t>
    </r>
    <r>
      <rPr>
        <sz val="11"/>
        <color theme="1"/>
        <rFont val="Calibri"/>
        <family val="2"/>
      </rPr>
      <t>₈</t>
    </r>
    <r>
      <rPr>
        <sz val="11"/>
        <color theme="1"/>
        <rFont val="Calibri"/>
        <family val="2"/>
        <scheme val="minor"/>
      </rPr>
      <t>O</t>
    </r>
    <r>
      <rPr>
        <sz val="11"/>
        <color theme="1"/>
        <rFont val="Calibri"/>
        <family val="2"/>
      </rPr>
      <t>₆</t>
    </r>
  </si>
  <si>
    <t>478-43-3</t>
  </si>
  <si>
    <t>2 mg/L</t>
  </si>
  <si>
    <t>Rifampicin</t>
  </si>
  <si>
    <r>
      <t>C</t>
    </r>
    <r>
      <rPr>
        <sz val="11"/>
        <color theme="1"/>
        <rFont val="Calibri"/>
        <family val="2"/>
      </rPr>
      <t>₄₃</t>
    </r>
    <r>
      <rPr>
        <sz val="11"/>
        <color theme="1"/>
        <rFont val="Calibri"/>
        <family val="2"/>
        <scheme val="minor"/>
      </rPr>
      <t>H</t>
    </r>
    <r>
      <rPr>
        <sz val="11"/>
        <color theme="1"/>
        <rFont val="Calibri"/>
        <family val="2"/>
      </rPr>
      <t>₅₈</t>
    </r>
    <r>
      <rPr>
        <sz val="11"/>
        <color theme="1"/>
        <rFont val="Calibri"/>
        <family val="2"/>
        <scheme val="minor"/>
      </rPr>
      <t>N</t>
    </r>
    <r>
      <rPr>
        <sz val="11"/>
        <color theme="1"/>
        <rFont val="Calibri"/>
        <family val="2"/>
      </rPr>
      <t>₄</t>
    </r>
    <r>
      <rPr>
        <sz val="11"/>
        <color theme="1"/>
        <rFont val="Calibri"/>
        <family val="2"/>
        <scheme val="minor"/>
      </rPr>
      <t>O</t>
    </r>
    <r>
      <rPr>
        <sz val="11"/>
        <color theme="1"/>
        <rFont val="Calibri"/>
        <family val="2"/>
      </rPr>
      <t>₁₂</t>
    </r>
  </si>
  <si>
    <t>13292-46-1</t>
  </si>
  <si>
    <t>25 mg/ml</t>
  </si>
  <si>
    <t>1.3 mg/ml</t>
  </si>
  <si>
    <t>6,58 mg/L, predicted baseline toxicity 96h zebrafish</t>
  </si>
  <si>
    <t>EC50 Daphnia; 3300 mg/l</t>
  </si>
  <si>
    <t>Rifapentine</t>
  </si>
  <si>
    <r>
      <t>C</t>
    </r>
    <r>
      <rPr>
        <sz val="11"/>
        <color theme="1"/>
        <rFont val="Calibri"/>
        <family val="2"/>
      </rPr>
      <t>₄₇</t>
    </r>
    <r>
      <rPr>
        <sz val="11"/>
        <color theme="1"/>
        <rFont val="Calibri"/>
        <family val="2"/>
        <scheme val="minor"/>
      </rPr>
      <t>H</t>
    </r>
    <r>
      <rPr>
        <sz val="11"/>
        <color theme="1"/>
        <rFont val="Calibri"/>
        <family val="2"/>
      </rPr>
      <t>₆₄</t>
    </r>
    <r>
      <rPr>
        <sz val="11"/>
        <color theme="1"/>
        <rFont val="Calibri"/>
        <family val="2"/>
        <scheme val="minor"/>
      </rPr>
      <t>N</t>
    </r>
    <r>
      <rPr>
        <sz val="11"/>
        <color theme="1"/>
        <rFont val="Calibri"/>
        <family val="2"/>
      </rPr>
      <t>₄</t>
    </r>
    <r>
      <rPr>
        <sz val="11"/>
        <color theme="1"/>
        <rFont val="Calibri"/>
        <family val="2"/>
        <scheme val="minor"/>
      </rPr>
      <t>O</t>
    </r>
    <r>
      <rPr>
        <sz val="11"/>
        <color theme="1"/>
        <rFont val="Calibri"/>
        <family val="2"/>
      </rPr>
      <t>₁₂</t>
    </r>
  </si>
  <si>
    <t>61379-65-5</t>
  </si>
  <si>
    <t>100 mg/ml</t>
  </si>
  <si>
    <t>Fish toxicity (LC50): &gt; 100 mg/l
Species: Danio rerio
Exposure duration: 96 h</t>
  </si>
  <si>
    <t xml:space="preserve">Toxicity on invertebrates (EC50): 3,300 mg/l
Species: Daphnia magna
Exposure duration: 48 h </t>
  </si>
  <si>
    <t>Rotenone</t>
  </si>
  <si>
    <r>
      <t>C</t>
    </r>
    <r>
      <rPr>
        <sz val="11"/>
        <color theme="1"/>
        <rFont val="Calibri"/>
        <family val="2"/>
      </rPr>
      <t>₂₃</t>
    </r>
    <r>
      <rPr>
        <sz val="11"/>
        <color theme="1"/>
        <rFont val="Calibri"/>
        <family val="2"/>
        <scheme val="minor"/>
      </rPr>
      <t>H</t>
    </r>
    <r>
      <rPr>
        <sz val="11"/>
        <color theme="1"/>
        <rFont val="Calibri"/>
        <family val="2"/>
      </rPr>
      <t>₂₂</t>
    </r>
    <r>
      <rPr>
        <sz val="11"/>
        <color theme="1"/>
        <rFont val="Calibri"/>
        <family val="2"/>
        <scheme val="minor"/>
      </rPr>
      <t>O</t>
    </r>
    <r>
      <rPr>
        <sz val="11"/>
        <color theme="1"/>
        <rFont val="Calibri"/>
        <family val="2"/>
      </rPr>
      <t>₆</t>
    </r>
  </si>
  <si>
    <t>83-79-4</t>
  </si>
  <si>
    <t>0,5 mg/ml</t>
  </si>
  <si>
    <t>LC50 - Carassius auratus (goldfish) - 0,41 - 0,6 mg/l - 96 h Remarks: (External MSDS)</t>
  </si>
  <si>
    <t>EC50 - Daphnia pulex (Water flea) - 0,074 - 0,134 mg/l - 48 h
Remarks: (External MSDS)</t>
  </si>
  <si>
    <r>
      <t>Room temperature (</t>
    </r>
    <r>
      <rPr>
        <sz val="11"/>
        <color rgb="FFFF0000"/>
        <rFont val="Calibri"/>
        <family val="2"/>
        <scheme val="minor"/>
      </rPr>
      <t>Air sensitive. Light sensitive</t>
    </r>
    <r>
      <rPr>
        <sz val="11"/>
        <color theme="1"/>
        <rFont val="Calibri"/>
        <family val="2"/>
        <scheme val="minor"/>
      </rPr>
      <t>)</t>
    </r>
  </si>
  <si>
    <t>Thidiazuron</t>
  </si>
  <si>
    <r>
      <t>C</t>
    </r>
    <r>
      <rPr>
        <sz val="11"/>
        <color theme="1"/>
        <rFont val="Calibri"/>
        <family val="2"/>
      </rPr>
      <t>₉</t>
    </r>
    <r>
      <rPr>
        <sz val="11"/>
        <color theme="1"/>
        <rFont val="Calibri"/>
        <family val="2"/>
        <scheme val="minor"/>
      </rPr>
      <t>H</t>
    </r>
    <r>
      <rPr>
        <sz val="11"/>
        <color theme="1"/>
        <rFont val="Calibri"/>
        <family val="2"/>
      </rPr>
      <t>₈</t>
    </r>
    <r>
      <rPr>
        <sz val="11"/>
        <color theme="1"/>
        <rFont val="Calibri"/>
        <family val="2"/>
        <scheme val="minor"/>
      </rPr>
      <t>N</t>
    </r>
    <r>
      <rPr>
        <sz val="11"/>
        <color theme="1"/>
        <rFont val="Calibri"/>
        <family val="2"/>
      </rPr>
      <t>₄</t>
    </r>
    <r>
      <rPr>
        <sz val="11"/>
        <color theme="1"/>
        <rFont val="Calibri"/>
        <family val="2"/>
        <scheme val="minor"/>
      </rPr>
      <t>OS</t>
    </r>
  </si>
  <si>
    <t>51707-55-2</t>
  </si>
  <si>
    <t>&gt;500 mg/ml</t>
  </si>
  <si>
    <t>LC50 - Oncorhynchus mykiss (rainbow trout) - &gt; 19 mg/l - 96 h</t>
  </si>
  <si>
    <t>EC50 - Daphnia magna (Water flea) - 10 mg/l - 48 h</t>
  </si>
  <si>
    <t>Triclocarban</t>
  </si>
  <si>
    <r>
      <t>C</t>
    </r>
    <r>
      <rPr>
        <sz val="11"/>
        <color rgb="FFFF0000"/>
        <rFont val="Calibri"/>
        <family val="2"/>
      </rPr>
      <t>₁₃</t>
    </r>
    <r>
      <rPr>
        <sz val="11"/>
        <color rgb="FFFF0000"/>
        <rFont val="Calibri"/>
        <family val="2"/>
        <scheme val="minor"/>
      </rPr>
      <t>H</t>
    </r>
    <r>
      <rPr>
        <sz val="11"/>
        <color rgb="FFFF0000"/>
        <rFont val="Calibri"/>
        <family val="2"/>
      </rPr>
      <t>₉</t>
    </r>
    <r>
      <rPr>
        <sz val="11"/>
        <color rgb="FFFF0000"/>
        <rFont val="Calibri"/>
        <family val="2"/>
        <scheme val="minor"/>
      </rPr>
      <t>Cl</t>
    </r>
    <r>
      <rPr>
        <sz val="11"/>
        <color rgb="FFFF0000"/>
        <rFont val="Calibri"/>
        <family val="2"/>
      </rPr>
      <t>₃</t>
    </r>
    <r>
      <rPr>
        <sz val="11"/>
        <color rgb="FFFF0000"/>
        <rFont val="Calibri"/>
        <family val="2"/>
        <scheme val="minor"/>
      </rPr>
      <t>N</t>
    </r>
    <r>
      <rPr>
        <sz val="11"/>
        <color rgb="FFFF0000"/>
        <rFont val="Calibri"/>
        <family val="2"/>
      </rPr>
      <t>₂</t>
    </r>
    <r>
      <rPr>
        <sz val="11"/>
        <color rgb="FFFF0000"/>
        <rFont val="Calibri"/>
        <family val="2"/>
        <scheme val="minor"/>
      </rPr>
      <t>O</t>
    </r>
  </si>
  <si>
    <t>63 mg/ml</t>
  </si>
  <si>
    <t>Environmentally hazardous substance, solid, n.o.s. (1-(4-Chloro-phenyl)-3-(3,4-dichloro-phenyl)-urea)</t>
  </si>
  <si>
    <t>Strong oxidizing agents, Strong bases</t>
  </si>
  <si>
    <t>Avoid formation of dust and aerosols. Store in cool place. Keep container tightly closed in a dry and well-ventilated place.</t>
  </si>
  <si>
    <t>Triethyltin bromide</t>
  </si>
  <si>
    <r>
      <t>C</t>
    </r>
    <r>
      <rPr>
        <sz val="11"/>
        <color theme="1"/>
        <rFont val="Calibri"/>
        <family val="2"/>
      </rPr>
      <t>₆</t>
    </r>
    <r>
      <rPr>
        <sz val="11"/>
        <color theme="1"/>
        <rFont val="Calibri"/>
        <family val="2"/>
        <scheme val="minor"/>
      </rPr>
      <t>H</t>
    </r>
    <r>
      <rPr>
        <sz val="11"/>
        <color theme="1"/>
        <rFont val="Calibri"/>
        <family val="2"/>
      </rPr>
      <t>₁₅</t>
    </r>
    <r>
      <rPr>
        <sz val="11"/>
        <color theme="1"/>
        <rFont val="Calibri"/>
        <family val="2"/>
        <scheme val="minor"/>
      </rPr>
      <t>BrSn</t>
    </r>
  </si>
  <si>
    <t>2767-54-6</t>
  </si>
  <si>
    <t>&gt; 100 g/L</t>
  </si>
  <si>
    <t>0.69 g/L
5 - 10 g/L</t>
  </si>
  <si>
    <t>Organotin compound, liquid, n.o.s. (Triethyltin bromide)</t>
  </si>
  <si>
    <t>LC50 - Oryzias latipes - 0,75 mg/l - 48,0 h</t>
  </si>
  <si>
    <t>EC50 - Daphnia magna (Water flea) - 0,26 mg/l - 24 h</t>
  </si>
  <si>
    <t>Room temperature (Moisture sensitive)</t>
  </si>
  <si>
    <t>Keep container tightly closed in a dry and well-ventilated place. Avoid contact with skin and eyes. Avoid inhalation of vapor or mist.
Containers which are opened must be carefully resealed and kept upright to prevent leakage.</t>
  </si>
  <si>
    <t>N-(hydroxymethyl)methacrylamide</t>
  </si>
  <si>
    <t>923-02-4</t>
  </si>
  <si>
    <t>600 g/L</t>
  </si>
  <si>
    <t>LC50 - Leuciscus idus (96h) - 142.5 - 285 mg/l</t>
  </si>
  <si>
    <t>EC50 - Daphnia magna (Water flea) - &gt; 75 mg/l - 48 h</t>
  </si>
  <si>
    <t>N-(methoxymethyl)methacrylamide</t>
  </si>
  <si>
    <t>3644-12-0</t>
  </si>
  <si>
    <t>Effect concentration (from EPISUITE): 43.13 mg/L</t>
  </si>
  <si>
    <t>EC50 - Daphnia magna (Water flea) 48h: &gt;100 mg/l
From EPISUITE: EC50=109.632 mg/L</t>
  </si>
  <si>
    <t>N-(butoxymethyl)methacrylamide</t>
  </si>
  <si>
    <t>5153-77-5</t>
  </si>
  <si>
    <t>LC50 - Poecilia reticulata - &gt;100 mg/l - 96h
From EPISUITE: 8904 mg/l</t>
  </si>
  <si>
    <t>EC50 - Daphnia magna (Water flea) 48h: &gt;100 mg/l
From EPISUITE: EC50= 23.686  mg/L</t>
  </si>
  <si>
    <t>2º case study chemicals (steatosis)</t>
  </si>
  <si>
    <t>HC yellow 13</t>
  </si>
  <si>
    <t>PTX057</t>
  </si>
  <si>
    <t>C9H9F3N2O3</t>
  </si>
  <si>
    <t>10442-83-8</t>
  </si>
  <si>
    <t>0.506 g/L</t>
  </si>
  <si>
    <t>Environmentally hazardous substance, solid, n.o.s. (HC Yellow 13)</t>
  </si>
  <si>
    <t>Hazardous Decomposition Products: In combustion emits toxic fumes of carbon dioxide / carbon monoxide, nitrogen oxides and of hydrogen fluoride</t>
  </si>
  <si>
    <t>Keep container tightly closed. Store in cool, well ventilated area.</t>
  </si>
  <si>
    <t>Tamoxifen</t>
  </si>
  <si>
    <t>PTX058</t>
  </si>
  <si>
    <t>C26H29NO</t>
  </si>
  <si>
    <t>10540-29-1</t>
  </si>
  <si>
    <t>Environmentally hazardous substance, solid, n.o.s. (Tamoxifen)</t>
  </si>
  <si>
    <t>LC50 - Oncorhynchus mykiss (rainbow trout) - 0,41 mg/l - 96 h</t>
  </si>
  <si>
    <t>0.21 - 1.53 mg/L (Dellagreca et al., 2007;Orias et al., 2015a)</t>
  </si>
  <si>
    <r>
      <t xml:space="preserve">2 - 8 °C
</t>
    </r>
    <r>
      <rPr>
        <b/>
        <sz val="11"/>
        <color theme="1"/>
        <rFont val="Calibri"/>
        <family val="2"/>
        <scheme val="minor"/>
      </rPr>
      <t>(&lt;-15  °C based on manufaturer info)</t>
    </r>
    <r>
      <rPr>
        <sz val="11"/>
        <color theme="1"/>
        <rFont val="Calibri"/>
        <family val="2"/>
        <scheme val="minor"/>
      </rPr>
      <t xml:space="preserve">
Light sensitive</t>
    </r>
  </si>
  <si>
    <t>Keep container tightly closed in a dry and well-ventilated place. Store in cool place</t>
  </si>
  <si>
    <t>N,N‐Dimethylacetamide</t>
  </si>
  <si>
    <t>PTX059</t>
  </si>
  <si>
    <t>DMA</t>
  </si>
  <si>
    <t>C4H9NO</t>
  </si>
  <si>
    <t>127-19-5</t>
  </si>
  <si>
    <t>1.000 g/l (completely miscible)</t>
  </si>
  <si>
    <t>static test LC50 - Leuciscus idus (Golden orfe) - &gt; 500 mg/l - 96 h</t>
  </si>
  <si>
    <t>static test EC50 - Daphnia magna (Water flea) - &gt; 500 mg/l - 48 h</t>
  </si>
  <si>
    <t>In the event of fire, special hazards arising from the substance or mixture: Carbon oxides, Nitrogen oxides (NOx), Combustible, Vapors are heavier than air and may spread along floors.
Forms explosive mixtures with air on intense heating. Risk of dust explosion.</t>
  </si>
  <si>
    <t>Various plastics</t>
  </si>
  <si>
    <r>
      <t xml:space="preserve">Tightly closed. Keep in a well-ventilated place. Keep locked up or in an area accessible only to qualified or authorized persons.
</t>
    </r>
    <r>
      <rPr>
        <sz val="11"/>
        <color rgb="FFFF0000"/>
        <rFont val="Calibri"/>
        <family val="2"/>
        <scheme val="minor"/>
      </rPr>
      <t>Store under inert gas. Hygroscopic.</t>
    </r>
  </si>
  <si>
    <t>Atrazine</t>
  </si>
  <si>
    <t>PTX060</t>
  </si>
  <si>
    <t>ATZ</t>
  </si>
  <si>
    <t>C8H14ClN5</t>
  </si>
  <si>
    <t>1912-24-9</t>
  </si>
  <si>
    <t>20 g/l</t>
  </si>
  <si>
    <t>0.07 g/L</t>
  </si>
  <si>
    <t>Environmentally hazardous substance, solid, n.o.s. (2-Chloro-4-ethylamine-6- isopropylamine-1,3,5-triazine)</t>
  </si>
  <si>
    <t>EC50 &gt; 29 mg/L</t>
  </si>
  <si>
    <t>36.5 mg/L (48h; Daphnia pulex)</t>
  </si>
  <si>
    <t>Special hazards arising from the substance or mixture in the event of fire: Carbon oxides, Nitrogen oxides (NOx), Hydrogen chloride gas</t>
  </si>
  <si>
    <t>Strong acids, Strong bases, Strong oxidizing agents</t>
  </si>
  <si>
    <t>p(1)-b</t>
  </si>
  <si>
    <t>Imazalil</t>
  </si>
  <si>
    <t>PTX061</t>
  </si>
  <si>
    <t>C14H14Cl2N2O</t>
  </si>
  <si>
    <t>35554-44-0</t>
  </si>
  <si>
    <t>59-100 g/L</t>
  </si>
  <si>
    <t>0.2-20 g/L?</t>
  </si>
  <si>
    <t>Toxic solid, organic, n.o.s. (Imazalil)</t>
  </si>
  <si>
    <t>6.96 - 9.08 mg/l (sol. 500 g/L)
2.75 mg/L for zebra fish (Danio rerio)</t>
  </si>
  <si>
    <t>6.86 mg/l (sol. 500 g/L)
EC50 (48 h) of 3.5 mg/l</t>
  </si>
  <si>
    <r>
      <t xml:space="preserve">2 - 8 °C
</t>
    </r>
    <r>
      <rPr>
        <b/>
        <sz val="11"/>
        <color theme="1"/>
        <rFont val="Calibri"/>
        <family val="2"/>
        <scheme val="minor"/>
      </rPr>
      <t>(-20  °C based on manufaturer info)</t>
    </r>
  </si>
  <si>
    <t>Hazardous decomposition products formed under fire conditions. - Carbon oxides, Nitrogen oxides (NOx), Hydrogen chloride gas</t>
  </si>
  <si>
    <r>
      <t xml:space="preserve">Keep container tightly closed in a dry and well-ventilated place. Store in cool place. 
</t>
    </r>
    <r>
      <rPr>
        <sz val="11"/>
        <color rgb="FFFF0000"/>
        <rFont val="Calibri"/>
        <family val="2"/>
        <scheme val="minor"/>
      </rPr>
      <t>Moisture sensitive. Store under argon.</t>
    </r>
  </si>
  <si>
    <t>Cyclosporin A</t>
  </si>
  <si>
    <t>PTX062</t>
  </si>
  <si>
    <t>C62H111N11O12</t>
  </si>
  <si>
    <t>59865-13-3</t>
  </si>
  <si>
    <t>3-100 g/L</t>
  </si>
  <si>
    <t>0.0286 g/l</t>
  </si>
  <si>
    <t>2-100 mg/L</t>
  </si>
  <si>
    <t>EC50 0.8753 mg/L (predicted)</t>
  </si>
  <si>
    <r>
      <t xml:space="preserve">2 - 8 °C
</t>
    </r>
    <r>
      <rPr>
        <b/>
        <sz val="11"/>
        <color theme="1"/>
        <rFont val="Calibri"/>
        <family val="2"/>
        <scheme val="minor"/>
      </rPr>
      <t>(&lt;-15  °C based on manufaturer info)</t>
    </r>
  </si>
  <si>
    <t>Tetracycline
(Tetracycline hydrochloride)</t>
  </si>
  <si>
    <t>PTX063</t>
  </si>
  <si>
    <t>C22H24N2O8 · HCl</t>
  </si>
  <si>
    <t>60-54-8
(64-75-5)</t>
  </si>
  <si>
    <t>89-125 g/L</t>
  </si>
  <si>
    <t>1.7 g/l</t>
  </si>
  <si>
    <t>LC50 759.71 mg/L</t>
  </si>
  <si>
    <r>
      <t>EC50 (Anabaena flos-aquae (</t>
    </r>
    <r>
      <rPr>
        <sz val="11"/>
        <color rgb="FFFF0000"/>
        <rFont val="Calibri"/>
        <family val="2"/>
        <scheme val="minor"/>
      </rPr>
      <t>cyanobacterium</t>
    </r>
    <r>
      <rPr>
        <sz val="11"/>
        <color theme="1"/>
        <rFont val="Calibri"/>
        <family val="2"/>
        <scheme val="minor"/>
      </rPr>
      <t>)): 6,2 mg/l</t>
    </r>
  </si>
  <si>
    <r>
      <t xml:space="preserve">2 - 8 °C
</t>
    </r>
    <r>
      <rPr>
        <b/>
        <sz val="11"/>
        <color theme="1"/>
        <rFont val="Calibri"/>
        <family val="2"/>
        <scheme val="minor"/>
      </rPr>
      <t>(&lt;0 °C based on manufaturer info)</t>
    </r>
    <r>
      <rPr>
        <sz val="11"/>
        <color theme="1"/>
        <rFont val="Calibri"/>
        <family val="2"/>
        <scheme val="minor"/>
      </rPr>
      <t xml:space="preserve">
Light sensitive</t>
    </r>
  </si>
  <si>
    <r>
      <t xml:space="preserve">Tightly closed. Dry.
</t>
    </r>
    <r>
      <rPr>
        <sz val="11"/>
        <color rgb="FFFF0000"/>
        <rFont val="Calibri"/>
        <family val="2"/>
        <scheme val="minor"/>
      </rPr>
      <t>Hygroscopic. Light sensitive</t>
    </r>
  </si>
  <si>
    <t>Toluene-2,5-diamine (sulphate)</t>
  </si>
  <si>
    <t>PTX064</t>
  </si>
  <si>
    <t>C7H12N2O4S</t>
  </si>
  <si>
    <t>615-50-9</t>
  </si>
  <si>
    <t>5-15 g/l</t>
  </si>
  <si>
    <t>5.03 g/L</t>
  </si>
  <si>
    <t>Toxic solid, organic, n.o.s</t>
  </si>
  <si>
    <t>flow-through test LC50 - Danio rerio (zebra fish) - 1,08 mg/l - 96 h</t>
  </si>
  <si>
    <t>static test EC50 - Daphnia magna (Water flea) - 1,19 mg/l - 48 h</t>
  </si>
  <si>
    <t>Development of hazardous combustion gases or vapours possible in the event of fire: Carbon dioxide, Carbon monoxide, Nitrogen oxides (NOx), Sulfur oxides</t>
  </si>
  <si>
    <t>Oxidizing agents</t>
  </si>
  <si>
    <t>Keep container tightly closed. Store in a cool and dark place. Store locked up.</t>
  </si>
  <si>
    <t>N,N-Dimethylformamide</t>
  </si>
  <si>
    <t>PTX065</t>
  </si>
  <si>
    <t>DMF</t>
  </si>
  <si>
    <t>C3H7NO</t>
  </si>
  <si>
    <t>68-12-2</t>
  </si>
  <si>
    <t>flow-through test LC50 - Lepomis macrochirus (Bluegill sunfish) - 7.100 mg/l - 96 h</t>
  </si>
  <si>
    <t>static test EC50 - Daphnia magna (Water flea) - 13.100 mg/l - 48 h</t>
  </si>
  <si>
    <t>Development of hazardous combustion gases or vapours possible in the event of fire: Carbon oxides, Nitrogen oxides (NOx).
Vapors are heavier than air and may spread along floors.
Forms explosive mixtures with air at elevated temperatures.</t>
  </si>
  <si>
    <t>Various plastics, Copper, Copper alloys, Tin</t>
  </si>
  <si>
    <r>
      <t xml:space="preserve">Keep container tightly closed in a dry and well-ventilated place. Keep away from heat and sources of ignition. Keep locked up or in an area accessible only to qualified or authorized persons.
</t>
    </r>
    <r>
      <rPr>
        <sz val="11"/>
        <color rgb="FFFF0000"/>
        <rFont val="Calibri"/>
        <family val="2"/>
        <scheme val="minor"/>
      </rPr>
      <t>Handle and store under inert gas.</t>
    </r>
  </si>
  <si>
    <t>N,N'-bis-(2-hydroxyethyl)-2-nitro-p-phenylenediamine</t>
  </si>
  <si>
    <t>PTX066</t>
  </si>
  <si>
    <r>
      <t>C</t>
    </r>
    <r>
      <rPr>
        <sz val="8"/>
        <color theme="4"/>
        <rFont val="Arial"/>
        <family val="2"/>
      </rPr>
      <t>9</t>
    </r>
    <r>
      <rPr>
        <sz val="11"/>
        <color theme="4"/>
        <rFont val="Arial"/>
        <family val="2"/>
      </rPr>
      <t>H</t>
    </r>
    <r>
      <rPr>
        <sz val="8"/>
        <color theme="4"/>
        <rFont val="Arial"/>
        <family val="2"/>
      </rPr>
      <t>12</t>
    </r>
    <r>
      <rPr>
        <sz val="11"/>
        <color theme="4"/>
        <rFont val="Arial"/>
        <family val="2"/>
      </rPr>
      <t>N</t>
    </r>
    <r>
      <rPr>
        <sz val="8"/>
        <color theme="4"/>
        <rFont val="Arial"/>
        <family val="2"/>
      </rPr>
      <t>2</t>
    </r>
    <r>
      <rPr>
        <sz val="11"/>
        <color theme="4"/>
        <rFont val="Arial"/>
        <family val="2"/>
      </rPr>
      <t>O</t>
    </r>
    <r>
      <rPr>
        <sz val="8"/>
        <color theme="4"/>
        <rFont val="Arial"/>
        <family val="2"/>
      </rPr>
      <t>3</t>
    </r>
  </si>
  <si>
    <t>84041-77-0</t>
  </si>
  <si>
    <t>7.5 g/l</t>
  </si>
  <si>
    <t>&gt;100 g/l</t>
  </si>
  <si>
    <t>Development of hazardous combustion gases or vapours possible in the event of fire</t>
  </si>
  <si>
    <r>
      <t xml:space="preserve">Strong oxidizing agents
</t>
    </r>
    <r>
      <rPr>
        <sz val="11"/>
        <color rgb="FFFF0000"/>
        <rFont val="Calibri"/>
        <family val="2"/>
        <scheme val="minor"/>
      </rPr>
      <t>Light sensitive</t>
    </r>
    <r>
      <rPr>
        <sz val="11"/>
        <color theme="1"/>
        <rFont val="Calibri"/>
        <family val="2"/>
        <scheme val="minor"/>
      </rPr>
      <t xml:space="preserve"> (based on manufacturer's info)</t>
    </r>
  </si>
  <si>
    <t>Keep container tightly closed in a dry and well-ventilated area. Containers which are opened must be carefully resealed and kept upright to prevent leakage.Keep in dark place, Sealed in dry.</t>
  </si>
  <si>
    <t>Cyproconazole</t>
  </si>
  <si>
    <t>PTX067</t>
  </si>
  <si>
    <t>C15H18ClN3O</t>
  </si>
  <si>
    <t>94361-06-5</t>
  </si>
  <si>
    <t>'soluble' (18-180 g/L?)</t>
  </si>
  <si>
    <t>93 mg/L</t>
  </si>
  <si>
    <t>Toxic solid, organic, n.o.s. (Cyproconazole)</t>
  </si>
  <si>
    <t>LC50 - Oncorhynchus mykiss (rainbow trout) - 19 mg/l - 96,0 h</t>
  </si>
  <si>
    <t>Development of hazardous combustion gases or vapours possible in the event of fire: Carbon oxides, Nitrogen oxides (NOx), Hydrogen chloride gas</t>
  </si>
  <si>
    <t>o-Aminophenol</t>
  </si>
  <si>
    <t>PTX068</t>
  </si>
  <si>
    <t>C6H7NO</t>
  </si>
  <si>
    <t>95-55-6</t>
  </si>
  <si>
    <t>17 g/L</t>
  </si>
  <si>
    <t>Aminophenols</t>
  </si>
  <si>
    <t>LC50 - Leuciscus idus (Golden orfe) - 0,1 mg/l</t>
  </si>
  <si>
    <t>EC50 - Daphnia magna (Water flea) - 35 mg/l - 24 h</t>
  </si>
  <si>
    <t>Strong oxidizing agents, acids, Acid anhydrides, Acid chlorides, Chloroformates</t>
  </si>
  <si>
    <t>Tigecycline </t>
  </si>
  <si>
    <t>PTX069</t>
  </si>
  <si>
    <t>C22H24N2O8</t>
  </si>
  <si>
    <t>220620-09-7</t>
  </si>
  <si>
    <t>&gt; 3 g/L</t>
  </si>
  <si>
    <t>0.45 g/L</t>
  </si>
  <si>
    <t>Environmentally hazardous substance, solid, n.o.s. (TIGECYCLINE)</t>
  </si>
  <si>
    <t>EC50 - Daphnia magna (Water flea) - 2 mg/l - 48 h</t>
  </si>
  <si>
    <t>Development of hazardous combustion gases or vapours possible in the event of fire: Nature of decomposition products not known</t>
  </si>
  <si>
    <r>
      <t xml:space="preserve">Strong oxidizing agents
</t>
    </r>
    <r>
      <rPr>
        <sz val="11"/>
        <color rgb="FFFF0000"/>
        <rFont val="Calibri"/>
        <family val="2"/>
        <scheme val="minor"/>
      </rPr>
      <t>Light sensitive (based on manufacturer's info)</t>
    </r>
  </si>
  <si>
    <t>Tightly closed. Dry. Keep in a well-ventilated place. Keep locked up or in an area accessible only to qualified or authorized persons</t>
  </si>
  <si>
    <t>Rotenone  </t>
  </si>
  <si>
    <t>PTX070</t>
  </si>
  <si>
    <t>C23H22O6</t>
  </si>
  <si>
    <t xml:space="preserve"> 0.1 g/L</t>
  </si>
  <si>
    <t>Toxic solid, organic, n.o.s. ((-)-Rotenone)</t>
  </si>
  <si>
    <t>LC50 - Carassius auratus (goldfish) - 0,41 - 0,6 mg/l - 96 h</t>
  </si>
  <si>
    <t>EC50 - Daphnia pulex (Water flea) - 0,074 - 0,134 mg/l - 48 h</t>
  </si>
  <si>
    <r>
      <t xml:space="preserve">Room temperature
</t>
    </r>
    <r>
      <rPr>
        <sz val="11"/>
        <color rgb="FFFF0000"/>
        <rFont val="Calibri"/>
        <family val="2"/>
        <scheme val="minor"/>
      </rPr>
      <t>Light sensitive</t>
    </r>
  </si>
  <si>
    <t>Development of hazardous combustion gases or vapours possible in the event of fire: Carbon oxides
Risk of dust explosion.</t>
  </si>
  <si>
    <t>Air sensitive. Light sensitive.</t>
  </si>
  <si>
    <t>T-butyl hydroperoxide  </t>
  </si>
  <si>
    <t>PTX071</t>
  </si>
  <si>
    <t>C4H10O2</t>
  </si>
  <si>
    <t>75-91-2</t>
  </si>
  <si>
    <t>691 g/L</t>
  </si>
  <si>
    <t>5.2</t>
  </si>
  <si>
    <t>Organic peroxide type F, liquid (tert-Butyl hydroperoxide) 
Special Provisions: “Keep away from heat” label required.</t>
  </si>
  <si>
    <t>29.61 mg/L</t>
  </si>
  <si>
    <t>14.07 mg/L</t>
  </si>
  <si>
    <r>
      <t xml:space="preserve">Development of hazardous combustion gases or vapours possible in the event of fire: Carbon oxides
Vapors are heavier than air and may spread along floors.
</t>
    </r>
    <r>
      <rPr>
        <sz val="11"/>
        <color rgb="FFFF0000"/>
        <rFont val="Calibri"/>
        <family val="2"/>
        <scheme val="minor"/>
      </rPr>
      <t>Forms explosive mixtures with air at elevated temperatures.</t>
    </r>
  </si>
  <si>
    <t>Powdered metals, Organic materials
Strong oxidizing agents</t>
  </si>
  <si>
    <t>Tightly closed. Keep locked up or in an area accessible only to qualified or authorized persons. Separately or together with other organic peroxides only and away from sources of ignition and heat</t>
  </si>
  <si>
    <t>Polychlorinated biphenyl (PCB nº28)</t>
  </si>
  <si>
    <t>PTX073</t>
  </si>
  <si>
    <r>
      <t>C</t>
    </r>
    <r>
      <rPr>
        <vertAlign val="subscript"/>
        <sz val="11"/>
        <color theme="4"/>
        <rFont val="Calibri"/>
        <family val="2"/>
        <scheme val="minor"/>
      </rPr>
      <t>12</t>
    </r>
    <r>
      <rPr>
        <sz val="11"/>
        <color theme="4"/>
        <rFont val="Calibri"/>
        <family val="2"/>
        <scheme val="minor"/>
      </rPr>
      <t>H</t>
    </r>
    <r>
      <rPr>
        <vertAlign val="subscript"/>
        <sz val="11"/>
        <color theme="4"/>
        <rFont val="Calibri"/>
        <family val="2"/>
        <scheme val="minor"/>
      </rPr>
      <t>7</t>
    </r>
    <r>
      <rPr>
        <sz val="11"/>
        <color theme="4"/>
        <rFont val="Calibri"/>
        <family val="2"/>
        <scheme val="minor"/>
      </rPr>
      <t>Cl</t>
    </r>
    <r>
      <rPr>
        <vertAlign val="subscript"/>
        <sz val="11"/>
        <color theme="4"/>
        <rFont val="Calibri"/>
        <family val="2"/>
        <scheme val="minor"/>
      </rPr>
      <t>3</t>
    </r>
  </si>
  <si>
    <t>7012-37-5</t>
  </si>
  <si>
    <t>0.27 mg/L</t>
  </si>
  <si>
    <t>Polychlorinated biphenyls, solid</t>
  </si>
  <si>
    <t>LC50 - Pimephales promelas (fathead minnow) - &gt; 0,16 mg/l - 96,0h</t>
  </si>
  <si>
    <t>EC50 - Daphnia magna (Water flea) - &gt; 0,16 mg/l - 48 h</t>
  </si>
  <si>
    <t>Hazardous decomposition products in the event of fire: Carbon oxides, Hydrogen chloride gas</t>
  </si>
  <si>
    <t>Toluene (aka: toluol)</t>
  </si>
  <si>
    <t>C7H8</t>
  </si>
  <si>
    <t>108-88-3</t>
  </si>
  <si>
    <t>0,58 g/l</t>
  </si>
  <si>
    <t>LC50 - Oncorhynchus kisutch (coho salmon) - 5,5 mg/l - 96 h</t>
  </si>
  <si>
    <t>EC50 - Ceriodaphnia dubia (water flea) - 3,78 mg/l - 48 h</t>
  </si>
  <si>
    <t>Keep container tightly closed in a dry and well-ventilated place. Keep away from heat and sources of ignition. Handle and store under inert gas.</t>
  </si>
  <si>
    <t>Thiacloprid</t>
  </si>
  <si>
    <t>C10H9ClN4S</t>
  </si>
  <si>
    <t>111988-49-9</t>
  </si>
  <si>
    <t>0,184 g/l</t>
  </si>
  <si>
    <t>Toxic solid, organic, n.o.s. (Thiacloprid) Passenger Aircraft: Not permitted for transport Cargo Aircraft: Not permitted for transpor</t>
  </si>
  <si>
    <t>static test LC50 - Lepomis macrochirus (Bluegill) - 25,2 mg/l - 96 h</t>
  </si>
  <si>
    <t>static test EC50 - other microorganisms - 0,006 mg/l - 48 h</t>
  </si>
  <si>
    <t>Vetiveryl acetate</t>
  </si>
  <si>
    <r>
      <rPr>
        <sz val="11"/>
        <color rgb="FFFF0000"/>
        <rFont val="Calibri"/>
        <family val="2"/>
        <scheme val="minor"/>
      </rPr>
      <t>117-98-6</t>
    </r>
    <r>
      <rPr>
        <sz val="11"/>
        <color theme="1"/>
        <rFont val="Calibri"/>
        <family val="2"/>
        <scheme val="minor"/>
      </rPr>
      <t xml:space="preserve">
62563-80-8 </t>
    </r>
  </si>
  <si>
    <t>Cetylpyridinium chloride (anhydrous)</t>
  </si>
  <si>
    <t>123-03-5
6004-24-6</t>
  </si>
  <si>
    <t>static test LC50 - Oncorhynchus mykiss (rainbow trout) - 0,16 mg/l - 96 h</t>
  </si>
  <si>
    <t>semi-static test EC50 - Daphnia magna (Water flea) - 0,0041 mg/l - 48 h</t>
  </si>
  <si>
    <t>2-Ethylhexyl diphenyl phosphate</t>
  </si>
  <si>
    <t>1241-94-7</t>
  </si>
  <si>
    <t>Fish: 48h LC50: 17.7 mg/L (Oryzias latipes)</t>
  </si>
  <si>
    <t>48-h EC50: 0.38 mg/L</t>
  </si>
  <si>
    <t>Tetrachloroethylene (aka: perchloroethylene: PERC/PCE)</t>
  </si>
  <si>
    <t>127-18-4</t>
  </si>
  <si>
    <t>LC50 - Oncorhynchus mykiss (rainbow trout) - 5 mg/l - 96 h</t>
  </si>
  <si>
    <t>EC50 - Daphnia magna (Water flea) - 7,50 mg/l - 48 h</t>
  </si>
  <si>
    <t>Xylene (aka: xylol)</t>
  </si>
  <si>
    <t>1330-20-7</t>
  </si>
  <si>
    <t>static test LC50 - Oncorhynchus mykiss (rainbow trout) - 2,60 mg/l - 96 h (Xylene)</t>
  </si>
  <si>
    <t>1.0 - 4.7 mg/L</t>
  </si>
  <si>
    <t>chlordecone</t>
  </si>
  <si>
    <t>143-50-0</t>
  </si>
  <si>
    <t>LC50 - Oncorhynchus mykiss (rainbow trout) - 0,03 mg/l - 96,0 h</t>
  </si>
  <si>
    <t>EC50 - Daphnia magna (Water flea) - 0,26 mg/l - 48 h</t>
  </si>
  <si>
    <t>Paraquat dichloride
(hydrate)</t>
  </si>
  <si>
    <r>
      <t>1910-42-5
(</t>
    </r>
    <r>
      <rPr>
        <b/>
        <sz val="11"/>
        <color theme="1"/>
        <rFont val="Calibri"/>
        <family val="2"/>
        <scheme val="minor"/>
      </rPr>
      <t>75365-73-0</t>
    </r>
    <r>
      <rPr>
        <sz val="11"/>
        <color theme="1"/>
        <rFont val="Calibri"/>
        <family val="2"/>
        <scheme val="minor"/>
      </rPr>
      <t>)</t>
    </r>
  </si>
  <si>
    <t>flow-through test LC50 - Pimephales promelas (fathead minnow) - 6,48 mg/l - 96 h</t>
  </si>
  <si>
    <t>static test EC50 - Daphnia magna (Water flea) - 4,4 mg/l - 48 h</t>
  </si>
  <si>
    <t>Amiodarone
(hydrochloride)</t>
  </si>
  <si>
    <r>
      <t xml:space="preserve">1951-25-3
</t>
    </r>
    <r>
      <rPr>
        <b/>
        <sz val="11"/>
        <color theme="1"/>
        <rFont val="Calibri"/>
        <family val="2"/>
        <scheme val="minor"/>
      </rPr>
      <t>(19774-82-4</t>
    </r>
    <r>
      <rPr>
        <sz val="11"/>
        <color theme="1"/>
        <rFont val="Calibri"/>
        <family val="2"/>
        <scheme val="minor"/>
      </rPr>
      <t>)</t>
    </r>
  </si>
  <si>
    <t>Around 50 μM (other species)</t>
  </si>
  <si>
    <t>Clothianidin
(E)-1-(2-Chloro-1,3-thiazol-5-yl methyl)-3-methyl-2-nitroguanidine</t>
  </si>
  <si>
    <t>210880-92-5</t>
  </si>
  <si>
    <t>LC50 - Oncorhynchus mykiss (rainbow trout) - &gt; 104,2 mg/l - 96,0h</t>
  </si>
  <si>
    <t>EC50 - Daphnia magna (Water flea) - &gt; 119 mg/l - 48 h</t>
  </si>
  <si>
    <t>Methylimidazoliumpropyl p-phenylenediamine HCl (A166)</t>
  </si>
  <si>
    <t>220158-86-1</t>
  </si>
  <si>
    <t>Methylmercury (MeHg)
(methylercury chloride)</t>
  </si>
  <si>
    <t>22967-92-6
(115-09-3)</t>
  </si>
  <si>
    <t>LC50 - Oncorhynchus mykiss (rainbow trout) - 0,024 mg/l - 96 h</t>
  </si>
  <si>
    <t>0.0052 mg/L</t>
  </si>
  <si>
    <t>T0901317
N-(4-(1,1,1,3,3,3-Hexafluoro-2-hydroxy-propan-2-yl)phenyl)-N-(2,2,2-trifluoroethyl)benzenesulfonamide</t>
  </si>
  <si>
    <t>293754-55-9</t>
  </si>
  <si>
    <t>≥24.05g/L in DMSO</t>
  </si>
  <si>
    <t>effective concentration: 5 μM</t>
  </si>
  <si>
    <t>Basic violet 2</t>
  </si>
  <si>
    <t>3248-91-7</t>
  </si>
  <si>
    <t>508.66 mg/L</t>
  </si>
  <si>
    <t>paraquat</t>
  </si>
  <si>
    <t>4685-14-7</t>
  </si>
  <si>
    <t>Decamethylcyclopentasiloxane D5</t>
  </si>
  <si>
    <t>541-02-6</t>
  </si>
  <si>
    <t>96 h and 14 d LC50 &gt;16 µg/L, Oncorhynchus mykiss (beyond solubility?)</t>
  </si>
  <si>
    <t>48 h EC50 &gt;2.9 µg/L, Daphnia magna (beyond solubility?)</t>
  </si>
  <si>
    <t>Carbon tetrachloride (CCl4)</t>
  </si>
  <si>
    <t>56-23-5</t>
  </si>
  <si>
    <t>mortality LC50 - Danio rerio (zebra fish) - 24,3 mg/l - 96 h</t>
  </si>
  <si>
    <t>Immobilization EC50 - Daphnia magna (Water flea) - 35 mg/l - 48 h</t>
  </si>
  <si>
    <t>Cetylpyridinium chloride monohydrate</t>
  </si>
  <si>
    <t>6004-24-6</t>
  </si>
  <si>
    <t>Chloroform (aka: trichloromethane)</t>
  </si>
  <si>
    <t>67-66-3</t>
  </si>
  <si>
    <t>96h: 18-28 mg/L</t>
  </si>
  <si>
    <t>48h (D magna): 152.5 mg/L</t>
  </si>
  <si>
    <t>Tributyltin</t>
  </si>
  <si>
    <t>688-73-3</t>
  </si>
  <si>
    <t>Fialuridine</t>
  </si>
  <si>
    <t>69123-98-4</t>
  </si>
  <si>
    <t>lead (Pb)
(Pb acetate)</t>
  </si>
  <si>
    <t>7439-92-1
(6080-56-4)</t>
  </si>
  <si>
    <t>LC50: Fathead minnow 43.6 mg/L 96 h
LC50=0,14 mg/l (S. Gairdneri, 96 hours)</t>
  </si>
  <si>
    <t xml:space="preserve">Daphnia magna: EC50=2,5 mg/l </t>
  </si>
  <si>
    <t>arsenic (As)</t>
  </si>
  <si>
    <t>HC blue 15</t>
  </si>
  <si>
    <t>74578-10-2</t>
  </si>
  <si>
    <t>LC50/96h &lt;1 mg/l (fish)</t>
  </si>
  <si>
    <t>vinyl chloride (aka: vinyl chloride monomer (VCM) or chloroethene)</t>
  </si>
  <si>
    <t>75-01-4</t>
  </si>
  <si>
    <t>96-h LC50 is 210 mg/l in the fresh water species Brachydanio rerio</t>
  </si>
  <si>
    <t>48-h LC50 is estimated to be 119 mg/l in aquatic invertebrates</t>
  </si>
  <si>
    <t>1,1,2-trichloroethane (1,1,2-TCA)</t>
  </si>
  <si>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3</t>
    </r>
    <r>
      <rPr>
        <sz val="11"/>
        <color theme="1"/>
        <rFont val="Calibri"/>
        <family val="2"/>
        <scheme val="minor"/>
      </rPr>
      <t>Cl</t>
    </r>
    <r>
      <rPr>
        <vertAlign val="subscript"/>
        <sz val="11"/>
        <color theme="1"/>
        <rFont val="Calibri"/>
        <family val="2"/>
        <scheme val="minor"/>
      </rPr>
      <t>3</t>
    </r>
  </si>
  <si>
    <t>79-00-5</t>
  </si>
  <si>
    <t>Toxic liquid, organic, n.o.s. (1,1,2-Trichloroethane)</t>
  </si>
  <si>
    <t>LC50 - Pimephales promelas (fathead minnow) - 81,60 mg/l - 96 h</t>
  </si>
  <si>
    <t>EC50 - Daphnia magna (Water flea) - 43,00 mg/l - 48 h</t>
  </si>
  <si>
    <t>Trichloroethylene (TCE )</t>
  </si>
  <si>
    <t>79-01-6</t>
  </si>
  <si>
    <t>flow-through test LC50 - Jordanella floridae - 28,3 mg/l - 96 h</t>
  </si>
  <si>
    <t>48h LC50 for Ceriodaphnia dubia was 17 mg/l</t>
  </si>
  <si>
    <t>Butylphenyl methylpropional (p-BMHCA)</t>
  </si>
  <si>
    <t>80-54-6</t>
  </si>
  <si>
    <t>flow-through test LC50 - Danio rerio (zebra fish) - 2,04 mg/l - 96 h</t>
  </si>
  <si>
    <t>static test EC50 - Daphnia magna (Water flea) - 10,7 mg/l - 48 h</t>
  </si>
  <si>
    <t>Hydroxyethyl-p-phenylenediamine sulphate</t>
  </si>
  <si>
    <t>93841-25-9</t>
  </si>
  <si>
    <t>LC50 to Danio rerio after 96 hours was determined to be &gt;77.9mg/L</t>
  </si>
  <si>
    <t>48 hour EC50 for Daphnia magna was determined to be 3.48 mg/L.</t>
  </si>
  <si>
    <t>Doxycycline
(monohydrate)</t>
  </si>
  <si>
    <t>564-25-0
(17086-28-1)</t>
  </si>
  <si>
    <t>tetracycline</t>
  </si>
  <si>
    <t>60-54-8</t>
  </si>
  <si>
    <t>minocycline
(hydrochloride)</t>
  </si>
  <si>
    <t>10118-90-8
(13614-98-7)</t>
  </si>
  <si>
    <t>Amikacin </t>
  </si>
  <si>
    <t>37517-28-5</t>
  </si>
  <si>
    <t>&gt;13 mg/L</t>
  </si>
  <si>
    <t>&gt;1.7 mg/L</t>
  </si>
  <si>
    <t>Imipramine  </t>
  </si>
  <si>
    <t>50-49-7</t>
  </si>
  <si>
    <t>≥ 1 mg/l (96h)</t>
  </si>
  <si>
    <t>Cumene hydroperoxide  </t>
  </si>
  <si>
    <t>80-15-9</t>
  </si>
  <si>
    <t>Cumol hydroperoxide:
LC50 - Oncorhynchus mykiss (rainbow trout) - 3,9 mg/l - 96 h
Cumene:
LC50 - Cyprinodon variegatus (sheepshead minnow) - 4,7 mg/l - 96 h</t>
  </si>
  <si>
    <t>Cumol hydroperoxide:
EC50 - Daphnia magna (Water flea) - 18,84 mg/l - 48 h
Cumene:
EC50 - Daphnia magna (Water flea) - 2,14 mg/l - 48 h</t>
  </si>
  <si>
    <t>Colchicine  </t>
  </si>
  <si>
    <t>64-86-8</t>
  </si>
  <si>
    <t>96h - zebrafish - EC50: 112.1 mg/L</t>
  </si>
  <si>
    <t xml:space="preserve">daphnia magna: EC50= 39 mg/l </t>
  </si>
  <si>
    <t>Minocycline  </t>
  </si>
  <si>
    <t>10118-90-8</t>
  </si>
  <si>
    <t>gentamicin </t>
  </si>
  <si>
    <t>1403-66-3</t>
  </si>
  <si>
    <t>Poecila reticulata (fish); LC&gt;0.08 - 30 mg/L</t>
  </si>
  <si>
    <t>Daphnia magna (crustacean); EC50: 16.8 - 86 mg/L</t>
  </si>
  <si>
    <t>Sodium citrate  </t>
  </si>
  <si>
    <t>6132-04-3</t>
  </si>
  <si>
    <t>LC50 - Poecilia reticulata (guppy) - &gt; 18.000 - 32.000 mg/l - 96 h</t>
  </si>
  <si>
    <t>EC50 - Daphnia magna (Water flea) - 5.600 - 10.000 mg/l - 48 h</t>
  </si>
  <si>
    <t>Trisodium citrate</t>
  </si>
  <si>
    <t>68-04-2</t>
  </si>
  <si>
    <t>Tigecycline  </t>
  </si>
  <si>
    <t>others</t>
  </si>
  <si>
    <t>Acetaminophen</t>
  </si>
  <si>
    <t>PTX072</t>
  </si>
  <si>
    <t>C8H9NO2</t>
  </si>
  <si>
    <t>103-90-2</t>
  </si>
  <si>
    <t>flow-through test LC50 - Oryzias latipes (Orange-red killifish) - 160 mg/l - 96 h</t>
  </si>
  <si>
    <t xml:space="preserve">48 h D. magna EC50: 11.85 mg/L </t>
  </si>
  <si>
    <t>Hazardous decomposition products in the event of fire: Carbon oxides, Nitrogen oxides (NOx)</t>
  </si>
  <si>
    <t>DNT case study</t>
  </si>
  <si>
    <t>Trichlorfon</t>
  </si>
  <si>
    <t>PTX077</t>
  </si>
  <si>
    <t>C4H8Cl3O4P</t>
  </si>
  <si>
    <t>52-68-6</t>
  </si>
  <si>
    <t>Environmentally hazardous substance, solid, n.o.s. (Trichlorfon)</t>
  </si>
  <si>
    <t>Hazardous decomposition products in the event of fire: Carbon oxides, Oxides of phosphorus, Hydrogen chloride gas</t>
  </si>
  <si>
    <t>Keep container tightly closed in a dry and well-ventilated place. Store in cool place .</t>
  </si>
  <si>
    <t>Part 1: p(1)-p(2), b-b
Part 3: ex 2931.39 (pesticide)</t>
  </si>
  <si>
    <t>5,5-Diphenylhydantoin</t>
  </si>
  <si>
    <t>PTX078</t>
  </si>
  <si>
    <t>C15H12N2O2</t>
  </si>
  <si>
    <t>57-41-0</t>
  </si>
  <si>
    <t>NA/</t>
  </si>
  <si>
    <t>Room Temperature</t>
  </si>
  <si>
    <t>Hazardous decomposition products in the event of fire: Carbon oxides,Nitrogen oxides (NOx). Combustible. Risk of dust explosion.</t>
  </si>
  <si>
    <t xml:space="preserve">Storage class Storage class (TRGS 510): 6.1C: Combustible
Tightly closed. Dry. Keep in a well-ventilated place. Keep locked up or in an area accessible only to qualified or authorized persons. </t>
  </si>
  <si>
    <t>Tebuconazole</t>
  </si>
  <si>
    <t>PTX079</t>
  </si>
  <si>
    <t>C16H22ClN3O</t>
  </si>
  <si>
    <t>107534-96-3</t>
  </si>
  <si>
    <t>Environmentally hazardous substance, solid, n.o.s. (1-(4-Chlorophenyl)-4,4-</t>
  </si>
  <si>
    <t>Hazardous decomposition products in the event of fire: Carbon oxides, Nitrogen oxides (NOx), Hydrogen chloride gas. Combustible. Risk of dust explosion.</t>
  </si>
  <si>
    <t xml:space="preserve">Tightly closed. Dry. </t>
  </si>
  <si>
    <t>Hexachlorophene</t>
  </si>
  <si>
    <t>PTX080</t>
  </si>
  <si>
    <t>C13H6Cl6O2</t>
  </si>
  <si>
    <t>70-30-4</t>
  </si>
  <si>
    <t xml:space="preserve"> ≥ 40.7 g/L</t>
  </si>
  <si>
    <t>Combustible. Development of hazardous combustion gases or vapours possible in the event of fire: Carbon oxides, Hydrogen chloride gas</t>
  </si>
  <si>
    <r>
      <t xml:space="preserve">ACTIVE; </t>
    </r>
    <r>
      <rPr>
        <sz val="12"/>
        <color rgb="FFFF0000"/>
        <rFont val="Calibri"/>
        <family val="2"/>
        <scheme val="minor"/>
      </rPr>
      <t>flag SP</t>
    </r>
    <r>
      <rPr>
        <sz val="11"/>
        <color theme="1"/>
        <rFont val="Calibri"/>
        <family val="2"/>
        <scheme val="minor"/>
      </rPr>
      <t>!!!
SP - indicates a substance that is identified in a proposed Significant New Use Rule.</t>
    </r>
  </si>
  <si>
    <t>Triethyl-tin bromide</t>
  </si>
  <si>
    <t>PTX081</t>
  </si>
  <si>
    <t>TET</t>
  </si>
  <si>
    <t>C6H15BrSn</t>
  </si>
  <si>
    <t xml:space="preserve">2767-54-6 </t>
  </si>
  <si>
    <t>Organotin compound, solid, n.o.s. (Bromotrimethyltin)</t>
  </si>
  <si>
    <r>
      <rPr>
        <sz val="11"/>
        <color theme="4"/>
        <rFont val="Calibri"/>
        <family val="2"/>
        <scheme val="minor"/>
      </rPr>
      <t>Room temperature</t>
    </r>
    <r>
      <rPr>
        <sz val="11"/>
        <color rgb="FFFF0000"/>
        <rFont val="Calibri"/>
        <family val="2"/>
        <scheme val="minor"/>
      </rPr>
      <t xml:space="preserve">
Protect from moisture</t>
    </r>
  </si>
  <si>
    <t>Combustible. Development of hazardous combustion gases or vapours possible in the event of fire: Carbon oxides, Hydrogen bromide gas, Tin/tin oxides</t>
  </si>
  <si>
    <t>Strong oxidizing agents
Avoid exposure to moisture</t>
  </si>
  <si>
    <t xml:space="preserve">Store in cool place. Keep container tightly closed in a dry and well-ventilated place. </t>
  </si>
  <si>
    <t>Perfluorooctanoic acid</t>
  </si>
  <si>
    <t>PTX082</t>
  </si>
  <si>
    <t>PFOA</t>
  </si>
  <si>
    <t>C8HF15O2</t>
  </si>
  <si>
    <t>335-67-1</t>
  </si>
  <si>
    <t>3.4 g/L</t>
  </si>
  <si>
    <t>Corrosive solid, acidic, organic, n.o.s. (pentadecafluorooctanoic acid)3261</t>
  </si>
  <si>
    <t>Combustible. Development of hazardous combustion gases or vapours possible in the event of fire: Carbon oxides, Hydrogen fluoride</t>
  </si>
  <si>
    <r>
      <t xml:space="preserve">ACTIVE; </t>
    </r>
    <r>
      <rPr>
        <sz val="12"/>
        <color rgb="FFFF0000"/>
        <rFont val="Calibri"/>
        <family val="2"/>
        <scheme val="minor"/>
      </rPr>
      <t>flags S and SP</t>
    </r>
    <r>
      <rPr>
        <sz val="11"/>
        <color theme="1"/>
        <rFont val="Calibri"/>
        <family val="2"/>
        <scheme val="minor"/>
      </rPr>
      <t>!!!
S - indicates a substance that is identified in a final Significant New Use Rule.
SP - indicates a substance that is identified in a proposed Significant New Use Rule.</t>
    </r>
  </si>
  <si>
    <t>Trans retinoic acid</t>
  </si>
  <si>
    <t>PTX083</t>
  </si>
  <si>
    <t>ATRA</t>
  </si>
  <si>
    <t>C20H28O2</t>
  </si>
  <si>
    <t>302-79-4</t>
  </si>
  <si>
    <t>Environmentally hazardous substance, solid, n.o.s. (Vitamin A acid)</t>
  </si>
  <si>
    <t>-20 °C
Light sensitive</t>
  </si>
  <si>
    <t>Combustible. Development of hazardous combustion gases or vapours possible in the event of fire: Carbon oxides</t>
  </si>
  <si>
    <t>Light sensitive.</t>
  </si>
  <si>
    <t>Haloperiodol</t>
  </si>
  <si>
    <t>PTX084</t>
  </si>
  <si>
    <t>C21H23ClFNO2</t>
  </si>
  <si>
    <t>52-86-8</t>
  </si>
  <si>
    <t>Toxic solid, organic, n.o.s. (Haloperidol)</t>
  </si>
  <si>
    <t>Combustible. Development of hazardous combustion gases or vapours possible in the event of fire: Carbon oxides, Nitrogen oxides (NOx), Hydrogen chloride gas, Hydrogen fluoride</t>
  </si>
  <si>
    <t>Chlorpromazine (hydrochloride)</t>
  </si>
  <si>
    <t>PTX085</t>
  </si>
  <si>
    <t>C17H19ClN2S</t>
  </si>
  <si>
    <t>50-53-3
(69-09-0)</t>
  </si>
  <si>
    <t>Combustible. Development of hazardous combustion gases or vapours possible in the event of fire: Carbon oxides, Nitrogen oxides (NOx), Sulfur oxides, Hydrogen chloride gas</t>
  </si>
  <si>
    <r>
      <t xml:space="preserve">Store in cool place. Keep container tightly closed in a dry and well-ventilated place. </t>
    </r>
    <r>
      <rPr>
        <sz val="11"/>
        <color rgb="FFFF0000"/>
        <rFont val="Calibri"/>
        <family val="2"/>
        <scheme val="minor"/>
      </rPr>
      <t>Store under inert gas.</t>
    </r>
  </si>
  <si>
    <t>Carbamazepine</t>
  </si>
  <si>
    <t>PTX086</t>
  </si>
  <si>
    <t>C15H12N2O</t>
  </si>
  <si>
    <t>298-46-4</t>
  </si>
  <si>
    <t>Combustible. Development of hazardous combustion gases or vapours possible in the event of fire: Carbon oxides, Nitrogen oxides (NOx)</t>
  </si>
  <si>
    <t>Imidacloprid</t>
  </si>
  <si>
    <t>PTX087</t>
  </si>
  <si>
    <t>C9H10ClN5O2</t>
  </si>
  <si>
    <t>138261-41-3</t>
  </si>
  <si>
    <t>0.61 g/L</t>
  </si>
  <si>
    <t>Environmentally hazardous substance, solid, n.o.s. (Imidacloprid)</t>
  </si>
  <si>
    <r>
      <t xml:space="preserve">Room temperature (15 - 25 °C). 
</t>
    </r>
    <r>
      <rPr>
        <sz val="11"/>
        <color rgb="FFFF0000"/>
        <rFont val="Calibri"/>
        <family val="2"/>
        <scheme val="minor"/>
      </rPr>
      <t>Protect from moisture. Store under inert gas.</t>
    </r>
  </si>
  <si>
    <t>Combustible. Development of hazardous combustion gases or vapours possible in the event of fire: Carbon oxides, Nitrogen oxides (NOx), Hydrogen chloride gas</t>
  </si>
  <si>
    <r>
      <t xml:space="preserve">Strong oxidizing agents
</t>
    </r>
    <r>
      <rPr>
        <sz val="11"/>
        <color rgb="FFFF0000"/>
        <rFont val="Calibri"/>
        <family val="2"/>
        <scheme val="minor"/>
      </rPr>
      <t>Protect from moisture. Store under inert gas.</t>
    </r>
  </si>
  <si>
    <t>Part 1: p(1)-sr</t>
  </si>
  <si>
    <t>Fipronil</t>
  </si>
  <si>
    <t>PTX088</t>
  </si>
  <si>
    <t>C12H4Cl2F6N4OS</t>
  </si>
  <si>
    <t>120068-37-3</t>
  </si>
  <si>
    <t>0.00397 g/l</t>
  </si>
  <si>
    <t>Toxic solid, organic, n.o.s. (Fipronil)</t>
  </si>
  <si>
    <t>Combustible. Development of hazardous combustion gases or vapours possible in the event of fire: Carbon oxides, Nitrogen oxides (NOx), Sulfur oxides, Hydrogen chloride gas, Hydrogen fluoride</t>
  </si>
  <si>
    <t xml:space="preserve">Tightly closed. Dry. Keep in a well-ventilated place. Keep locked up or in an area accessible only to qualified or authorized persons. </t>
  </si>
  <si>
    <t>Part 1: p(1)-b
Part 2: p-sr</t>
  </si>
  <si>
    <t>Thiamethoxam</t>
  </si>
  <si>
    <t>PTX089</t>
  </si>
  <si>
    <t>C8H10ClN5O3S</t>
  </si>
  <si>
    <t>153719-23-4</t>
  </si>
  <si>
    <t>Environmentally hazardous substance, solid, n.o.s. (Thiamethoxam)</t>
  </si>
  <si>
    <t xml:space="preserve">Tightly closed. Dry. Storage class (TRGS 510): 11: Combustible Solids </t>
  </si>
  <si>
    <t>Azoxystrobin</t>
  </si>
  <si>
    <t>PTX090</t>
  </si>
  <si>
    <t>C22H17N3O5</t>
  </si>
  <si>
    <t>131860-33-8</t>
  </si>
  <si>
    <t>Toxic solid, organic, n.o.s. (Azoxystrobin)</t>
  </si>
  <si>
    <t>Tightly closed. Dry. Keep in a well-ventilated place. Keep locked up or in an area accessible only to qualified or authorized persons. Storage class (TRGS 510): 6.1C: Combustible, acute toxic</t>
  </si>
  <si>
    <t>Camptothecin</t>
  </si>
  <si>
    <t>PTX091</t>
  </si>
  <si>
    <t>C20H16N2O4</t>
  </si>
  <si>
    <t>7689-03-4</t>
  </si>
  <si>
    <t>8.7 g/L</t>
  </si>
  <si>
    <t>Alkaloids, solid, n.o.s. ((S)-(+)-Camptothecin)</t>
  </si>
  <si>
    <t>Tetraethylthiuram disulfide</t>
  </si>
  <si>
    <t>PTX092</t>
  </si>
  <si>
    <t>C10H20N2S4</t>
  </si>
  <si>
    <t>97-77-8</t>
  </si>
  <si>
    <t>0.004 g/L</t>
  </si>
  <si>
    <t>Environmentally hazardous substance, solid, n.o.s. (Tetraethylthiuramdisulfide)</t>
  </si>
  <si>
    <t>Development of hazardous combustion gases or vapours possible in the event of fire: Carbon oxides, Nitrogen oxides (NOx), Sulfur oxides</t>
  </si>
  <si>
    <t xml:space="preserve">Keep container tightly closed in a dry and well-ventilated place. Store in cool place. Storage class (TRGS 510): 11: Combustible Solids </t>
  </si>
  <si>
    <t>Mebendazole</t>
  </si>
  <si>
    <t>PTX093</t>
  </si>
  <si>
    <t>C16H13N3O3</t>
  </si>
  <si>
    <t>31431-39-7</t>
  </si>
  <si>
    <t>0.0354 g/L</t>
  </si>
  <si>
    <t>Citalopram</t>
  </si>
  <si>
    <t>PTX094</t>
  </si>
  <si>
    <t>C20H21FN2O</t>
  </si>
  <si>
    <t>59729-33-8</t>
  </si>
  <si>
    <t>0.03901 g/L</t>
  </si>
  <si>
    <t>m</t>
  </si>
  <si>
    <t>Development of hazardous combustion gases or vapours possible in the event of fire: Carbon monoxide, Carbon dioxide, Nitrogen oxides (NOx), Hydrogen fluoride</t>
  </si>
  <si>
    <t>Keep container tightly closed. Store in a cool and dark place. Store locked up. Store away from incompatible materials such as oxidizing agents.</t>
  </si>
  <si>
    <t>Lidocaine</t>
  </si>
  <si>
    <t>PTX095</t>
  </si>
  <si>
    <t>C14H22N2O</t>
  </si>
  <si>
    <t>137-58-6</t>
  </si>
  <si>
    <t>'practically insoluble'</t>
  </si>
  <si>
    <t>Cyclophosphamide (monohydrate)</t>
  </si>
  <si>
    <t>PTX096</t>
  </si>
  <si>
    <t>C7H15Cl2N2O2P</t>
  </si>
  <si>
    <t>50-18-0
(6055-19-2)</t>
  </si>
  <si>
    <t>10 - 50 g/L</t>
  </si>
  <si>
    <t>Organophosphorus compound, solid, toxic, n.o.s. (Cyclophosphamide</t>
  </si>
  <si>
    <t>Combustible. Development of hazardous combustion gases or vapours possible in the event of fire: Carbon oxides, Nitrogen oxides (NOx), Oxides of phosphorus, Hydrogen chloride gas</t>
  </si>
  <si>
    <t>Propylthiouracil</t>
  </si>
  <si>
    <t>PTX097</t>
  </si>
  <si>
    <t>C7H10N2OS</t>
  </si>
  <si>
    <t>51-52-5</t>
  </si>
  <si>
    <t>1.1 g/L</t>
  </si>
  <si>
    <r>
      <t xml:space="preserve">Room temperature
</t>
    </r>
    <r>
      <rPr>
        <sz val="11"/>
        <color rgb="FFFF0000"/>
        <rFont val="Calibri"/>
        <family val="2"/>
        <scheme val="minor"/>
      </rPr>
      <t>2-8 °C</t>
    </r>
  </si>
  <si>
    <t>Methimazole</t>
  </si>
  <si>
    <t>PTX098</t>
  </si>
  <si>
    <t>C4H6N2S</t>
  </si>
  <si>
    <t>60-56-0</t>
  </si>
  <si>
    <t>200 g/L</t>
  </si>
  <si>
    <t>Combustible. Development of hazardous combustion gases or vapours possible in the event of fire: Carbon oxides, Nitrogen oxides (NOx), Sulfur oxides</t>
  </si>
  <si>
    <t>Azacytidine</t>
  </si>
  <si>
    <t>PTX099</t>
  </si>
  <si>
    <t>C8H12N4O5</t>
  </si>
  <si>
    <t>320-67-2</t>
  </si>
  <si>
    <t>5 -10 g/L</t>
  </si>
  <si>
    <t>Environmentally hazardous substance, solid, n.o.s. (2-( -D-Ribofuranosyl)-4-</t>
  </si>
  <si>
    <t>Combustible. Development of hazardous combustion gases or vapours possible in the event of fire: Carbon oxides, Nitrogen oxides (NOx). Risk of dust explosion.</t>
  </si>
  <si>
    <t>Cytosine arabinoside</t>
  </si>
  <si>
    <t>PTX100</t>
  </si>
  <si>
    <t>C9H13N3O5</t>
  </si>
  <si>
    <t>147-94-4</t>
  </si>
  <si>
    <t>Hydroxyurea</t>
  </si>
  <si>
    <t>PTX101</t>
  </si>
  <si>
    <t>CH4N2O2</t>
  </si>
  <si>
    <t>127-07-1</t>
  </si>
  <si>
    <t>2 - 8 °C
Moisture sensitive</t>
  </si>
  <si>
    <t>Colchicine</t>
  </si>
  <si>
    <t>PTX102</t>
  </si>
  <si>
    <t>C22H25NO6</t>
  </si>
  <si>
    <t>Alkaloids, solid, n.o.s. (Colchicine)</t>
  </si>
  <si>
    <r>
      <t xml:space="preserve">Tightly closed. Dry. Keep in a well-ventilated place. Keep locked up or in an area accessible only to qualified or authorized persons. </t>
    </r>
    <r>
      <rPr>
        <sz val="11"/>
        <color rgb="FFFF0000"/>
        <rFont val="Calibri"/>
        <family val="2"/>
        <scheme val="minor"/>
      </rPr>
      <t>Light sensitive</t>
    </r>
    <r>
      <rPr>
        <sz val="11"/>
        <color theme="8" tint="-0.249977111117893"/>
        <rFont val="Calibri"/>
        <family val="2"/>
        <scheme val="minor"/>
      </rPr>
      <t xml:space="preserve">. Storage class (TRGS 510): 6.1A: Combustible, acute toxic </t>
    </r>
  </si>
  <si>
    <t>Aspartame</t>
  </si>
  <si>
    <t>PTX103</t>
  </si>
  <si>
    <t>C14H18N2O5</t>
  </si>
  <si>
    <t>22839-47-0</t>
  </si>
  <si>
    <t>'Sparingly soluble'</t>
  </si>
  <si>
    <t>5-Fluorouracil</t>
  </si>
  <si>
    <t>PTX104</t>
  </si>
  <si>
    <t>5-FU</t>
  </si>
  <si>
    <t>C4H3FN2O2</t>
  </si>
  <si>
    <t>51-21-8</t>
  </si>
  <si>
    <t>10 g/L</t>
  </si>
  <si>
    <t>Toxic solid, organic, n.o.s. (5-fluorouracil)</t>
  </si>
  <si>
    <t>Combustible. Development of hazardous combustion gases or vapours possible in the event of fire: Carbon oxides, Nitrogen oxides (NOx), Hydrogen fluoride</t>
  </si>
  <si>
    <t>Methotrexate (hydrate)</t>
  </si>
  <si>
    <t>PTX105</t>
  </si>
  <si>
    <t>MTX</t>
  </si>
  <si>
    <t>C20H22N8O5·xH2O</t>
  </si>
  <si>
    <t>59-05-2
(133073-73-1)</t>
  </si>
  <si>
    <t>Alkaloids, solid, n.o.s. (methotrexate)</t>
  </si>
  <si>
    <t>ACTIVE (as non-hydrated form)</t>
  </si>
  <si>
    <t>Bromodeoxyuridine</t>
  </si>
  <si>
    <t>PTX106</t>
  </si>
  <si>
    <t>BrdU</t>
  </si>
  <si>
    <t>C9H11BrN2O5</t>
  </si>
  <si>
    <t>59-14-3</t>
  </si>
  <si>
    <t>Combustible. Development of hazardous combustion gases or vapours possible in the event of fire: Carbon oxides, Nitrogen oxides (NOx), Hydrogen bromide gas</t>
  </si>
  <si>
    <t xml:space="preserve">Chemical name of the chemical. It can be a common name or IUPAC harmonized. </t>
  </si>
  <si>
    <t>Price</t>
  </si>
  <si>
    <t>Link/s to provider webpage</t>
  </si>
  <si>
    <t>[max.] to reach 100% mortality (mg/L)</t>
  </si>
  <si>
    <t>Stock concentration (g/L)</t>
  </si>
  <si>
    <t>Minimum stock volume (per partner; ml)</t>
  </si>
  <si>
    <t>Needed amount of chemical (g); Ruben Leitat calculations</t>
  </si>
  <si>
    <t>Needed amount of chemical (g); Stefan UFZ calculations</t>
  </si>
  <si>
    <t>Maximum needed calculated amount (g)</t>
  </si>
  <si>
    <t>Observations</t>
  </si>
  <si>
    <t>Total amount to be purchased (g or ml)</t>
  </si>
  <si>
    <t>Manufacturer</t>
  </si>
  <si>
    <t>Provider</t>
  </si>
  <si>
    <t>Manufacturer reference</t>
  </si>
  <si>
    <t>Amount of the purchased bottles (g or ml)</t>
  </si>
  <si>
    <t>Units (nº bottles)</t>
  </si>
  <si>
    <t>flow-through test LC50 - Pimephales promelas (fathead minnow) - 1.500 μg/l - 96 h</t>
  </si>
  <si>
    <t>5g - 47,10 €</t>
  </si>
  <si>
    <t>Sigma/Merck</t>
  </si>
  <si>
    <t>655198-5G</t>
  </si>
  <si>
    <t>5g</t>
  </si>
  <si>
    <t>LC50 - Cyprinus carpio (Carp) - 0,64 mg/l - 96,0 h</t>
  </si>
  <si>
    <t>100mg - 98,30 €</t>
  </si>
  <si>
    <t>53161-100MG</t>
  </si>
  <si>
    <t>100mg</t>
  </si>
  <si>
    <t>50mg - 129,00 €</t>
  </si>
  <si>
    <t>C7081-50MG</t>
  </si>
  <si>
    <t>50mg</t>
  </si>
  <si>
    <t>static test LC50 - Danio rerio (zebra fish) - &gt; 25.000 mg/l - 96 h
(OECD Test Guideline 203)</t>
  </si>
  <si>
    <t>2,5L - 183,00 €</t>
  </si>
  <si>
    <t>Too high amount to be shipped
It was decided that each partner will use their own DMSO</t>
  </si>
  <si>
    <t>472301-2.5L</t>
  </si>
  <si>
    <t>2,5L</t>
  </si>
  <si>
    <t>flow-through test - Pimephales promelas (fathead minnow) - 12,6 mg/l - 96 h</t>
  </si>
  <si>
    <t>100g - 53,40 €</t>
  </si>
  <si>
    <t>A1010-100G</t>
  </si>
  <si>
    <t>100g</t>
  </si>
  <si>
    <t>100g - 86,90 €</t>
  </si>
  <si>
    <t>S7400-100G</t>
  </si>
  <si>
    <r>
      <rPr>
        <b/>
        <sz val="11"/>
        <color theme="1"/>
        <rFont val="Calibri"/>
        <family val="2"/>
        <scheme val="minor"/>
      </rPr>
      <t>a) 500g - 28.80 €</t>
    </r>
    <r>
      <rPr>
        <sz val="11"/>
        <color theme="1"/>
        <rFont val="Calibri"/>
        <family val="2"/>
        <scheme val="minor"/>
      </rPr>
      <t xml:space="preserve">
2500g - 97.10 €
b) 500 G - 70,20 €
1 KG - 116,00 €
2.5 KG - 249,00 €</t>
    </r>
  </si>
  <si>
    <t>https://www.alfa.com/es/catalog/A17157/
https://www.sigmaaldrich.com/ES/es/search/acrylamide?focus=products&amp;page=1&amp;perPage=30&amp;sort=relevance&amp;term=Acrylamide&amp;type=product</t>
  </si>
  <si>
    <t>Alfa Aesar</t>
  </si>
  <si>
    <t>Cymit química</t>
  </si>
  <si>
    <t>02-A17157-500g</t>
  </si>
  <si>
    <t>500g</t>
  </si>
  <si>
    <r>
      <t xml:space="preserve">25G - €18.00
</t>
    </r>
    <r>
      <rPr>
        <b/>
        <sz val="11"/>
        <color theme="1"/>
        <rFont val="Calibri"/>
        <family val="2"/>
        <scheme val="minor"/>
      </rPr>
      <t>500G - €39.00</t>
    </r>
  </si>
  <si>
    <t>https://www.tcichemicals.com/ES/en/p/M0574</t>
  </si>
  <si>
    <t>TCI chemicals</t>
  </si>
  <si>
    <t>M0574-500G</t>
  </si>
  <si>
    <r>
      <t xml:space="preserve">a) 100 G - 40,30 €
500 G - 179,00 €
b) 25 G - 62,70 €
100 G - 164,00 €
250 G - 322,00 €
c) 0.1 kg - €42.35
 0.25 kg	- €50.82
 0.5 kg - €84.70
</t>
    </r>
    <r>
      <rPr>
        <b/>
        <sz val="11"/>
        <color theme="1"/>
        <rFont val="Calibri"/>
        <family val="2"/>
        <scheme val="minor"/>
      </rPr>
      <t>1 kg - €152.46</t>
    </r>
    <r>
      <rPr>
        <sz val="11"/>
        <color theme="1"/>
        <rFont val="Calibri"/>
        <family val="2"/>
        <scheme val="minor"/>
      </rPr>
      <t xml:space="preserve">
2 kg - €237.16</t>
    </r>
  </si>
  <si>
    <t>https://www.sigmaaldrich.com/ES/es/search/n,n'-methylenediacrylamide-110-26-9?focus=products&amp;page=1&amp;perPage=30&amp;sort=relevance&amp;term=N%2CN%27-methylenediacrylamide%20110-26-9&amp;type=product
https://www.carbosynth.com/carbosynth/website.nsf/(w-productdisplay)/28B3F0AF008F585280257BEC002FBB92</t>
  </si>
  <si>
    <t>Unclear if we'll needed more than the specified amount</t>
  </si>
  <si>
    <t>Glentham</t>
  </si>
  <si>
    <t>7W-GE8737-500g</t>
  </si>
  <si>
    <r>
      <t xml:space="preserve">a) 25ML - €18.00
</t>
    </r>
    <r>
      <rPr>
        <b/>
        <sz val="11"/>
        <color theme="1"/>
        <rFont val="Calibri"/>
        <family val="2"/>
        <scheme val="minor"/>
      </rPr>
      <t>500ML - €52.00</t>
    </r>
  </si>
  <si>
    <t>https://www.tcichemicals.com/ES/en/p/B1060</t>
  </si>
  <si>
    <t>B1060-500ML</t>
  </si>
  <si>
    <t>500ml</t>
  </si>
  <si>
    <t>a) 100 ML - 48,50 €
b) 25ML	 - €24.00
100ML - €67.00</t>
  </si>
  <si>
    <t>https://www.sigmaaldrich.com/ES/es/search/16669-59-3?dym=16669-59-3&amp;focus=products&amp;page=1&amp;perPage=30&amp;sort=relevance&amp;term=16669-59-3&amp;type=product#
https://www.tcichemicals.com/ES/en/search/?text=N-%28Isobutoxymethyl%29acrylamide</t>
  </si>
  <si>
    <t>Not toxic, not reasonable amount!</t>
  </si>
  <si>
    <t>436534-100ML</t>
  </si>
  <si>
    <t>100ml</t>
  </si>
  <si>
    <r>
      <t xml:space="preserve">25G - €25.00
</t>
    </r>
    <r>
      <rPr>
        <b/>
        <sz val="11"/>
        <color theme="1"/>
        <rFont val="Calibri"/>
        <family val="2"/>
        <scheme val="minor"/>
      </rPr>
      <t>500G - €82.00</t>
    </r>
  </si>
  <si>
    <t>https://www.tcichemicals.com/ES/en/p/D3737</t>
  </si>
  <si>
    <t>D3737-500G</t>
  </si>
  <si>
    <r>
      <t xml:space="preserve">a) 250 G - 32,30 €
500 G - 53,10 €
b) 25G - €15.00
</t>
    </r>
    <r>
      <rPr>
        <b/>
        <sz val="11"/>
        <color theme="1"/>
        <rFont val="Calibri"/>
        <family val="2"/>
        <scheme val="minor"/>
      </rPr>
      <t xml:space="preserve">500G - €30.00
</t>
    </r>
    <r>
      <rPr>
        <sz val="11"/>
        <color theme="1"/>
        <rFont val="Calibri"/>
        <family val="2"/>
        <scheme val="minor"/>
      </rPr>
      <t xml:space="preserve">
c) 100g - 16,10€
500g - 38,50€</t>
    </r>
  </si>
  <si>
    <t>https://www.sigmaaldrich.com/ES/es/search/methacrylamide-79-39-0?focus=products&amp;page=1&amp;perPage=30&amp;sort=relevance&amp;term=Methacrylamide%2079-39-0&amp;type=product
https://www.tcichemicals.com/ES/en/search/?text=Methacrylamide
https://www.alfa.com/es/catalog/L15013/</t>
  </si>
  <si>
    <t>M0077-500G</t>
  </si>
  <si>
    <r>
      <t xml:space="preserve">a) 100 G - 59,10 €
500 G - 214,00 €
b) 25G - €15.00
100G - €29.00
</t>
    </r>
    <r>
      <rPr>
        <b/>
        <sz val="11"/>
        <color theme="1"/>
        <rFont val="Calibri"/>
        <family val="2"/>
        <scheme val="minor"/>
      </rPr>
      <t>500G - €72.00</t>
    </r>
    <r>
      <rPr>
        <sz val="11"/>
        <color theme="1"/>
        <rFont val="Calibri"/>
        <family val="2"/>
        <scheme val="minor"/>
      </rPr>
      <t xml:space="preserve">
c) 100g - 19,50€	
500g - 63,40€	
2500g - 217,00€</t>
    </r>
  </si>
  <si>
    <t>https://www.sigmaaldrich.com/ES/es/product/sial/i2399?context=product
https://www.tcichemicals.com/ES/en/p/I0001
https://www.alfa.com/es/catalog/A10221/</t>
  </si>
  <si>
    <t>I0001-500G</t>
  </si>
  <si>
    <r>
      <t xml:space="preserve">a) 50 G - 49,20 €
</t>
    </r>
    <r>
      <rPr>
        <b/>
        <sz val="11"/>
        <color theme="1"/>
        <rFont val="Calibri"/>
        <family val="2"/>
        <scheme val="minor"/>
      </rPr>
      <t>250 G - 138,00 €</t>
    </r>
    <r>
      <rPr>
        <sz val="11"/>
        <color theme="1"/>
        <rFont val="Calibri"/>
        <family val="2"/>
        <scheme val="minor"/>
      </rPr>
      <t xml:space="preserve">
b) 25G - €26.00
100G - €68.00	
500G - €205.00
c) 10g - 23,70€
50g - 43,30€
250g - 137,00€</t>
    </r>
  </si>
  <si>
    <t>https://www.sigmaaldrich.com/ES/es/product/aldrich/199885
https://www.tcichemicals.com/ES/en/search/?text=4-methyl+imidazole
https://www.alfa.com/es/catalog/B24139/</t>
  </si>
  <si>
    <t>M0636-100G</t>
  </si>
  <si>
    <r>
      <t xml:space="preserve">a) 100 G - 39,70 €
500 G - 120,00 €
b) 25G - €19.00	
100G - €31.00	
</t>
    </r>
    <r>
      <rPr>
        <b/>
        <sz val="11"/>
        <color theme="1"/>
        <rFont val="Calibri"/>
        <family val="2"/>
        <scheme val="minor"/>
      </rPr>
      <t>500G - €79.00</t>
    </r>
    <r>
      <rPr>
        <sz val="11"/>
        <color theme="1"/>
        <rFont val="Calibri"/>
        <family val="2"/>
        <scheme val="minor"/>
      </rPr>
      <t xml:space="preserve">
c) 100g - 28,80€
500g - 99,90€	
2500g - 379,00€</t>
    </r>
  </si>
  <si>
    <t>M0345-500G</t>
  </si>
  <si>
    <r>
      <t xml:space="preserve">a) 100 G - 34,40 €
500 G - 126,00 €
b) 25G - €17.00
100G - €31.00
c) 100g -28,00€
</t>
    </r>
    <r>
      <rPr>
        <b/>
        <sz val="11"/>
        <color theme="1"/>
        <rFont val="Calibri"/>
        <family val="2"/>
        <scheme val="minor"/>
      </rPr>
      <t xml:space="preserve">500g - 107,00€	</t>
    </r>
    <r>
      <rPr>
        <sz val="11"/>
        <color theme="1"/>
        <rFont val="Calibri"/>
        <family val="2"/>
        <scheme val="minor"/>
      </rPr>
      <t xml:space="preserve">
2kg - 280,00€</t>
    </r>
  </si>
  <si>
    <t>https://www.sigmaaldrich.com/ES/es/substance/1methylimidazole8210616477?context=product
https://www.tcichemicals.com/ES/en/p/M0508
https://www.alfa.com/es/catalog/A12575/</t>
  </si>
  <si>
    <t>M0508-100G</t>
  </si>
  <si>
    <r>
      <t xml:space="preserve">a) 5 G - 20,60 €
100 G - 34,70 €
500 G - 115,00 €
b) 25G - €15.00	
100G - €32.00
</t>
    </r>
    <r>
      <rPr>
        <b/>
        <sz val="11"/>
        <color theme="1"/>
        <rFont val="Calibri"/>
        <family val="2"/>
        <scheme val="minor"/>
      </rPr>
      <t>500G - €88.00</t>
    </r>
    <r>
      <rPr>
        <sz val="11"/>
        <color theme="1"/>
        <rFont val="Calibri"/>
        <family val="2"/>
        <scheme val="minor"/>
      </rPr>
      <t xml:space="preserve">
c) 25g - 15,20€
100g - 31,30€
500g - 104,00€</t>
    </r>
  </si>
  <si>
    <t>https://www.sigmaaldrich.com/ES/es/substance/12dimethylimidazole96131739840?context=product
https://www.tcichemicals.com/ES/en/p/D1562
https://www.alfa.com/es/catalog/B23544/</t>
  </si>
  <si>
    <t>D1562-500G</t>
  </si>
  <si>
    <r>
      <t xml:space="preserve">a) 5 G - 40,40 €
100 G - 109,00 €
b) 25G - €28.00	
100G - €64.00
</t>
    </r>
    <r>
      <rPr>
        <b/>
        <sz val="11"/>
        <color theme="1"/>
        <rFont val="Calibri"/>
        <family val="2"/>
        <scheme val="minor"/>
      </rPr>
      <t>500G - €243.00</t>
    </r>
    <r>
      <rPr>
        <sz val="11"/>
        <color theme="1"/>
        <rFont val="Calibri"/>
        <family val="2"/>
        <scheme val="minor"/>
      </rPr>
      <t xml:space="preserve">
c) 25g - 33,80€
100g - 101,00€</t>
    </r>
  </si>
  <si>
    <t>https://www.sigmaaldrich.com/ES/es/product/aldrich/e36652?context=product
https://www.tcichemicals.com/ES/en/p/E0232
https://www.alfa.com/es/search/?q=2-ethyl-4-methyl+imidazole</t>
  </si>
  <si>
    <t>E0232-100G</t>
  </si>
  <si>
    <r>
      <t xml:space="preserve">a) 50 G - 50,20 €
250 G - 143,00 €
b) 25G - €25.00
100G - €68.00
</t>
    </r>
    <r>
      <rPr>
        <b/>
        <sz val="11"/>
        <color theme="1"/>
        <rFont val="Calibri"/>
        <family val="2"/>
        <scheme val="minor"/>
      </rPr>
      <t>500G - €217.00</t>
    </r>
    <r>
      <rPr>
        <sz val="11"/>
        <color theme="1"/>
        <rFont val="Calibri"/>
        <family val="2"/>
        <scheme val="minor"/>
      </rPr>
      <t xml:space="preserve">
c) 50g - 40,00€	
250g - 136,00€</t>
    </r>
  </si>
  <si>
    <t>https://www.sigmaaldrich.com/ES/es/product/aldrich/272264?context=product#
https://www.tcichemicals.com/ES/en/p/A1185
https://www.alfa.com/es/catalog/A14169/</t>
  </si>
  <si>
    <t>A1185-500G</t>
  </si>
  <si>
    <t xml:space="preserve">100 G-€50.50
500 G-€75.20
25g-25,00 €	
500g-99,00 €	</t>
  </si>
  <si>
    <t>https://www.sigmaaldrich.com/ES/en/product/aldrich/239348
https://cymitquimica.com/es/productos/3B-E0233/1072-62-4/2-ethylimidazole/ (this one was chosen even if it was a bit more expensive due to very slow distribution timeline of Sigma: more than 2 months)</t>
  </si>
  <si>
    <t>Cymitquimica</t>
  </si>
  <si>
    <t>3B-E0233</t>
  </si>
  <si>
    <t>100g-77,00 €	
500g-180,00 €</t>
  </si>
  <si>
    <t>https://cymitquimica.com/es/productos/54-OR2905/7098-07-9/1-ethyl-1h-imidazole/</t>
  </si>
  <si>
    <t>Apollo Scientific</t>
  </si>
  <si>
    <t>54-OR2905</t>
  </si>
  <si>
    <t>5 G-€107.00
25 G-€315.00</t>
  </si>
  <si>
    <t>https://www.sigmaaldrich.com/ES/en/product/aldrich/900821</t>
  </si>
  <si>
    <t>5 G - 18,50 €
100 G - 39,30 €
500ml - 123,00 €</t>
  </si>
  <si>
    <t>https://www.sigmaaldrich.com/ES/es/product/aldrich/235466
https://cymitquimica.com/es/productos/3B-V0045/1072-63-5/1-vinylimidazole/</t>
  </si>
  <si>
    <t>V0045-500G</t>
  </si>
  <si>
    <t>25g - 27,30 €
100g - 76,70 €
500g - 262,00 €</t>
  </si>
  <si>
    <t>https://www.alfa.com/es/catalog/L06841/</t>
  </si>
  <si>
    <t>02-L06841</t>
  </si>
  <si>
    <t>25g</t>
  </si>
  <si>
    <t>5 G - 24,10 €
100 G - 48,50 €
500 G - 153,00 €
1 KG - 263,00 €</t>
  </si>
  <si>
    <t>02-A10431</t>
  </si>
  <si>
    <t>250g</t>
  </si>
  <si>
    <t xml:space="preserve">250 ML-€28.30
1 L-€63.00
25g-29.00 €	
500g-42.00 €	</t>
  </si>
  <si>
    <t>https://www.sigmaaldrich.com/ES/en/search/100-61-8?focus=products&amp;page=1&amp;perPage=30&amp;sort=relevance&amp;term=100-61-8&amp;type=product7
https://cymitquimica.com/products/3B-M0147/100-61-8/n-methylaniline/</t>
  </si>
  <si>
    <t>02-L13873</t>
  </si>
  <si>
    <t>0.25 g - €46.37
0.5 g - €80.09
1 g - €124.76
2 g - €193.90
5 g - €375.15</t>
  </si>
  <si>
    <t>https://www.carbosynth.com/carbosynth/website.nsf/(w-productdisplay)/CDC2D17D4ECCE5A948257D90001CF6F7</t>
  </si>
  <si>
    <t>No toxicity data could be found; needed amount unknown</t>
  </si>
  <si>
    <t>Biosynth</t>
  </si>
  <si>
    <t>3D-FA46838</t>
  </si>
  <si>
    <t xml:space="preserve">10g - 94,00 €	
25g - 126,00 €	
50g - 184,00 €	
100g - 272,00 €	
250g - 424,00 €	</t>
  </si>
  <si>
    <t>https://cymitquimica.com/products/3D-FT137439/55219-65-3/triadimenol/
https://www.scbt.com/es/p/triadimenol-55219-65-3
https://www.carbosynth.com/carbosynth/website.nsf/(w-productdisplay)/2a73f0a23025d285482580040009ee7b!OpenDocument&amp;Click=</t>
  </si>
  <si>
    <t>3D-FT137439</t>
  </si>
  <si>
    <t>50g</t>
  </si>
  <si>
    <t>100 MG - 47,10 €
250mg - 75,00 €</t>
  </si>
  <si>
    <t>https://cymitquimica.com/products/04-C11600000/2921-88-2/chlorpyrifos/</t>
  </si>
  <si>
    <t>Ehrenstorfer</t>
  </si>
  <si>
    <t>04-C11600000</t>
  </si>
  <si>
    <t>250mg</t>
  </si>
  <si>
    <t>50mg-94.00 €</t>
  </si>
  <si>
    <t>https://cymitquimica.com/products/04-C11603000/5598-15-2/chlorpyrifos-oxon/</t>
  </si>
  <si>
    <t>04-C11603000</t>
  </si>
  <si>
    <t xml:space="preserve">100mg - 20,00 €	
1g - 64,00 €	</t>
  </si>
  <si>
    <t>https://cymitquimica.com/products/3B-G0272/446-72-0/genistein/</t>
  </si>
  <si>
    <t>Fluorochem</t>
  </si>
  <si>
    <t>10-M01798</t>
  </si>
  <si>
    <t xml:space="preserve">25G-€77.00
1g-31.00 €	
10g-39.00 €	
25g-69.00 €	
100g-151.00 €	</t>
  </si>
  <si>
    <t>https://www.tcichemicals.com/ES/en/search/?text=4394-00-7
https://cymitquimica.com/products/10-M02156/4394-00-7/niflumic-acid/</t>
  </si>
  <si>
    <t>unknown</t>
  </si>
  <si>
    <t>10-M02156</t>
  </si>
  <si>
    <t>1000 mg - €76.00</t>
  </si>
  <si>
    <t>https://www.adooq.com/pregnenolone.html</t>
  </si>
  <si>
    <t>7W-GK1748</t>
  </si>
  <si>
    <t>≥98% (HPLC), powder:		
25 MG - 27,60 €
100 MG - 94,60 €
500 MG - 188,00 €
1 G - 284,00 €
5 G - 1170,00 €
Pharmaceutical Secondary Standard: 
1 G - 89,70 €</t>
  </si>
  <si>
    <t>To expensive, we'll not reach mortality with reasonable amount that could be purchased</t>
  </si>
  <si>
    <t>7W-GP8543</t>
  </si>
  <si>
    <t>100 G-€44.90
500 G-€107.00
25G-€20.00
500G-€72.00</t>
  </si>
  <si>
    <t>https://www.sigmaaldrich.com/ES/en/search/96-45-7?focus=products&amp;page=1&amp;perPage=30&amp;sort=relevance&amp;term=96-45-7&amp;type=product
https://www.tcichemicals.com/ES/en/search/?text=96-45-7</t>
  </si>
  <si>
    <t>Not toxic, reasonable amount!?</t>
  </si>
  <si>
    <t>7W-GK2739</t>
  </si>
  <si>
    <t>1kg</t>
  </si>
  <si>
    <t xml:space="preserve">100g-24.00 €
500g-38.00 €
2500g-125.00 €	</t>
  </si>
  <si>
    <t>https://cymitquimica.com/products/02-A18265/122-39-4/euda1-diphenylamine/</t>
  </si>
  <si>
    <t>7W-GT3395</t>
  </si>
  <si>
    <t>Atorvastatin
(Atorvastatin Calcium Salt Trihydrate)</t>
  </si>
  <si>
    <t>1 G - 76,20 €</t>
  </si>
  <si>
    <t>A2476</t>
  </si>
  <si>
    <t>1g</t>
  </si>
  <si>
    <t>Pharmaceutical Secondary:
1 G - 72,50 €</t>
  </si>
  <si>
    <t>F0750</t>
  </si>
  <si>
    <t>100 ML - 126,00 €</t>
  </si>
  <si>
    <t>too volatile?</t>
  </si>
  <si>
    <t>N0079</t>
  </si>
  <si>
    <t>1 G - 54,50 €</t>
  </si>
  <si>
    <t>P0823</t>
  </si>
  <si>
    <t>100 ml</t>
  </si>
  <si>
    <t>5g - 65,00 €	
25g - 198,00 €</t>
  </si>
  <si>
    <t>https://www.trc-canada.com/product-detail/?V125000
https://cymitquimica.com/products/3B-V0118/152-11-4/verapamil-hydrochloride/</t>
  </si>
  <si>
    <t>Better verpamil · hydrochloride for purchasing</t>
  </si>
  <si>
    <t>V0118</t>
  </si>
  <si>
    <t xml:space="preserve">1 G - 63,30 €
25g - 74,00 €	</t>
  </si>
  <si>
    <t>https://cymitquimica.com/cas/15307-86-5?cpm_campaign=CAS_ES&amp;gclid=EAIaIQobChMI-aujh9nT8QIVFIfVCh1Zhg-IEAAYASAAEgKC__D_BwE</t>
  </si>
  <si>
    <t>better diclofenac sodium salt, instead of the acid??</t>
  </si>
  <si>
    <t>D3748</t>
  </si>
  <si>
    <t>50 G - 50,30 €
250 G - 167,00 €</t>
  </si>
  <si>
    <t>Sigma</t>
  </si>
  <si>
    <t>239658-50G</t>
  </si>
  <si>
    <t>50 G - 57,20 €</t>
  </si>
  <si>
    <t>197777-50G</t>
  </si>
  <si>
    <t>100 G - 42,50 €</t>
  </si>
  <si>
    <t>378674-100G</t>
  </si>
  <si>
    <t>5 G - 36,00 €
100 G - 39,30 €
500 G - 150,00 €</t>
  </si>
  <si>
    <t>https://www.sigmaaldrich.com/ES/es/product/aldrich/t50202?context=product</t>
  </si>
  <si>
    <t>T50202-100G</t>
  </si>
  <si>
    <t>100 MG-€62.00</t>
  </si>
  <si>
    <t>https://www.sigmaaldrich.com/ES/en/search/117428-22-5?focus=products&amp;page=1&amp;perPage=30&amp;sort=relevance&amp;term=117428-22-5&amp;type=product</t>
  </si>
  <si>
    <t>33658-100MG-R</t>
  </si>
  <si>
    <t xml:space="preserve"> 100mg</t>
  </si>
  <si>
    <t>1 L-€36.40
2.5 L-€73.80
500ml-25.00 €	
2500ml-66.00 €</t>
  </si>
  <si>
    <t>https://www.sigmaaldrich.com/ES/en/search/111-76-2?focus=products&amp;page=1&amp;perPage=30&amp;sort=relevance&amp;term=111-76-2&amp;type=product
https://cymitquimica.com/products/02-A17976/111-76-2/2-n-butoxyethanol/</t>
  </si>
  <si>
    <t>1l</t>
  </si>
  <si>
    <t>5 G - 28,50 €
100 G - 34,20 €
1 KG - 122,00 €</t>
  </si>
  <si>
    <t>There are not limited exempted amount to be shipped (=0), based on IATA regulations. Therefore, we could not send aliquots of this chemical to any partner. Considering also comments from Andrew Tindall about possible bans regarding reception of this type of explosive compounds, I recommend to ex-change it with other compound with a similar MoA.</t>
  </si>
  <si>
    <t>D198501-100G</t>
  </si>
  <si>
    <t>≥99.9% trace metals basis: 1.0 g for 318,00 €</t>
  </si>
  <si>
    <t>5mg - EUR 95	
25mg - EUR 390
50 mg -  EUR 459</t>
  </si>
  <si>
    <t>https://www.medchemexpress.com/Etomoxir.html?locale=es-ES?src=google-product&amp;gclid=EAIaIQobChMImpnXiqnO8QIVFPhRCh3DKAiCEAAYASAAEgJ6O_D_BwE</t>
  </si>
  <si>
    <t>5 MG - 44,70 €
25 MG - 141,00 €</t>
  </si>
  <si>
    <t>10 MG - 160,00 €</t>
  </si>
  <si>
    <t>100 μG - 325,00 €</t>
  </si>
  <si>
    <t>25 MG - 68,80 €
100 MG	- 80,40 €
500 MG	- 307,00 €</t>
  </si>
  <si>
    <t>25mg - 130,00 €</t>
  </si>
  <si>
    <t>https://cymitquimica.com/products/04-C17414700/1229654-66-3/tetraniliprole/</t>
  </si>
  <si>
    <t>100 MG - 33,00 €
500 MG	- 42,20 €
1 G - 68,80 €
5 G - 224,00 €</t>
  </si>
  <si>
    <t>50 MG - 496,00 €</t>
  </si>
  <si>
    <t>Only in???:
https://www.alfa-chemistry.com/cas_139340-56-0.htm</t>
  </si>
  <si>
    <t>≥96% (HPLC)
100 MG	- 50,90 €
250 MG	- 119,00 €
500 MG	- 206,00 €
1 G - 355,00 €
5 G - 1440,00 €</t>
  </si>
  <si>
    <t>Too insoluble?</t>
  </si>
  <si>
    <t>5 MG - 77,10 €
25 MG - 290,00 €
25 MG - 225 €</t>
  </si>
  <si>
    <t>25mg - 43.30 €
100mg - 108.40 €</t>
  </si>
  <si>
    <t>https://www.glentham.com/en/products/product/GP8358/</t>
  </si>
  <si>
    <t xml:space="preserve">250 MG	-71,30 €
5g - 204,00 €	
10g - 347,00 €	
25g - 579,00 €	</t>
  </si>
  <si>
    <t>https://cymitquimica.com/products/TR-E555507/115-29-7/endosulfan-d4-mixture-of-diastereomers/</t>
  </si>
  <si>
    <t>100 MG - 162,00 €
100 mg - 136€</t>
  </si>
  <si>
    <t>https://www.scbt.com/es/p/haloxyfop-p-methyl-72619-32-0</t>
  </si>
  <si>
    <t xml:space="preserve">100 MG	- 59,80 €
1g - 160,00 €	
5g - 510,00 €	
10g - 778,00 €	</t>
  </si>
  <si>
    <t>https://cymitquimica.com/products/3D-GAA51538/6515-38-4/356-trichloro-2-pyridinol/</t>
  </si>
  <si>
    <t>25 ML - 29,50 €
500 ML - 49,30 €
Here cheaper and more pure https://cymitquimica.com/cas/78-42-2?cpm_campaign=CAS_ES&amp;gclid=EAIaIQobChMIn5yzvJHd8QIVyMLVCh1MVw9iEAAYAiAAEgIJvfD_BwE</t>
  </si>
  <si>
    <t>5 G - 43,80 €
100 G - 72,30 €
500 G - 355,00 €</t>
  </si>
  <si>
    <t>https://cymitquimica.com/cas/91-44-1?items=100
Here cheaper</t>
  </si>
  <si>
    <t>5mg - 134,00 €	
25mg - 567,00 €	
50mg - 978,00 €</t>
  </si>
  <si>
    <r>
      <t>Room temperature
(</t>
    </r>
    <r>
      <rPr>
        <sz val="11"/>
        <color rgb="FFFF0000"/>
        <rFont val="Calibri"/>
        <family val="2"/>
        <scheme val="minor"/>
      </rPr>
      <t>STORE AWAY FROM SOURCES OF IGNITION</t>
    </r>
    <r>
      <rPr>
        <sz val="11"/>
        <color theme="1"/>
        <rFont val="Calibri"/>
        <family val="2"/>
        <scheme val="minor"/>
      </rPr>
      <t>)</t>
    </r>
  </si>
  <si>
    <t>500 MG - 43,20 €</t>
  </si>
  <si>
    <t>1G - €68.00
5G - €201.00</t>
  </si>
  <si>
    <t>https://www.tcichemicals.com/ES/en/search/?text=Andrographolide+</t>
  </si>
  <si>
    <t>100 mg - 117,70 €
250 mg - 149,20 €
500 mg - 248,95 €
1 g - 339,25 €
2.5 g - 626,95 €</t>
  </si>
  <si>
    <t>100 G - 59,90 €</t>
  </si>
  <si>
    <t xml:space="preserve">100mg - 86,00 €	
500mg - 116,00 €	
1g - 146,00 €	
5g - 218,00 €	
25g - 354,00 €	
100g - 527,00 €	</t>
  </si>
  <si>
    <t>https://cymitquimica.com/cas/133855-98-8?cpm_campaign=CAS_ES&amp;gclid=EAIaIQobChMIsYuh_6bd8QIVHePmCh2-HQcYEAAYASAAEgJaufD_BwE
or
https://www.trc-canada.com/product-detail/?E589110</t>
  </si>
  <si>
    <t>100 G - 57,50 €
500 G - 202,00 €
750 G - 206,00 €</t>
  </si>
  <si>
    <t>5 G - 26,70 €
250 G - 48,00 €
500 G - 81,40 €</t>
  </si>
  <si>
    <t>https://cymitquimica.com/cas/94-13-3?cpm_campaign=CAS_ES&amp;gclid=EAIaIQobChMIs8Ln4K7d8QIVBsPVCh1AqwyJEAAYASAAEgKeHPD_BwE
cheaper</t>
  </si>
  <si>
    <t xml:space="preserve">100 MG - 33,80 €
25mg - 78,00 €	
100mg - 97,00 €	
250mg - 121,00 €	
500mg - 188,00 €	
1g - 329,00 €
5g - 498,00 €	</t>
  </si>
  <si>
    <t>https://cymitquimica.com/products/TR-M338700/51218-45-2/metolachlor/</t>
  </si>
  <si>
    <t>0.1 g - €54.80
0.25 g - €84.30
0.5 g - €126.45
1 g - €189.68
2 g - €295.06</t>
  </si>
  <si>
    <t>https://www.carbosynth.com/carbosynth/website.nsf/(w-productdisplay)/CC406D7B34528D8E802574B0006D83EF</t>
  </si>
  <si>
    <t xml:space="preserve">100 G - 65,60 €
500g - 108,00 €	</t>
  </si>
  <si>
    <t>https://cymitquimica.com/cas/148-24-3?cpm_campaign=CAS_ES&amp;gclid=EAIaIQobChMI2piUrtTd8QIVJOLmCh0mdAhiEAAYASAAEgJqSfD_BwE
or
https://www.alfa.com/es/catalog/A14720/</t>
  </si>
  <si>
    <t>1G - €15.00
5G - €27.00
25G - €114.00</t>
  </si>
  <si>
    <t>https://www.tcichemicals.com/IE/en/p/C1070</t>
  </si>
  <si>
    <t xml:space="preserve">1g - 28,00 €	
25g - 36,00 €	
100g - 103,00 €	</t>
  </si>
  <si>
    <t>https://cymitquimica.com/cas/256-96-2</t>
  </si>
  <si>
    <t xml:space="preserve">500mg - 77,00 €
95% purity --&gt; 25g - 61,00 €	</t>
  </si>
  <si>
    <t>https://cymitquimica.com/es/cas/155569-91-8?cpm_campaign=CAS_ES&amp;gclid=EAIaIQobChMI9pv4_Pjx8gIVDJ53Ch1WBgWfEAAYAiAAEgK47_D_BwE</t>
  </si>
  <si>
    <t>1g - 66,20€	
5g - 223,00€</t>
  </si>
  <si>
    <t>https://www.alfa.com/es/catalog/J60039/</t>
  </si>
  <si>
    <t>25 G - 30,20 €</t>
  </si>
  <si>
    <t>https://www.sigmaaldrich.com/ES/es/product/aldrich/348104?context=product</t>
  </si>
  <si>
    <t>5 mg - 174.00€
25 mg - 609.00€</t>
  </si>
  <si>
    <t>https://www.biomol.com/products/chemicals/biochemicals/milbemectin-cay22003-5</t>
  </si>
  <si>
    <t xml:space="preserve">50g - 275.00 €	</t>
  </si>
  <si>
    <t>https://cymitquimica.com/products/3H-SNM6488/2155-70-6/methacryloxytri-n-butyltin/</t>
  </si>
  <si>
    <t xml:space="preserve">1g - 184.00 €
10g - 1,349.00 €	</t>
  </si>
  <si>
    <t>https://cymitquimica.com/products/TR-P991260/96489-71-3/pyridaben/</t>
  </si>
  <si>
    <t>25g - 31.00 €
100g - 85.00 €
25 G - 45,90 €
100 G - 151,00 €</t>
  </si>
  <si>
    <t>https://cymitquimica.com/products/7W-GA0011/548-62-9/crystal-violet-ci-42555-usp-grade/
https://www.sigmaaldrich.com/ES/es/product/sial/g2039?context=product</t>
  </si>
  <si>
    <t xml:space="preserve">100 MG - 54,10 €
100mg-208,00 €
250mg-416,00 €
500mg-590,00 €	</t>
  </si>
  <si>
    <t>https://www.sigmaaldrich.com/ES/es/substance/isazophos3137442509808?context=product
https://cymitquimica.com/search/Isazophos/</t>
  </si>
  <si>
    <t>100 MG-160,00 €
250mg-88.00 €
500mg-118.00 €
1g-180.00 €	
2g-332.00 €	
10g-1,323.00 €</t>
  </si>
  <si>
    <t>https://www.sigmaaldrich.com/ES/en/search/124495-18-7?focus=products&amp;page=1&amp;perPage=30&amp;sort=relevance&amp;term=124495-18-7&amp;type=product
https://cymitquimica.com/products/TR-Q765500/124495-18-7/quinoxyfen/</t>
  </si>
  <si>
    <t xml:space="preserve">100 MG-€86.60
2g-111.00 €	
5g-199.00 €	
10g-310.00 €	
25g-519.00 €	
50g-791.00 €	</t>
  </si>
  <si>
    <t>https://www.sigmaaldrich.com/ES/en/search/119168-77-3?focus=products&amp;page=1&amp;perPage=30&amp;sort=relevance&amp;term=119168-77-3&amp;type=product
https://cymitquimica.com/products/3D-FT28018/119168-77-3/tebufenpyrad/</t>
  </si>
  <si>
    <t xml:space="preserve">250mg-118.00 €	
500mg-187.00 €	
1g-344.00 €	
2g-638.00 €	
5g-1,374.00 €	</t>
  </si>
  <si>
    <t>https://cymitquimica.com/products/TR-F248880/111812-58-9/fenpyroximate/</t>
  </si>
  <si>
    <t>Immobilization EC50 - Daphnia magna (Water flea) - &gt; 1,024 ug/l -
24 h</t>
  </si>
  <si>
    <t>25 MG-€60.50
100 MG-€183.00
100MG-€132.00</t>
  </si>
  <si>
    <t>https://www.sigmaaldrich.com/ES/en/search/205-99-2?focus=products&amp;page=1&amp;perPage=30&amp;sort=relevance&amp;term=205-99-2&amp;type=product
https://www.tcichemicals.com/ES/en/search/?text=205-99-2</t>
  </si>
  <si>
    <t>100 MG-€75.30
100mg-75.00 €</t>
  </si>
  <si>
    <t>https://www.sigmaaldrich.com/ES/en/search/2104-64-5?focus=products&amp;page=1&amp;perPage=30&amp;sort=relevance&amp;term=2104-64-5&amp;type=product
https://cymitquimica.com/products/04-C13180000/2104-64-5/epn/</t>
  </si>
  <si>
    <t xml:space="preserve">250 MG-€57.80
100mg-65.00 €	</t>
  </si>
  <si>
    <t>https://www.sigmaaldrich.com/ES/en/search/56-72-4?focus=products&amp;page=1&amp;perPage=30&amp;sort=relevance&amp;term=56-72-4&amp;type=product
https://cymitquimica.com/products/04-C11730000/56-72-4/coumaphos/</t>
  </si>
  <si>
    <t xml:space="preserve">25G-€78.00
5g-66.00 €	
10g-79.00 €	
25g-99.00 €	
50g-123.00 €	
100g-204.00 €	
250g-431.00 €	</t>
  </si>
  <si>
    <t>https://www.tcichemicals.com/ES/en/search/?text=6317-18-6
https://cymitquimica.com/products/TR-M304115/6317-18-6/methylene-dithiocyanate/</t>
  </si>
  <si>
    <t xml:space="preserve">100 MG-€67.40
100mg-118.00 €	
250mg-180.00 €	
500mg-289.00 €	
2.5g-1,207.00 €	</t>
  </si>
  <si>
    <t>https://www.sigmaaldrich.com/ES/en/search/2212-67-1?focus=products&amp;page=1&amp;perPage=30&amp;sort=relevance&amp;term=2212-67-1&amp;type=product
https://cymitquimica.com/products/TR-M486475/2212-67-1/molinate/</t>
  </si>
  <si>
    <t>250 ML-€101.00
250mg-80.00 €</t>
  </si>
  <si>
    <t>https://www.sigmaaldrich.com/ES/en/search/2687-96-9?focus=products&amp;page=1&amp;perPage=30&amp;sort=relevance&amp;term=2687-96-9&amp;type=product
https://cymitquimica.com/products/04-C13066500/2687-96-9/n-dodecylpyrrolidinone/</t>
  </si>
  <si>
    <t>25 G-€48.20</t>
  </si>
  <si>
    <t>https://www.sigmaaldrich.com/ES/en/search/62-38-4?focus=products&amp;page=1&amp;perPage=30&amp;sort=relevance&amp;term=62-38-4&amp;type=product</t>
  </si>
  <si>
    <t>25 G-€47.70
100 G-€157.00</t>
  </si>
  <si>
    <t>https://www.sigmaaldrich.com/ES/en/search/gentian-violet?focus=products&amp;page=1&amp;perPage=30&amp;sort=relevance&amp;term=gentian%20violet&amp;type=product</t>
  </si>
  <si>
    <t xml:space="preserve">250 MG-€90.40
250mg-89.00 €	</t>
  </si>
  <si>
    <t>https://www.sigmaaldrich.com/ES/en/search/22224-92-6?focus=products&amp;page=1&amp;perPage=30&amp;sort=relevance&amp;term=22224-92-6&amp;type=product
https://cymitquimica.com/products/04-C13420000/22224-92-6/fenamiphos/</t>
  </si>
  <si>
    <t xml:space="preserve">100 MG-€56.10
500 MG-€93.30
100mg-88.00 €	
250mg-112.00 €	
500mg-137.00 €	
1g-247.00 €	</t>
  </si>
  <si>
    <t>https://www.sigmaaldrich.com/ES/en/search/56-38-2?focus=products&amp;page=1&amp;perPage=30&amp;sort=relevance&amp;term=56-38-2&amp;type=product
https://cymitquimica.com/products/TR-P192220/56-38-2/parathion/</t>
  </si>
  <si>
    <t>100 MG-€116.00
25g-167.00 €	
50g-289.00 €	
100g-502.00 €	
250g-847.00 €</t>
  </si>
  <si>
    <t>https://www.sigmaaldrich.com/ES/en/search/144550-36-7?focus=products&amp;page=1&amp;perPage=30&amp;sort=relevance&amp;term=144550-36-7&amp;type=product
https://cymitquimica.com/products/TR-I720005/144550-36-7/iodosulfuron-methyl-ester-sodium/</t>
  </si>
  <si>
    <t>25 G-€21.20
500 G-€33.80
2.5 KG-€89.30
20 KG-€502.00</t>
  </si>
  <si>
    <t>250mg-€301.07
1g-€422.22
5g-€1,027.94
250mg-168.00 €	
1g-223.00 €	
10g-638.00 €</t>
  </si>
  <si>
    <t>https://www.sigmaaldrich.com/ES/en/product/astatechinc/ate517248222?context=bbe
https://cymitquimica.com/products/TR-D436610/145701-21-9/diclosulam/</t>
  </si>
  <si>
    <t>100 MG-€52.80</t>
  </si>
  <si>
    <t>https://www.sigmaaldrich.com/ES/en/search/141-66-2?focus=products&amp;page=1&amp;perPage=30&amp;sort=relevance&amp;term=141-66-2&amp;type=product</t>
  </si>
  <si>
    <t>250 MG-€73.90</t>
  </si>
  <si>
    <t>https://www.sigmaaldrich.com/ES/en/search/759-94-4?focus=products&amp;page=1&amp;perPage=30&amp;sort=relevance&amp;term=759-94-4&amp;type=product</t>
  </si>
  <si>
    <t>250 MG-€107.00</t>
  </si>
  <si>
    <t>https://www.sigmaaldrich.com/ES/en/search/1007-28-9?focus=products&amp;page=1&amp;perPage=30&amp;sort=relevance&amp;term=1007-28-9&amp;type=product</t>
  </si>
  <si>
    <t>100 MG-€83.50
100mg-94.00 €	
1g-168.00 €	
10g-361.00 €</t>
  </si>
  <si>
    <t>https://www.sigmaaldrich.com/ES/en/search/23135-22-0?focus=products&amp;page=1&amp;perPage=30&amp;sort=relevance&amp;term=23135-22-0&amp;type=product
https://cymitquimica.com/products/TR-O845140/23135-22-0/oxamyl/</t>
  </si>
  <si>
    <t>100 MG-€52.50</t>
  </si>
  <si>
    <t>https://www.sigmaaldrich.com/ES/en/search/81335-37-7?focus=products&amp;page=1&amp;perPage=30&amp;sort=relevance&amp;term=81335-37-7&amp;type=product</t>
  </si>
  <si>
    <t>100 MG-€48.80
250mg-74.00 €	
500mg-100.00 €	
1g-168.00 €	
10g-819.00 €</t>
  </si>
  <si>
    <t>https://www.sigmaaldrich.com/ES/en/search/57837-19-1?focus=products&amp;page=1&amp;perPage=30&amp;sort=relevance&amp;term=57837-19-1&amp;type=product
https://cymitquimica.com/products/TR-M258740/57837-19-1/metalaxyl/</t>
  </si>
  <si>
    <t>1G-€135.00</t>
  </si>
  <si>
    <t>https://www.tcichemicals.com/ES/en/search/?text=113136-77-9</t>
  </si>
  <si>
    <t>5G-€47.00
25g-97.00 €	
50g-155.00 €	
100g-263.00 €	
250g-486.00 €	
500g-709.00 €</t>
  </si>
  <si>
    <t>https://www.tcichemicals.com/ES/en/search/?text=Picloram
https://cymitquimica.com/products/3D-FA131305/1918-02-1/4-amino-356-trichloropyridine-2-carboxylic-acid/</t>
  </si>
  <si>
    <t xml:space="preserve">25 MG-€56.10
1g-423.00 €
25mg-68.00 €	
100mg-94.00 €	
250mg-150.00 €	
500mg-249.00 €	</t>
  </si>
  <si>
    <t>https://www.sigmaaldrich.com/ES/en/search/219714-96-2?focus=products&amp;page=1&amp;perPage=30&amp;sort=relevance&amp;term=219714-96-2&amp;type=product
https://cymitquimica.com/products/TR-P274000/219714-96-2/penoxsulam/</t>
  </si>
  <si>
    <t xml:space="preserve">250 MG-€57.80
1g-134.00 €	
5g-490.00 €	
250mg-74.00 €	</t>
  </si>
  <si>
    <t>https://www.sigmaaldrich.com/ES/en/search/94-82-6?focus=products&amp;page=1&amp;perPage=30&amp;sort=relevance&amp;term=94-82-6&amp;type=product
https://cymitquimica.com/products/10-337042/94-82-6/4-24-dichlorophenoxybutanoic-acid/</t>
  </si>
  <si>
    <t xml:space="preserve">1g-1,215.00 €	
100mg-168.00 €	
250mg-363.00 €	
500mg-682.00 €	</t>
  </si>
  <si>
    <t>https://cymitquimica.com/products/TR-D416890/962-58-3/diazoxon/</t>
  </si>
  <si>
    <t>250 MG-€59.20
10g-102.00 €	
25g-134.00 €	
50g-190.00 €	
100g-345.00 €	
250g-520.00 €</t>
  </si>
  <si>
    <t>https://www.sigmaaldrich.com/ES/en/search/122-34-9?focus=products&amp;page=1&amp;perPage=30&amp;sort=relevance&amp;term=122-34-9&amp;type=product
https://cymitquimica.com/cas/122-34-9</t>
  </si>
  <si>
    <t>5 G-€58.30
10 G-€65.90
25 G-€171.00
50 G-€250.00
100 G-€531.00
250 G-€1,150.00</t>
  </si>
  <si>
    <t>https://www.sigmaaldrich.com/ES/en/search/75-60-5?focus=products&amp;page=1&amp;perPage=30&amp;sort=relevance&amp;term=75-60-5&amp;type=product</t>
  </si>
  <si>
    <t xml:space="preserve">100 MG-€59.20
500mg-119.00 €
1g-188.00 €	
2g-345.00 €	
5g-752.00 €	
10g-1,312.00 €	</t>
  </si>
  <si>
    <t>https://www.sigmaaldrich.com/ES/en/search/60-51-5?focus=products&amp;page=1&amp;perPage=30&amp;sort=relevance&amp;term=60-51-5&amp;type=product
https://cymitquimica.com/products/TR-D460505/60-51-5/dimethoate/</t>
  </si>
  <si>
    <t xml:space="preserve">50 MG-€69.50
1g-176.00 €	
5g-823.00 €	
10g-1,352.00 €	</t>
  </si>
  <si>
    <t>https://www.sigmaaldrich.com/ES/en/search/74115-24-5?focus=products&amp;page=1&amp;perPage=30&amp;sort=relevance&amp;term=74115-24-5&amp;type=product
https://cymitquimica.com/products/TR-C585615/74115-24-5/clofentezine/</t>
  </si>
  <si>
    <t xml:space="preserve">25 G-€62.60
100 G-€159.00
25g-88.00 €	
50g-95.00 €	
100g-100.00 €	
250g-169.00 €	
500g-249.00 €	</t>
  </si>
  <si>
    <t>https://www.sigmaaldrich.com/ES/en/search/128-95-0?focus=products&amp;page=1&amp;perPage=30&amp;sort=relevance&amp;term=128-95-0&amp;type=product
https://cymitquimica.com/products/TR-D416080/128-95-0/14-diaminoanthraquinone/</t>
  </si>
  <si>
    <t>5G-€21.00
25G-€74.00</t>
  </si>
  <si>
    <t>https://www.tcichemicals.com/ES/en/search/?text=81-55-0</t>
  </si>
  <si>
    <t>5 g-€45.50
25 g-€55.40</t>
  </si>
  <si>
    <t>https://www.sigmaaldrich.com/ES/en/product/bldpharmatechltd/bl3h160c3aa7?context=bbe</t>
  </si>
  <si>
    <t>25 G-€154.00
5G-€22.00
25G-€70.00</t>
  </si>
  <si>
    <t>https://www.sigmaaldrich.com/ES/en/search/569-61-9?focus=products&amp;page=1&amp;perPage=30&amp;sort=relevance&amp;term=569-61-9&amp;type=product
https://www.tcichemicals.com/ES/en/search/?text=569-61-9</t>
  </si>
  <si>
    <t>100mg-51.00 €</t>
  </si>
  <si>
    <t>https://cymitquimica.com/products/04-C11460000/3691-35-8/chlorophacinone/</t>
  </si>
  <si>
    <t xml:space="preserve">25g-43.00 €	</t>
  </si>
  <si>
    <t>https://cymitquimica.com/products/7W-GP6995/101831-37-2/diclazuril/</t>
  </si>
  <si>
    <t>25G-€27.00
100G-€72.00
500G-€217.00</t>
  </si>
  <si>
    <t>https://www.tcichemicals.com/ES/en/search/?text=102-07-8</t>
  </si>
  <si>
    <t xml:space="preserve">100MG-€70.00
1G-€448.00
2g-78.00 €	
5g-104.00 €	
10g-152.00 €	
25g-218.00 €	
50g-310.00 €	</t>
  </si>
  <si>
    <t>https://www.tcichemicals.com/ES/en/search/?text=518-82-1
https://cymitquimica.com/products/3D-FE09969/518-82-1/emodin/</t>
  </si>
  <si>
    <t>10MG-€31.00
50MG-€92.00
250MG-€248.00
250mg-90.10 €	
1g-205.70 €	
5g-654.50 €</t>
  </si>
  <si>
    <t>https://www.tcichemicals.com/ES/en/search/?text=370-86-5
https://cymitquimica.com/products/54-PC0578/370-86-5/2-2-4-trifluoromethoxyphenylhydrazonomalononitrile/</t>
  </si>
  <si>
    <t>1G-€70.00
5G-€150.00</t>
  </si>
  <si>
    <t>https://www.tcichemicals.com/ES/en/search/?text=605-91-4</t>
  </si>
  <si>
    <t>200MG-€15.00
1G-€45.00
5g-93.00 €	
10g-137.00 €	
25g-185.00 €	
50g-309.00 €	
100g-406.00 €</t>
  </si>
  <si>
    <t>https://www.tcichemicals.com/ES/en/search/?text=478-43-3
https://cymitquimica.com/products/3D-FR27724/478-43-3/rhein/</t>
  </si>
  <si>
    <t>5G-€63.00
25G-€172.0</t>
  </si>
  <si>
    <t>https://www.tcichemicals.com/ES/en/search/?text=13292-46-1</t>
  </si>
  <si>
    <t>100MG-€111.00	
500MG-€342.00
0.05g-62.00 €	
0.1g-93.00 €
0.25g-137.00 €
0.5g-186.00 €
1g-284.00 €</t>
  </si>
  <si>
    <t>https://www.tcichemicals.com/ES/en/search/?text=61379-65-5
https://cymitquimica.com/products/3D-AR27731/61379-65-5/rifapentine/</t>
  </si>
  <si>
    <t xml:space="preserve">250 MG-€73.20
1g-55.00 €	
5g-167.00 €	
25g-473.00 €	</t>
  </si>
  <si>
    <t>https://www.sigmaaldrich.com/ES/en/search/51707-55-2?focus=products&amp;page=1&amp;perPage=30&amp;sort=relevance&amp;term=51707-55-2&amp;type=product
https://cymitquimica.com/products/54-BIT0888/51707-55-2/thidiazuron/</t>
  </si>
  <si>
    <t>Repeated compound</t>
  </si>
  <si>
    <r>
      <t xml:space="preserve">25G-€95.00
500G-€400.00
</t>
    </r>
    <r>
      <rPr>
        <sz val="11"/>
        <color rgb="FFFF0000"/>
        <rFont val="Calibri"/>
        <family val="2"/>
        <scheme val="minor"/>
      </rPr>
      <t>(&gt;52% solution in water!!!)</t>
    </r>
  </si>
  <si>
    <r>
      <t>There is only available in solution (</t>
    </r>
    <r>
      <rPr>
        <sz val="11"/>
        <color theme="1"/>
        <rFont val="Symbol"/>
        <family val="1"/>
        <charset val="2"/>
      </rPr>
      <t>³</t>
    </r>
    <r>
      <rPr>
        <sz val="11"/>
        <color theme="1"/>
        <rFont val="Calibri"/>
        <family val="2"/>
        <scheme val="minor"/>
      </rPr>
      <t>52%)</t>
    </r>
  </si>
  <si>
    <t>25g-25,00 €	
500g-143,00 €</t>
  </si>
  <si>
    <t>? (only in Alfa Chemistry under inquiry; inquired)</t>
  </si>
  <si>
    <t>Alfa Chemistry</t>
  </si>
  <si>
    <t>1g-92,00 €
1g-111,00 €	
5g-307,00 €	
25g-769,00 €	
100g-1.857,00 €</t>
  </si>
  <si>
    <t>https://cymitquimica.com/es/productos/54-PC57519/10442-83-8/2-2-nitro-4-trifluoromethylphenylaminoethanol/
https://cymitquimica.com/es/productos/10-314190/10442-83-8/2-2-nitro-4-trifluoromethylphenylaminoethanol/</t>
  </si>
  <si>
    <t>10-314190</t>
  </si>
  <si>
    <t>2g-95,00 €	
5g-141,00 €	
10g-191,00 €	
25g-318,00 €	
50g-479,00 €</t>
  </si>
  <si>
    <t>https://cymitquimica.com/es/productos/3D-FT27994/10540-29-1/tamoxifen/</t>
  </si>
  <si>
    <t>Biosynth / Carbosynth</t>
  </si>
  <si>
    <t>3D-FT27994</t>
  </si>
  <si>
    <t>2g</t>
  </si>
  <si>
    <t>500 ML-€41.50
1 L-€47.10
2.5 L-€102.00</t>
  </si>
  <si>
    <t>https://www.sigmaaldrich.com/ES/en/product/sigald/d137510</t>
  </si>
  <si>
    <t>D137510-1L</t>
  </si>
  <si>
    <t>1L</t>
  </si>
  <si>
    <t>5g-98,00 €	
25g-284,00 €</t>
  </si>
  <si>
    <t>https://cymitquimica.com/es/productos/3B-A1650/1912-24-9/atrazine/</t>
  </si>
  <si>
    <t>TCI</t>
  </si>
  <si>
    <t>3B-A1650</t>
  </si>
  <si>
    <t xml:space="preserve">1g-52,00 €	
5g-97,00 €	
10g-152,00 €	</t>
  </si>
  <si>
    <t>https://cymitquimica.com/es/productos/7W-GA4370/35554-44-0/imazalil/
https://cymitquimica.com/es/productos/TR-I268503/35554-44-0/imazalil/</t>
  </si>
  <si>
    <t>TRC Canada</t>
  </si>
  <si>
    <t>TR-I268503</t>
  </si>
  <si>
    <t>(also less, check webpage)
2g-100,00 €	
5g-149,00 €	
10g-201,00 €	
25g-334,00 €</t>
  </si>
  <si>
    <t>https://cymitquimica.com/es/cas/59865-13-3/</t>
  </si>
  <si>
    <t>3D-FC20749</t>
  </si>
  <si>
    <t xml:space="preserve">25g-50,00 €	
100g-117,00 €	</t>
  </si>
  <si>
    <t>https://cymitquimica.com/es/productos/3B-T2525/60-54-8/tetracycline-hydrochloride/</t>
  </si>
  <si>
    <t>3B-T2525</t>
  </si>
  <si>
    <t>25g-35,00 €	
500g-269,00 €</t>
  </si>
  <si>
    <t>https://cymitquimica.com/es/productos/3B-D1602/615-50-9/25-diaminotoluene-sulfate/</t>
  </si>
  <si>
    <t>3B-D1602</t>
  </si>
  <si>
    <t>500ml-44,00 €	
1l-67,00 €	
4l-161,00 €
4x1l-182,00 €</t>
  </si>
  <si>
    <t>https://cymitquimica.com/es/productos/02-039117/68-12-2/nn-dimethylformamide-acs/</t>
  </si>
  <si>
    <t>02-039117</t>
  </si>
  <si>
    <t>250 mg	-€46.60
1 g-€49.90
5 g-€71.90
10 g-€92.80
25 g-€147.80</t>
  </si>
  <si>
    <t>https://www.sigmaaldrich.com/ES/en/product/bldpharmatechltd/bl3h1f1cac84?context=bbe</t>
  </si>
  <si>
    <t>BLD Pharmatech Ltd.</t>
  </si>
  <si>
    <t>BL3H1F1CAC84-25G</t>
  </si>
  <si>
    <t>5g-74,00 €</t>
  </si>
  <si>
    <t>https://cymitquimica.com/es/productos/7W-GA6777/94361-06-5/cyproconazole/</t>
  </si>
  <si>
    <t>7W-GA6777</t>
  </si>
  <si>
    <t>100g-30,00 €	
500g-76,00 €</t>
  </si>
  <si>
    <t>https://cymitquimica.com/es/productos/02-A13735/95-55-6/2-aminophenol/</t>
  </si>
  <si>
    <t>02-A13735</t>
  </si>
  <si>
    <t>0.25g-108,00 €	
0.5g-189,00 €	
1g-286,00 €	
2g-493,00 €	
5g-860,00 €</t>
  </si>
  <si>
    <t>https://cymitquimica.com/es/productos/3D-AT10818/220620-09-7/tigecycline/</t>
  </si>
  <si>
    <t>3D-AT10818</t>
  </si>
  <si>
    <t>1g-91,00 €	
2g-122,00 €	
5g-259,00 €	
10g-457,00 €	
25g-660,00 €</t>
  </si>
  <si>
    <t>https://cymitquimica.com/es/productos/3D-FR65511/83-79-4/rotenone/</t>
  </si>
  <si>
    <t>3D-FR65511</t>
  </si>
  <si>
    <t>Max. content 70% in water
100ml-29,00 €	
500ml-56,00 €	
2500ml-225,00 €</t>
  </si>
  <si>
    <t>https://cymitquimica.com/es/productos/02-A13926/75-91-2/tert-butyl-hydroperoxide-70-aq-soln/</t>
  </si>
  <si>
    <t>02-A13926</t>
  </si>
  <si>
    <t>50mg-225.00 €	
500mg-1,560.00 €</t>
  </si>
  <si>
    <t>https://cymitquimica.com/products/TR-T774035/7012-37-5/244-trichlorobiphenyl/</t>
  </si>
  <si>
    <t>CARE: it seems export of PCBs to USA can be retricted! (Indiana would need to purchase its own chemical in this specific case)</t>
  </si>
  <si>
    <t>TR-T774035</t>
  </si>
  <si>
    <t>1 L-€40.10
2.5 L-€95.50</t>
  </si>
  <si>
    <t>https://www.sigmaaldrich.com/ES/en/search/108-88-3?focus=products&amp;page=1&amp;perpage=30&amp;sort=relevance&amp;term=108-88-3&amp;type=cas_number</t>
  </si>
  <si>
    <t>1g-149,00 €	
5g-467,00 €</t>
  </si>
  <si>
    <t>https://cymitquimica.com/es/productos/3B-T2967/111988-49-9/thiacloprid/</t>
  </si>
  <si>
    <t xml:space="preserve">25g-98,00 €	
50g-159,00 €	
100g-276,00 €	</t>
  </si>
  <si>
    <t xml:space="preserve">25g-17,00 €	
100g-27,00 €	
250g-52,00 €	
500g-81,00 €
1kg-145,00 €	</t>
  </si>
  <si>
    <t>https://cymitquimica.com/es/productos/7W-GA9566/6004-24-6/cetylpyridinium-chloride-monohydrate/</t>
  </si>
  <si>
    <t>25g-47,00 €	
500g-143,00 €</t>
  </si>
  <si>
    <t>https://cymitquimica.com/es/productos/10-336654/1241-94-7/2-ethylhexyl-diphenyl-phosphate/</t>
  </si>
  <si>
    <t>1 L-€60.60
2.5 L-€127.00</t>
  </si>
  <si>
    <t>https://www.sigmaaldrich.com/ES/en/product/mm/100964</t>
  </si>
  <si>
    <t xml:space="preserve">1l-41,00 €	
4x1l-120,00 €	
500ml-29,00 €	</t>
  </si>
  <si>
    <t>https://cymitquimica.com/es/productos/02-016371/1330-20-7/xylenes-acs-985-assay-isomers-plus-ethylbenzene/</t>
  </si>
  <si>
    <t>mixtures of isomers</t>
  </si>
  <si>
    <t>25 MG-€61.50
100mg-84,00 €</t>
  </si>
  <si>
    <t>https://www.sigmaaldrich.com/ES/en/product/sial/45379</t>
  </si>
  <si>
    <t>250 MG-€41.30
1 G-€57.10</t>
  </si>
  <si>
    <t>https://www.sigmaaldrich.com/ES/en/product/aldrich/856177</t>
  </si>
  <si>
    <t xml:space="preserve">1g-36,00 €	
5g-110,00 €	</t>
  </si>
  <si>
    <t>https://cymitquimica.com/es/productos/3B-A2530/1951-25-3/amiodarone-hydrochloride/</t>
  </si>
  <si>
    <t>100mg-145,00 €	
500mg-262,00 €	
2.5g-664,00 €</t>
  </si>
  <si>
    <t>https://cymitquimica.com/es/productos/TR-C588500/210880-92-5/clothianidin/</t>
  </si>
  <si>
    <t>any supplier found</t>
  </si>
  <si>
    <t>100mg-77,00 €
5g-280,00 €	
10g-420,00 €	
25g-700,00 €	
50g-1.005,00 €	
100g-1.607,00 €</t>
  </si>
  <si>
    <t>https://cymitquimica.com/es/cas/115-09-3/</t>
  </si>
  <si>
    <t>10mg-59,00 €		
25mg-90,00 €	
50mg-101,00 €	
100mg-158,00 €	
200mg-199,00 €</t>
  </si>
  <si>
    <t>https://cymitquimica.com/es/productos/TM-T6690/293754-55-9/t0901317/</t>
  </si>
  <si>
    <t>5g-52,00 €</t>
  </si>
  <si>
    <t>https://cymitquimica.com/es/productos/3B-N0873/3248-91-7/new-fuchsin-for-biochemical-research/</t>
  </si>
  <si>
    <t>1) There is only available paraquat dichloride (selected before)
2) Once dissolved, the ions and speciation in the media, if pH adjusted will be the same</t>
  </si>
  <si>
    <t>wrong CAS and also: there is only available paraquat dichloride</t>
  </si>
  <si>
    <t>25ml-25,00 €	
100ml-48,00 €	
500ml-137,00 €</t>
  </si>
  <si>
    <t>https://cymitquimica.com/es/productos/3B-D1890/541-02-6/decamethylcyclopentasiloxane/</t>
  </si>
  <si>
    <t>100 ML-€97.30
1 L-€250.00</t>
  </si>
  <si>
    <t>https://www.sigmaaldrich.com/ES/en/product/sigald/270652</t>
  </si>
  <si>
    <t>I recommend to don't use this chemical, to risky for users!</t>
  </si>
  <si>
    <t xml:space="preserve">25g-17,00 €	
100g-27,00 €	
250g-52,00 €	
500g-81,00 €	
1kg-145,00 €	</t>
  </si>
  <si>
    <t>It was in the anhydrous form before. It would be the same once dissolved. I recommend to use just one of the both chemicals</t>
  </si>
  <si>
    <t>500ml-47,00 €	
1l-57,00 €	
2500ml-104,00 €</t>
  </si>
  <si>
    <t>https://cymitquimica.com/es/productos/7W-GS0166/67-66-3/chloroform-glenpure-analytical-grade-stabilised-with-amylene/</t>
  </si>
  <si>
    <t>Repeated (PTX043)</t>
  </si>
  <si>
    <t>10mg-84,00 €	
25mg-126,00 €	
50mg-201,00 €	
100mg-348,00 €	
250mg-558,00 €</t>
  </si>
  <si>
    <t>https://cymitquimica.com/es/productos/3D-ND08477/69123-98-4/1-2-deoxy-2-fluoro-d-arabinofuranosyl-5-iodouracil/</t>
  </si>
  <si>
    <t>250g-27,00 €	
1000g-72,00 €</t>
  </si>
  <si>
    <t>https://cymitquimica.com/es/productos/02-A11746/6080-56-4/euda1-leadii-acetate-trihydrate/</t>
  </si>
  <si>
    <t>Repeated (PTX006)</t>
  </si>
  <si>
    <t>Only under demand</t>
  </si>
  <si>
    <t>https://www.bocsci.com/4-2-6-dichlorophenyl-4-imino-3-5-dimethylcyclohexa-2-5-dien-cas-74578-10-2-item-257198.html?nid=7
https://chemondis.com/marketplace/p/hc-blue-15-74578-10-2/354fb525-6ebb-4c35-abc1-145e619f7a08/</t>
  </si>
  <si>
    <t>1g-80,00 €	
25g-295,00 €	
100g-499,00 €</t>
  </si>
  <si>
    <t>Not possible! It's a gas! An the other option is a solution in MeOH (which is also very toxic for the organisms)</t>
  </si>
  <si>
    <t xml:space="preserve">25g-25,00 €	
500g-56,00 €	</t>
  </si>
  <si>
    <t>https://cymitquimica.com/es/productos/3B-T0381/79-00-5/112-trichloroethane/</t>
  </si>
  <si>
    <t>1l-57,00 €
4x1l-174,00 €</t>
  </si>
  <si>
    <t>https://cymitquimica.com/es/productos/02-043487/79-01-6/trichloroethylene-spectrophotometric-grade-stab/</t>
  </si>
  <si>
    <t>100g-72,00 €	
250g-117,00 €
500g-192,00 €</t>
  </si>
  <si>
    <t>https://cymitquimica.com/es/productos/3D-FB55115/80-54-6/3-4-tert-butylphenylisobutyraldehyde/</t>
  </si>
  <si>
    <t>1g-47,00 €
5g-121,00 €	
10g-199,00 €	
25g-359,00 €</t>
  </si>
  <si>
    <t>https://cymitquimica.com/es/cas/93841-25-9/</t>
  </si>
  <si>
    <t>Repeated (PTX037)</t>
  </si>
  <si>
    <t>5g-71,00 €	
25g-264,00 €</t>
  </si>
  <si>
    <t>https://cymitquimica.com/es/productos/02-J63805/17086-28-1/doxycycline-monohydrate/</t>
  </si>
  <si>
    <t>Repeated before</t>
  </si>
  <si>
    <t>1g-94,00 €	
5g-209,00 €	
10g-315,00 €</t>
  </si>
  <si>
    <t>https://cymitquimica.com/es/productos/54-BIM0172/13614-98-7/minocycline-hydrochloride/</t>
  </si>
  <si>
    <t>1g-121,00 €	
5g-399,00 €</t>
  </si>
  <si>
    <t>https://cymitquimica.com/es/productos/7W-GA5426/37517-28-5/amikacin/</t>
  </si>
  <si>
    <t>5mg-206,00 €	
10mg-349,00 €	
25mg-584,00 €</t>
  </si>
  <si>
    <t>https://cymitquimica.com/es/productos/3D-FI176386/50-49-7/imipramine/</t>
  </si>
  <si>
    <t>Max. content 80%
5 G-€18.40
100 G-€19.90
500 G-€73.20
1 KG-€143.00</t>
  </si>
  <si>
    <t>https://www.sigmaaldrich.com/ES/en/product/aldrich/247502</t>
  </si>
  <si>
    <t>500mg-73,00 €	
1g-108,00 €	
5g-300,00 €</t>
  </si>
  <si>
    <t>https://cymitquimica.com/es/productos/02-J61072/64-86-8/colchicine/</t>
  </si>
  <si>
    <t xml:space="preserve">250mg-57,00 €	</t>
  </si>
  <si>
    <t>https://cymitquimica.com/es/productos/04-C14000200/1403-66-3/gentamycin-sulfate/</t>
  </si>
  <si>
    <t>500g-24,00 €	
2500g-81,00 €	
10000g-227,00 €</t>
  </si>
  <si>
    <t>https://cymitquimica.com/es/productos/02-A12274/6132-04-3/trisodium-citrate-dihydrate/</t>
  </si>
  <si>
    <t>It will the same as the above chemical</t>
  </si>
  <si>
    <t>acetaminophen</t>
  </si>
  <si>
    <t>250g-34,00 €	
500g-55,00 €	
1000g-93,00 €	
5000g-348,00 €
100 G-€89.10
500 G-€356.00
1 KG-€535.00</t>
  </si>
  <si>
    <t>https://cymitquimica.com/es/productos/02-A11240/103-90-2/4-acetamidophenol/
The one that Rob purchased!:
https://www.sigmaaldrich.com/ES/en/product/sial/a7085</t>
  </si>
  <si>
    <t>A7085-100G</t>
  </si>
  <si>
    <t>1g-195,00 €	
5g-310,00 €	
25g-640,00 €</t>
  </si>
  <si>
    <t>https://cymitquimica.com/es/productos/TR-T773855/52-68-6/trichlorfon/</t>
  </si>
  <si>
    <t>Organophosphorus: UK/US need to order separately</t>
  </si>
  <si>
    <t>TR-T773855</t>
  </si>
  <si>
    <t>5 g</t>
  </si>
  <si>
    <t xml:space="preserve">25g-17,00 €
100g-33,00 €	
500g-102,00 €	</t>
  </si>
  <si>
    <t>https://cymitquimica.com/es/productos/02-A17013/57-41-0/55-diphenylhydantoin/</t>
  </si>
  <si>
    <t>02-A17013</t>
  </si>
  <si>
    <t>100 g</t>
  </si>
  <si>
    <t xml:space="preserve">10g-114,00 €
25g-172,00 €	
50g-245,00 €	
100g-354,00 €	
250g-500,00 €	</t>
  </si>
  <si>
    <t>https://cymitquimica.com/es/productos/3D-FT28016/107534-96-3/tebuconazole/</t>
  </si>
  <si>
    <t>3D-FT28016</t>
  </si>
  <si>
    <t>10 g</t>
  </si>
  <si>
    <t xml:space="preserve">1g-40,00 €	
5g-105,00 €	
10g-184,00 €	</t>
  </si>
  <si>
    <t>https://cymitquimica.com/es/productos/7W-GA6437/70-30-4/hexachlorophene/</t>
  </si>
  <si>
    <t>7W-GA6437</t>
  </si>
  <si>
    <t>1 g</t>
  </si>
  <si>
    <t>25g-471,00 €
1g-62,00 €	
5g-170,00 €</t>
  </si>
  <si>
    <t>https://cymitquimica.com/es/buscar/Triethyltin%20bromide/
https://cymitquimica.com/es/productos/08-50-3000/2767-54-6/triethyltin-bromide-min-97/</t>
  </si>
  <si>
    <t>STREM</t>
  </si>
  <si>
    <t>08-50-3000</t>
  </si>
  <si>
    <t>5 G-28,60 €
25 G-104,00 €</t>
  </si>
  <si>
    <t>https://www.sigmaaldrich.com/ES/es/product/aldrich/171468</t>
  </si>
  <si>
    <t>171468-25G</t>
  </si>
  <si>
    <t>25 g</t>
  </si>
  <si>
    <t xml:space="preserve">10g-116,00 €	
25g-184,00 €	
50g-260,00 €	
100g-356,00 €	
250g-645,00 €	</t>
  </si>
  <si>
    <t>https://cymitquimica.com/es/productos/3D-FR17921/302-79-4/all-trans-retinoic-acid/</t>
  </si>
  <si>
    <t>3D-FR17921</t>
  </si>
  <si>
    <t>5g-78,00 €	
25g-236,00 €</t>
  </si>
  <si>
    <t>https://cymitquimica.com/es/productos/3B-H0912/52-86-8/haloperidol/</t>
  </si>
  <si>
    <t>TCI Chemicals</t>
  </si>
  <si>
    <t>3B-H0912</t>
  </si>
  <si>
    <t>5g-44,00 €	
25g-113,00 €</t>
  </si>
  <si>
    <t>https://cymitquimica.com/es/productos/3B-C2481/50-53-3/chlorpromazine-hydrochloride/</t>
  </si>
  <si>
    <t>3B-C2481</t>
  </si>
  <si>
    <t xml:space="preserve">50g-109,00 €	
100g-141,00 €	
250g-191,00 €	
500g-346,00 €	
1000g-542,00 €	</t>
  </si>
  <si>
    <t>https://cymitquimica.com/es/productos/3D-FC19679/298-46-4/carbamazepine/</t>
  </si>
  <si>
    <t>UK/US need to order separately</t>
  </si>
  <si>
    <t>3D-FC19679</t>
  </si>
  <si>
    <t>1g-133,00 €	
5g-444,00 €</t>
  </si>
  <si>
    <t>https://cymitquimica.com/es/productos/3B-I1145/138261-41-3/imidacloprid/</t>
  </si>
  <si>
    <t>3B-I1145</t>
  </si>
  <si>
    <t xml:space="preserve">0.01kg-114,00 €	
0.025kg	-198,00 €	
0.05kg-282,00 €	
0.1kg-456,00 €	
0.25kg-817,00 €	</t>
  </si>
  <si>
    <t>https://cymitquimica.com/es/productos/3D-FA23290/120068-37-3/5-amino-1-26-dichloro-4-trifluoromethylphenyl-4-trifluoromethylsulfinyl-1h-pyrazole-3-carbonitrile/</t>
  </si>
  <si>
    <t>3D-FA23290</t>
  </si>
  <si>
    <t xml:space="preserve">5g-109,00 €	
10g-161,00 €	
25g-294,00 €	
50g-427,00 €	
100g-548,00 €	</t>
  </si>
  <si>
    <t>https://cymitquimica.com/es/productos/3D-FT28199/153719-23-4/thiamethoxam/</t>
  </si>
  <si>
    <t>3D-FT28199</t>
  </si>
  <si>
    <t>1g-157,00 €	
2g-208,00 €	
5g-296,00 €	
10g-377,00 €	
25g-529,00 €
1g-74€</t>
  </si>
  <si>
    <t>https://cymitquimica.com/es/productos/3D-FA40693/131860-33-8/azoxystrobin/
https://cymitquimica.com/es/productos/7W-GX7276/131860-33-8/azoxystrobin/</t>
  </si>
  <si>
    <t>7W-GX7276</t>
  </si>
  <si>
    <t>2x1</t>
  </si>
  <si>
    <t xml:space="preserve">1g-41,00 €
5g-133,00 €	
10g-206,00 €	</t>
  </si>
  <si>
    <t>https://cymitquimica.com/es/productos/54-BIC8442/7689-03-4/s-camptothecin/</t>
  </si>
  <si>
    <t>54-BIC8442</t>
  </si>
  <si>
    <t>100g-25,00 €	
250g-39,00 €	
1000g-106,00 €	
5000g-385,00 €</t>
  </si>
  <si>
    <t>https://cymitquimica.com/es/productos/02-B20721/97-77-8/tetraethylthiuram-disulfide/</t>
  </si>
  <si>
    <t>02-B20721</t>
  </si>
  <si>
    <t>25 G-64,00 €</t>
  </si>
  <si>
    <t>https://www.sigmaaldrich.com/ES/es/product/sial/m2523</t>
  </si>
  <si>
    <t>M2523-25G</t>
  </si>
  <si>
    <t xml:space="preserve">1g-82,00 €	
5g-273,00 €	</t>
  </si>
  <si>
    <t>https://cymitquimica.com/es/productos/3B-C3149/59729-33-8/citalopram/</t>
  </si>
  <si>
    <t>3B-C3149</t>
  </si>
  <si>
    <t>25g-40,00 €	
100g-78,00 €	
250g-156,00 €</t>
  </si>
  <si>
    <t>https://cymitquimica.com/es/productos/7W-GK6463/137-58-6/lidocaine/</t>
  </si>
  <si>
    <t>7W-GK6463</t>
  </si>
  <si>
    <t>5g-100,00 €	
25g-368,00 €</t>
  </si>
  <si>
    <t>https://cymitquimica.com/es/productos/3B-C2236/50-18-0/cyclophosphamide-monohydrate/</t>
  </si>
  <si>
    <t>3B-C2236</t>
  </si>
  <si>
    <t>10 G-50,20 €
25 G-91,30 €
100 G-270,00 €</t>
  </si>
  <si>
    <t>https://www.sigmaaldrich.com/ES/es/product/sigma/p3755</t>
  </si>
  <si>
    <t>P3755-100G</t>
  </si>
  <si>
    <t>25g-40,00 €	
100g-121,00 €</t>
  </si>
  <si>
    <t>https://cymitquimica.com/es/productos/54-OR28714/60-56-0/13-dihydro-1-methyl-2h-imidazole-2-thione/</t>
  </si>
  <si>
    <t>54-OR28714</t>
  </si>
  <si>
    <t xml:space="preserve">2g-96,00 €	
5g-170,00 €	
10g-239,00 €	
25g-355,00 €	
50g-471,00 €	</t>
  </si>
  <si>
    <t>https://cymitquimica.com/es/productos/3D-NA02947/320-67-2/5-azacytidine/</t>
  </si>
  <si>
    <t>3D-NA02947</t>
  </si>
  <si>
    <t>25g-154,00 €	
50g-242,00 €	
100g-403,00 €	
250g-778,00 €	
500g-1.316,00 €</t>
  </si>
  <si>
    <t>https://cymitquimica.com/es/productos/3D-NA05771/147-94-4/cytarabine/</t>
  </si>
  <si>
    <t>3D-NA05771</t>
  </si>
  <si>
    <t>50 g</t>
  </si>
  <si>
    <t>1g-25,00 €	
25g-37,00 €	
100g-109,00 €	
500g-321,00 €</t>
  </si>
  <si>
    <t>https://cymitquimica.com/es/productos/10-043351/127-07-1/hydroxyurea/</t>
  </si>
  <si>
    <t>10-043351</t>
  </si>
  <si>
    <t>500mg-73,00 €	
1g-112,00 €	
5g-300,00 €</t>
  </si>
  <si>
    <t>02-J61072</t>
  </si>
  <si>
    <t>1 KG-65,90 €
10 KG-377,00 €
25 KG-754,00 €</t>
  </si>
  <si>
    <t>https://www.sigmaaldrich.com/ES/es/product/aldrich/w700655</t>
  </si>
  <si>
    <t>W700655-1KG-K</t>
  </si>
  <si>
    <t>1000 g</t>
  </si>
  <si>
    <t>25g-37,00 €	
100g-97,00 €</t>
  </si>
  <si>
    <t>https://cymitquimica.com/es/productos/54-PC4380/51-21-8/5-fluorouracil/</t>
  </si>
  <si>
    <t>54-PC4380</t>
  </si>
  <si>
    <t>1g-105,00 €	
5g-389,00 €</t>
  </si>
  <si>
    <t>https://cymitquimica.com/es/productos/3B-M1664/133073-73-1/methotrexate-hydrate/</t>
  </si>
  <si>
    <t>3B-M1664</t>
  </si>
  <si>
    <t>5g-139,00 €	
10g-225,00 €	
25g-443,00 €	
50g-713,00 €	
100g-1.092,00 €</t>
  </si>
  <si>
    <t>https://cymitquimica.com/es/productos/3D-NB06315/59-14-3/5-bromo-2-deoxyuridine/</t>
  </si>
  <si>
    <t>3D-NB06315</t>
  </si>
  <si>
    <t>Appearance</t>
  </si>
  <si>
    <t>[max.] to reach 100% mortality (g/L) Leitat</t>
  </si>
  <si>
    <t>[max.] to reach baseline toxicity (g/L) UFZ</t>
  </si>
  <si>
    <t>Higher DMSO 1000x [stock] g/L</t>
  </si>
  <si>
    <t>Proposed solvent</t>
  </si>
  <si>
    <t>Proposed stock concentration (g/L)</t>
  </si>
  <si>
    <t>Proposed stock volume (per partner; ml -or g-)</t>
  </si>
  <si>
    <t>Max. Allowed V per vial (IATA)</t>
  </si>
  <si>
    <t>Used amount of chemical for stocks (g)</t>
  </si>
  <si>
    <t>Purchased amount (g or ml)</t>
  </si>
  <si>
    <t>Needed amount of chemical Leitat calculations (in g)</t>
  </si>
  <si>
    <t>Needed amount of chemical UFZ calculations (in g)</t>
  </si>
  <si>
    <t>V DMSO to be used to perform the stocks</t>
  </si>
  <si>
    <t>trials solubility (g  to be used)</t>
  </si>
  <si>
    <t>Expected DMSO volume (ml)</t>
  </si>
  <si>
    <t>DMSO used to solubilize the compound (ml)</t>
  </si>
  <si>
    <t>Experimental DMSO solubility</t>
  </si>
  <si>
    <t>white solid powder</t>
  </si>
  <si>
    <t>as powder</t>
  </si>
  <si>
    <t>1x500mg</t>
  </si>
  <si>
    <t>colorless liquid</t>
  </si>
  <si>
    <t>as liquid itself</t>
  </si>
  <si>
    <t>1x15mg</t>
  </si>
  <si>
    <t>1x10mg</t>
  </si>
  <si>
    <t>1x4ml</t>
  </si>
  <si>
    <t>faint grey solid powder</t>
  </si>
  <si>
    <t>1x1g</t>
  </si>
  <si>
    <t>solid</t>
  </si>
  <si>
    <t>2x30g</t>
  </si>
  <si>
    <t>4x25g</t>
  </si>
  <si>
    <t>3x27,3g</t>
  </si>
  <si>
    <t>liquid</t>
  </si>
  <si>
    <t>1x30ml</t>
  </si>
  <si>
    <t>colorless viscous liquid</t>
  </si>
  <si>
    <t>1x15ml</t>
  </si>
  <si>
    <t>2x40ml</t>
  </si>
  <si>
    <t>4x35g</t>
  </si>
  <si>
    <t>1x15g (not possible; at the end, 2x7,5g)</t>
  </si>
  <si>
    <r>
      <rPr>
        <sz val="11"/>
        <color theme="4"/>
        <rFont val="Calibri"/>
        <family val="2"/>
        <scheme val="minor"/>
      </rPr>
      <t>1x30ml</t>
    </r>
    <r>
      <rPr>
        <b/>
        <sz val="11"/>
        <color rgb="FFFF0000"/>
        <rFont val="Calibri"/>
        <family val="2"/>
        <scheme val="minor"/>
      </rPr>
      <t xml:space="preserve">
We need to check if falcon tubes are suitable, if not, several glass vials will be required!</t>
    </r>
  </si>
  <si>
    <t>2x40g (not possible; at the end, 2x15g)</t>
  </si>
  <si>
    <t>1x30g</t>
  </si>
  <si>
    <t>3x27,3ml</t>
  </si>
  <si>
    <t>solid powder</t>
  </si>
  <si>
    <t>Colorless to Light yellow clear liquid</t>
  </si>
  <si>
    <t>liquid (yellow; tan)</t>
  </si>
  <si>
    <t>DMSO x1000</t>
  </si>
  <si>
    <t>colorless solid powder</t>
  </si>
  <si>
    <r>
      <t>H</t>
    </r>
    <r>
      <rPr>
        <vertAlign val="subscript"/>
        <sz val="11"/>
        <color theme="1"/>
        <rFont val="Calibri"/>
        <family val="2"/>
        <scheme val="minor"/>
      </rPr>
      <t>2</t>
    </r>
    <r>
      <rPr>
        <sz val="11"/>
        <color theme="1"/>
        <rFont val="Calibri"/>
        <family val="2"/>
        <scheme val="minor"/>
      </rPr>
      <t>O
(send it as raw powder)</t>
    </r>
  </si>
  <si>
    <t>Light yellow clear liquid</t>
  </si>
  <si>
    <r>
      <t>H</t>
    </r>
    <r>
      <rPr>
        <vertAlign val="subscript"/>
        <sz val="11"/>
        <color theme="1"/>
        <rFont val="Calibri"/>
        <family val="2"/>
        <scheme val="minor"/>
      </rPr>
      <t>2</t>
    </r>
    <r>
      <rPr>
        <sz val="11"/>
        <color theme="1"/>
        <rFont val="Calibri"/>
        <family val="2"/>
        <scheme val="minor"/>
      </rPr>
      <t>O
(send it as raw liquid)</t>
    </r>
  </si>
  <si>
    <t>1x12ml
(or 4x3ml?)</t>
  </si>
  <si>
    <t>DMSO stock</t>
  </si>
  <si>
    <t>colorless crystalline solid</t>
  </si>
  <si>
    <t>colorless - white crystalline solid</t>
  </si>
  <si>
    <t>off-white solid</t>
  </si>
  <si>
    <t>off-white - yellow solid powder</t>
  </si>
  <si>
    <t>yellow crystalline solid</t>
  </si>
  <si>
    <t>1x0,6g</t>
  </si>
  <si>
    <t>DMSO x1000
(not possible, sent as powder)</t>
  </si>
  <si>
    <t>3x41,7g</t>
  </si>
  <si>
    <t xml:space="preserve">white crystalline solid </t>
  </si>
  <si>
    <t>off-white - white crystalline solid powder</t>
  </si>
  <si>
    <t>1x0,12g</t>
  </si>
  <si>
    <t>off-white - white crystalline solid</t>
  </si>
  <si>
    <t>12x1ml</t>
  </si>
  <si>
    <t>clear colorless liquid</t>
  </si>
  <si>
    <r>
      <rPr>
        <sz val="11"/>
        <color rgb="FF2F75B5"/>
        <rFont val="Calibri"/>
        <family val="2"/>
      </rPr>
      <t>52-53-9
(</t>
    </r>
    <r>
      <rPr>
        <b/>
        <sz val="11"/>
        <color rgb="FF000000"/>
        <rFont val="Calibri"/>
        <family val="2"/>
      </rPr>
      <t>152-11-4</t>
    </r>
    <r>
      <rPr>
        <sz val="11"/>
        <color rgb="FF000000"/>
        <rFont val="Calibri"/>
        <family val="2"/>
      </rPr>
      <t>)</t>
    </r>
  </si>
  <si>
    <t>white - yellowish/beige solid powder</t>
  </si>
  <si>
    <t xml:space="preserve">beige crystalline solid </t>
  </si>
  <si>
    <t>2x3g</t>
  </si>
  <si>
    <t>colorless - grey crystalline solid powder</t>
  </si>
  <si>
    <t>4x3g</t>
  </si>
  <si>
    <t>colourless - pale yellow transparent liquid</t>
  </si>
  <si>
    <t>white to light yellow/beige solid powder</t>
  </si>
  <si>
    <t>colourless liquid</t>
  </si>
  <si>
    <t>2x45ml</t>
  </si>
  <si>
    <t>yellow crystalline solid powder</t>
  </si>
  <si>
    <t>yellow-orange crytalline solid powder</t>
  </si>
  <si>
    <t>light brown crystalline solid</t>
  </si>
  <si>
    <t>light yellow solid powder</t>
  </si>
  <si>
    <t>off white solid powder</t>
  </si>
  <si>
    <t>yellow - amber viscous liquid (gel)</t>
  </si>
  <si>
    <t>white to light yellow solid</t>
  </si>
  <si>
    <t>golden yellow crystalline powder</t>
  </si>
  <si>
    <t>white to off-white crystalline powder</t>
  </si>
  <si>
    <t>off-white to pale wellow solid</t>
  </si>
  <si>
    <t>fine intense yellow powder</t>
  </si>
  <si>
    <t>as powder itself</t>
  </si>
  <si>
    <t>1x28g</t>
  </si>
  <si>
    <t>1x2.2g</t>
  </si>
  <si>
    <t>11x30ml</t>
  </si>
  <si>
    <t>1x9g</t>
  </si>
  <si>
    <t>1x0.10g</t>
  </si>
  <si>
    <t>Substance name (IUPAC systematic):</t>
  </si>
  <si>
    <t>PTX001</t>
  </si>
  <si>
    <r>
      <t>CdCl</t>
    </r>
    <r>
      <rPr>
        <vertAlign val="subscript"/>
        <sz val="11"/>
        <color theme="4"/>
        <rFont val="Calibri"/>
        <family val="2"/>
      </rPr>
      <t>2</t>
    </r>
  </si>
  <si>
    <t>Cadmium dichloride</t>
  </si>
  <si>
    <t>PTX002</t>
  </si>
  <si>
    <r>
      <t>C</t>
    </r>
    <r>
      <rPr>
        <vertAlign val="subscript"/>
        <sz val="11"/>
        <color theme="4"/>
        <rFont val="Calibri"/>
        <family val="2"/>
      </rPr>
      <t>8</t>
    </r>
    <r>
      <rPr>
        <sz val="11"/>
        <color theme="4"/>
        <rFont val="Calibri"/>
        <family val="2"/>
      </rPr>
      <t>H</t>
    </r>
    <r>
      <rPr>
        <vertAlign val="subscript"/>
        <sz val="11"/>
        <color theme="4"/>
        <rFont val="Calibri"/>
        <family val="2"/>
      </rPr>
      <t>19</t>
    </r>
    <r>
      <rPr>
        <sz val="11"/>
        <color theme="4"/>
        <rFont val="Calibri"/>
        <family val="2"/>
      </rPr>
      <t>O</t>
    </r>
    <r>
      <rPr>
        <vertAlign val="subscript"/>
        <sz val="11"/>
        <color theme="4"/>
        <rFont val="Calibri"/>
        <family val="2"/>
      </rPr>
      <t>2</t>
    </r>
    <r>
      <rPr>
        <sz val="11"/>
        <color theme="4"/>
        <rFont val="Calibri"/>
        <family val="2"/>
      </rPr>
      <t>PS</t>
    </r>
    <r>
      <rPr>
        <vertAlign val="subscript"/>
        <sz val="11"/>
        <color theme="4"/>
        <rFont val="Calibri"/>
        <family val="2"/>
      </rPr>
      <t>2</t>
    </r>
  </si>
  <si>
    <t>1-(Ethoxy-propylsulfanylphosphoryl)sulfanylpropane</t>
  </si>
  <si>
    <t>PTX003</t>
  </si>
  <si>
    <r>
      <t>C</t>
    </r>
    <r>
      <rPr>
        <vertAlign val="subscript"/>
        <sz val="11"/>
        <color theme="4"/>
        <rFont val="Calibri"/>
        <family val="2"/>
      </rPr>
      <t>14</t>
    </r>
    <r>
      <rPr>
        <sz val="11"/>
        <color theme="4"/>
        <rFont val="Calibri"/>
        <family val="2"/>
      </rPr>
      <t>H</t>
    </r>
    <r>
      <rPr>
        <vertAlign val="subscript"/>
        <sz val="11"/>
        <color theme="4"/>
        <rFont val="Calibri"/>
        <family val="2"/>
      </rPr>
      <t>14</t>
    </r>
    <r>
      <rPr>
        <sz val="11"/>
        <color theme="4"/>
        <rFont val="Calibri"/>
        <family val="2"/>
      </rPr>
      <t>ClN</t>
    </r>
    <r>
      <rPr>
        <vertAlign val="subscript"/>
        <sz val="11"/>
        <color theme="4"/>
        <rFont val="Calibri"/>
        <family val="2"/>
      </rPr>
      <t>3</t>
    </r>
    <r>
      <rPr>
        <sz val="11"/>
        <color theme="4"/>
        <rFont val="Calibri"/>
        <family val="2"/>
      </rPr>
      <t>O</t>
    </r>
    <r>
      <rPr>
        <vertAlign val="subscript"/>
        <sz val="11"/>
        <color theme="4"/>
        <rFont val="Calibri"/>
        <family val="2"/>
      </rPr>
      <t>2</t>
    </r>
    <r>
      <rPr>
        <sz val="11"/>
        <color theme="4"/>
        <rFont val="Calibri"/>
        <family val="2"/>
      </rPr>
      <t>S</t>
    </r>
  </si>
  <si>
    <t>4-Chloro-6-(2,3-xylidino)-2-pyrimidinylthioacetic acid</t>
  </si>
  <si>
    <t>PTX004</t>
  </si>
  <si>
    <r>
      <t>C</t>
    </r>
    <r>
      <rPr>
        <vertAlign val="subscript"/>
        <sz val="11"/>
        <color theme="4"/>
        <rFont val="Calibri"/>
        <family val="2"/>
      </rPr>
      <t>2</t>
    </r>
    <r>
      <rPr>
        <sz val="11"/>
        <color theme="4"/>
        <rFont val="Calibri"/>
        <family val="2"/>
      </rPr>
      <t>H</t>
    </r>
    <r>
      <rPr>
        <vertAlign val="subscript"/>
        <sz val="11"/>
        <color theme="4"/>
        <rFont val="Calibri"/>
        <family val="2"/>
      </rPr>
      <t>6</t>
    </r>
    <r>
      <rPr>
        <sz val="11"/>
        <color theme="4"/>
        <rFont val="Calibri"/>
        <family val="2"/>
      </rPr>
      <t>OS</t>
    </r>
  </si>
  <si>
    <t>(Methanesulfinyl)methane</t>
  </si>
  <si>
    <t>PTX005</t>
  </si>
  <si>
    <r>
      <t>As</t>
    </r>
    <r>
      <rPr>
        <vertAlign val="subscript"/>
        <sz val="11"/>
        <color theme="4"/>
        <rFont val="Calibri"/>
        <family val="2"/>
      </rPr>
      <t>2</t>
    </r>
    <r>
      <rPr>
        <sz val="11"/>
        <color theme="4"/>
        <rFont val="Calibri"/>
        <family val="2"/>
      </rPr>
      <t>O</t>
    </r>
    <r>
      <rPr>
        <vertAlign val="subscript"/>
        <sz val="11"/>
        <color theme="4"/>
        <rFont val="Calibri"/>
        <family val="2"/>
      </rPr>
      <t>3</t>
    </r>
  </si>
  <si>
    <t>Diarsenic trioxide</t>
  </si>
  <si>
    <r>
      <t>NaAsO</t>
    </r>
    <r>
      <rPr>
        <vertAlign val="subscript"/>
        <sz val="11"/>
        <color theme="4"/>
        <rFont val="Calibri"/>
        <family val="2"/>
      </rPr>
      <t>2</t>
    </r>
  </si>
  <si>
    <t>Sodium arsenite</t>
  </si>
  <si>
    <r>
      <t>C</t>
    </r>
    <r>
      <rPr>
        <vertAlign val="subscript"/>
        <sz val="11"/>
        <color theme="4"/>
        <rFont val="Calibri"/>
        <family val="2"/>
      </rPr>
      <t>3</t>
    </r>
    <r>
      <rPr>
        <sz val="11"/>
        <color theme="4"/>
        <rFont val="Calibri"/>
        <family val="2"/>
      </rPr>
      <t>H</t>
    </r>
    <r>
      <rPr>
        <vertAlign val="subscript"/>
        <sz val="11"/>
        <color theme="4"/>
        <rFont val="Calibri"/>
        <family val="2"/>
      </rPr>
      <t>5</t>
    </r>
    <r>
      <rPr>
        <sz val="11"/>
        <color theme="4"/>
        <rFont val="Calibri"/>
        <family val="2"/>
      </rPr>
      <t>NO</t>
    </r>
  </si>
  <si>
    <t>2-Propenamide</t>
  </si>
  <si>
    <r>
      <t>C</t>
    </r>
    <r>
      <rPr>
        <vertAlign val="subscript"/>
        <sz val="11"/>
        <color theme="4"/>
        <rFont val="Calibri"/>
        <family val="2"/>
      </rPr>
      <t>4</t>
    </r>
    <r>
      <rPr>
        <sz val="11"/>
        <color theme="4"/>
        <rFont val="Calibri"/>
        <family val="2"/>
      </rPr>
      <t>H</t>
    </r>
    <r>
      <rPr>
        <vertAlign val="subscript"/>
        <sz val="11"/>
        <color theme="4"/>
        <rFont val="Calibri"/>
        <family val="2"/>
      </rPr>
      <t>7</t>
    </r>
    <r>
      <rPr>
        <sz val="11"/>
        <color theme="4"/>
        <rFont val="Calibri"/>
        <family val="2"/>
      </rPr>
      <t>NO</t>
    </r>
    <r>
      <rPr>
        <vertAlign val="subscript"/>
        <sz val="11"/>
        <color theme="4"/>
        <rFont val="Calibri"/>
        <family val="2"/>
      </rPr>
      <t>2</t>
    </r>
  </si>
  <si>
    <t>N-(hydroxymethyl)-2-Propenamide</t>
  </si>
  <si>
    <r>
      <t>C</t>
    </r>
    <r>
      <rPr>
        <vertAlign val="subscript"/>
        <sz val="11"/>
        <color theme="4"/>
        <rFont val="Calibri"/>
        <family val="2"/>
      </rPr>
      <t>7</t>
    </r>
    <r>
      <rPr>
        <sz val="11"/>
        <color theme="4"/>
        <rFont val="Calibri"/>
        <family val="2"/>
      </rPr>
      <t>H</t>
    </r>
    <r>
      <rPr>
        <vertAlign val="subscript"/>
        <sz val="11"/>
        <color theme="4"/>
        <rFont val="Calibri"/>
        <family val="2"/>
      </rPr>
      <t>10</t>
    </r>
    <r>
      <rPr>
        <sz val="11"/>
        <color theme="4"/>
        <rFont val="Calibri"/>
        <family val="2"/>
      </rPr>
      <t>N</t>
    </r>
    <r>
      <rPr>
        <vertAlign val="subscript"/>
        <sz val="11"/>
        <color theme="4"/>
        <rFont val="Calibri"/>
        <family val="2"/>
      </rPr>
      <t>2</t>
    </r>
    <r>
      <rPr>
        <sz val="11"/>
        <color theme="4"/>
        <rFont val="Calibri"/>
        <family val="2"/>
      </rPr>
      <t>O</t>
    </r>
    <r>
      <rPr>
        <vertAlign val="subscript"/>
        <sz val="11"/>
        <color theme="4"/>
        <rFont val="Calibri"/>
        <family val="2"/>
      </rPr>
      <t>2</t>
    </r>
  </si>
  <si>
    <t>N,N'-methylenebis-2-propenamide</t>
  </si>
  <si>
    <r>
      <t>C</t>
    </r>
    <r>
      <rPr>
        <vertAlign val="subscript"/>
        <sz val="11"/>
        <color theme="4"/>
        <rFont val="Calibri"/>
        <family val="2"/>
      </rPr>
      <t>8</t>
    </r>
    <r>
      <rPr>
        <sz val="11"/>
        <color theme="4"/>
        <rFont val="Calibri"/>
        <family val="2"/>
      </rPr>
      <t>H</t>
    </r>
    <r>
      <rPr>
        <vertAlign val="subscript"/>
        <sz val="11"/>
        <color theme="4"/>
        <rFont val="Calibri"/>
        <family val="2"/>
      </rPr>
      <t>15</t>
    </r>
    <r>
      <rPr>
        <sz val="11"/>
        <color theme="4"/>
        <rFont val="Calibri"/>
        <family val="2"/>
      </rPr>
      <t>NO</t>
    </r>
    <r>
      <rPr>
        <vertAlign val="subscript"/>
        <sz val="11"/>
        <color theme="4"/>
        <rFont val="Calibri"/>
        <family val="2"/>
      </rPr>
      <t>2</t>
    </r>
  </si>
  <si>
    <t>N-(butoxymethyl)prop-2-enamide</t>
  </si>
  <si>
    <t>N-(2-methylpropoxymethyl)prop-2-enamide</t>
  </si>
  <si>
    <r>
      <t>C</t>
    </r>
    <r>
      <rPr>
        <vertAlign val="subscript"/>
        <sz val="11"/>
        <color theme="4"/>
        <rFont val="Calibri"/>
        <family val="2"/>
      </rPr>
      <t>7</t>
    </r>
    <r>
      <rPr>
        <sz val="11"/>
        <color theme="4"/>
        <rFont val="Calibri"/>
        <family val="2"/>
      </rPr>
      <t>H</t>
    </r>
    <r>
      <rPr>
        <vertAlign val="subscript"/>
        <sz val="11"/>
        <color theme="4"/>
        <rFont val="Calibri"/>
        <family val="2"/>
      </rPr>
      <t>13</t>
    </r>
    <r>
      <rPr>
        <sz val="11"/>
        <color theme="4"/>
        <rFont val="Calibri"/>
        <family val="2"/>
      </rPr>
      <t>NO</t>
    </r>
  </si>
  <si>
    <t>N,N-diethylprop-2-enamide</t>
  </si>
  <si>
    <r>
      <t>C</t>
    </r>
    <r>
      <rPr>
        <vertAlign val="subscript"/>
        <sz val="11"/>
        <color theme="4"/>
        <rFont val="Calibri"/>
        <family val="2"/>
      </rPr>
      <t>4</t>
    </r>
    <r>
      <rPr>
        <sz val="11"/>
        <color theme="4"/>
        <rFont val="Calibri"/>
        <family val="2"/>
      </rPr>
      <t>H</t>
    </r>
    <r>
      <rPr>
        <vertAlign val="subscript"/>
        <sz val="11"/>
        <color theme="4"/>
        <rFont val="Calibri"/>
        <family val="2"/>
      </rPr>
      <t>7</t>
    </r>
    <r>
      <rPr>
        <sz val="11"/>
        <color theme="4"/>
        <rFont val="Calibri"/>
        <family val="2"/>
      </rPr>
      <t>NO</t>
    </r>
  </si>
  <si>
    <t>2-methylprop-2-enamide</t>
  </si>
  <si>
    <r>
      <t>C</t>
    </r>
    <r>
      <rPr>
        <vertAlign val="subscript"/>
        <sz val="11"/>
        <color theme="4"/>
        <rFont val="Calibri"/>
        <family val="2"/>
      </rPr>
      <t>3</t>
    </r>
    <r>
      <rPr>
        <sz val="11"/>
        <color theme="4"/>
        <rFont val="Calibri"/>
        <family val="2"/>
      </rPr>
      <t>H</t>
    </r>
    <r>
      <rPr>
        <vertAlign val="subscript"/>
        <sz val="11"/>
        <color theme="4"/>
        <rFont val="Calibri"/>
        <family val="2"/>
      </rPr>
      <t>4</t>
    </r>
    <r>
      <rPr>
        <sz val="11"/>
        <color theme="4"/>
        <rFont val="Calibri"/>
        <family val="2"/>
      </rPr>
      <t>N</t>
    </r>
    <r>
      <rPr>
        <vertAlign val="subscript"/>
        <sz val="11"/>
        <color theme="4"/>
        <rFont val="Calibri"/>
        <family val="2"/>
      </rPr>
      <t>2</t>
    </r>
  </si>
  <si>
    <t>1H-imidazole</t>
  </si>
  <si>
    <r>
      <t>C</t>
    </r>
    <r>
      <rPr>
        <vertAlign val="subscript"/>
        <sz val="11"/>
        <color theme="4"/>
        <rFont val="Calibri"/>
        <family val="2"/>
      </rPr>
      <t>4</t>
    </r>
    <r>
      <rPr>
        <sz val="11"/>
        <color theme="4"/>
        <rFont val="Calibri"/>
        <family val="2"/>
      </rPr>
      <t>H</t>
    </r>
    <r>
      <rPr>
        <vertAlign val="subscript"/>
        <sz val="11"/>
        <color theme="4"/>
        <rFont val="Calibri"/>
        <family val="2"/>
      </rPr>
      <t>6</t>
    </r>
    <r>
      <rPr>
        <sz val="11"/>
        <color theme="4"/>
        <rFont val="Calibri"/>
        <family val="2"/>
      </rPr>
      <t>N</t>
    </r>
    <r>
      <rPr>
        <vertAlign val="subscript"/>
        <sz val="11"/>
        <color theme="4"/>
        <rFont val="Calibri"/>
        <family val="2"/>
      </rPr>
      <t>2</t>
    </r>
  </si>
  <si>
    <t>4-methyl-1H-imidazole</t>
  </si>
  <si>
    <t>2-methyl-1H-imidazole</t>
  </si>
  <si>
    <r>
      <t>C</t>
    </r>
    <r>
      <rPr>
        <vertAlign val="subscript"/>
        <sz val="11"/>
        <color theme="4"/>
        <rFont val="Calibri"/>
        <family val="2"/>
      </rPr>
      <t>5</t>
    </r>
    <r>
      <rPr>
        <sz val="11"/>
        <color theme="4"/>
        <rFont val="Calibri"/>
        <family val="2"/>
      </rPr>
      <t>H</t>
    </r>
    <r>
      <rPr>
        <vertAlign val="subscript"/>
        <sz val="11"/>
        <color theme="4"/>
        <rFont val="Calibri"/>
        <family val="2"/>
      </rPr>
      <t>8</t>
    </r>
    <r>
      <rPr>
        <sz val="11"/>
        <color theme="4"/>
        <rFont val="Calibri"/>
        <family val="2"/>
      </rPr>
      <t>N</t>
    </r>
    <r>
      <rPr>
        <vertAlign val="subscript"/>
        <sz val="11"/>
        <color theme="4"/>
        <rFont val="Calibri"/>
        <family val="2"/>
      </rPr>
      <t>2</t>
    </r>
  </si>
  <si>
    <r>
      <t>C</t>
    </r>
    <r>
      <rPr>
        <vertAlign val="subscript"/>
        <sz val="11"/>
        <color theme="4"/>
        <rFont val="Calibri"/>
        <family val="2"/>
      </rPr>
      <t>6</t>
    </r>
    <r>
      <rPr>
        <sz val="11"/>
        <color theme="4"/>
        <rFont val="Calibri"/>
        <family val="2"/>
      </rPr>
      <t>H</t>
    </r>
    <r>
      <rPr>
        <vertAlign val="subscript"/>
        <sz val="11"/>
        <color theme="4"/>
        <rFont val="Calibri"/>
        <family val="2"/>
      </rPr>
      <t>10</t>
    </r>
    <r>
      <rPr>
        <sz val="11"/>
        <color theme="4"/>
        <rFont val="Calibri"/>
        <family val="2"/>
      </rPr>
      <t>N</t>
    </r>
    <r>
      <rPr>
        <vertAlign val="subscript"/>
        <sz val="11"/>
        <color theme="4"/>
        <rFont val="Calibri"/>
        <family val="2"/>
      </rPr>
      <t>2</t>
    </r>
  </si>
  <si>
    <t>2-ethyl-4-methyl-1H-imidazole</t>
  </si>
  <si>
    <r>
      <t>C</t>
    </r>
    <r>
      <rPr>
        <vertAlign val="subscript"/>
        <sz val="11"/>
        <color theme="4"/>
        <rFont val="Calibri"/>
        <family val="2"/>
      </rPr>
      <t>6</t>
    </r>
    <r>
      <rPr>
        <sz val="11"/>
        <color theme="4"/>
        <rFont val="Calibri"/>
        <family val="2"/>
      </rPr>
      <t>H</t>
    </r>
    <r>
      <rPr>
        <vertAlign val="subscript"/>
        <sz val="11"/>
        <color theme="4"/>
        <rFont val="Calibri"/>
        <family val="2"/>
      </rPr>
      <t>11</t>
    </r>
    <r>
      <rPr>
        <sz val="11"/>
        <color theme="4"/>
        <rFont val="Calibri"/>
        <family val="2"/>
      </rPr>
      <t>N</t>
    </r>
    <r>
      <rPr>
        <vertAlign val="subscript"/>
        <sz val="11"/>
        <color theme="4"/>
        <rFont val="Calibri"/>
        <family val="2"/>
      </rPr>
      <t>3</t>
    </r>
  </si>
  <si>
    <t>3-(1H-imidazol-1-yl)propan-1-amine</t>
  </si>
  <si>
    <t>C₁₂H₁₈O</t>
  </si>
  <si>
    <t>2,6-bis(1-methylethyl)-phenol</t>
  </si>
  <si>
    <t>C₈H₁₀N₄O₂</t>
  </si>
  <si>
    <t>1,3,7-trimethyl-3,7-dihydro-1H-purine-2,6-dione</t>
  </si>
  <si>
    <r>
      <t>C</t>
    </r>
    <r>
      <rPr>
        <vertAlign val="subscript"/>
        <sz val="11"/>
        <color theme="4"/>
        <rFont val="Calibri"/>
        <family val="2"/>
      </rPr>
      <t>7</t>
    </r>
    <r>
      <rPr>
        <sz val="11"/>
        <color theme="4"/>
        <rFont val="Calibri"/>
        <family val="2"/>
      </rPr>
      <t>H</t>
    </r>
    <r>
      <rPr>
        <vertAlign val="subscript"/>
        <sz val="11"/>
        <color theme="4"/>
        <rFont val="Calibri"/>
        <family val="2"/>
      </rPr>
      <t>9</t>
    </r>
    <r>
      <rPr>
        <sz val="11"/>
        <color theme="4"/>
        <rFont val="Calibri"/>
        <family val="2"/>
      </rPr>
      <t>N</t>
    </r>
  </si>
  <si>
    <t>C₁₉H₃₃NO₂</t>
  </si>
  <si>
    <t>2-Amino-2-[2-(4-octylphenyl)ethyl]propane-1,3-diol</t>
  </si>
  <si>
    <t>C₁₄H₁₈ClN₃O₂</t>
  </si>
  <si>
    <t>1-(4-chlorophenoxy)-3,3-dimethyl-1-(1,2,4-triazol-1-yl)butan-2-ol</t>
  </si>
  <si>
    <t>C₉H₁₁Cl₃NO₃PS</t>
  </si>
  <si>
    <t>  2921-88-2</t>
  </si>
  <si>
    <t>O,O-diethyl O-3,5,6-trichloro-2-pyridyl phosphorothioate</t>
  </si>
  <si>
    <t>Diethyl 3,5,6-trichloro-2-pyridinyl phosphate</t>
  </si>
  <si>
    <t>C₁₅H₁₀O₅</t>
  </si>
  <si>
    <t>5,7-dihydroxy-3-(4-hydroxyphenyl)chromen-4-one</t>
  </si>
  <si>
    <t>C₁₃H₉F₃N₂O₂</t>
  </si>
  <si>
    <t>2-[3-(trifluoromethyl)anilino]pyridine-3-carboxylic acid</t>
  </si>
  <si>
    <t>C₂₁H₃₂O₂</t>
  </si>
  <si>
    <t>3-Hydroxypregn-5-en-20-one</t>
  </si>
  <si>
    <t>C₂₂H₂₉FO₅</t>
  </si>
  <si>
    <t>9α-Fluoro-16α-methyl-11β,17α,21-trihydroxy-1,4-pregnadiene-3,20-dione</t>
  </si>
  <si>
    <t>C₃H₆N₂S</t>
  </si>
  <si>
    <t>imidazolidine-2-thione</t>
  </si>
  <si>
    <r>
      <t>C</t>
    </r>
    <r>
      <rPr>
        <vertAlign val="subscript"/>
        <sz val="11"/>
        <color theme="4"/>
        <rFont val="Calibri"/>
        <family val="2"/>
      </rPr>
      <t>12</t>
    </r>
    <r>
      <rPr>
        <sz val="11"/>
        <color theme="4"/>
        <rFont val="Calibri"/>
        <family val="2"/>
      </rPr>
      <t>H</t>
    </r>
    <r>
      <rPr>
        <vertAlign val="subscript"/>
        <sz val="11"/>
        <color theme="4"/>
        <rFont val="Calibri"/>
        <family val="2"/>
      </rPr>
      <t>11</t>
    </r>
    <r>
      <rPr>
        <sz val="11"/>
        <color theme="4"/>
        <rFont val="Calibri"/>
        <family val="2"/>
      </rPr>
      <t>N</t>
    </r>
  </si>
  <si>
    <t>N-phenylaniline</t>
  </si>
  <si>
    <r>
      <t xml:space="preserve">Atorvastatin
</t>
    </r>
    <r>
      <rPr>
        <b/>
        <sz val="11"/>
        <color theme="4"/>
        <rFont val="Calibri"/>
        <family val="2"/>
      </rPr>
      <t>(Atorvastatin Calcium Salt Trihydrate)</t>
    </r>
  </si>
  <si>
    <r>
      <t>C₃₃H₃₅FN₂O₅
(</t>
    </r>
    <r>
      <rPr>
        <b/>
        <sz val="11"/>
        <color theme="4"/>
        <rFont val="Calibri"/>
        <family val="2"/>
      </rPr>
      <t>C</t>
    </r>
    <r>
      <rPr>
        <b/>
        <vertAlign val="subscript"/>
        <sz val="11"/>
        <color theme="4"/>
        <rFont val="Calibri"/>
        <family val="2"/>
      </rPr>
      <t>66</t>
    </r>
    <r>
      <rPr>
        <b/>
        <sz val="11"/>
        <color theme="4"/>
        <rFont val="Calibri"/>
        <family val="2"/>
      </rPr>
      <t>H</t>
    </r>
    <r>
      <rPr>
        <b/>
        <vertAlign val="subscript"/>
        <sz val="11"/>
        <color theme="4"/>
        <rFont val="Calibri"/>
        <family val="2"/>
      </rPr>
      <t>68</t>
    </r>
    <r>
      <rPr>
        <b/>
        <sz val="11"/>
        <color theme="4"/>
        <rFont val="Calibri"/>
        <family val="2"/>
      </rPr>
      <t>CaF</t>
    </r>
    <r>
      <rPr>
        <b/>
        <vertAlign val="subscript"/>
        <sz val="11"/>
        <color theme="4"/>
        <rFont val="Calibri"/>
        <family val="2"/>
      </rPr>
      <t>2</t>
    </r>
    <r>
      <rPr>
        <b/>
        <sz val="11"/>
        <color theme="4"/>
        <rFont val="Calibri"/>
        <family val="2"/>
      </rPr>
      <t>N</t>
    </r>
    <r>
      <rPr>
        <b/>
        <vertAlign val="subscript"/>
        <sz val="11"/>
        <color theme="4"/>
        <rFont val="Calibri"/>
        <family val="2"/>
      </rPr>
      <t>4</t>
    </r>
    <r>
      <rPr>
        <b/>
        <sz val="11"/>
        <color theme="4"/>
        <rFont val="Calibri"/>
        <family val="2"/>
      </rPr>
      <t>O</t>
    </r>
    <r>
      <rPr>
        <b/>
        <vertAlign val="subscript"/>
        <sz val="11"/>
        <color theme="4"/>
        <rFont val="Calibri"/>
        <family val="2"/>
      </rPr>
      <t>10</t>
    </r>
    <r>
      <rPr>
        <b/>
        <sz val="11"/>
        <color theme="4"/>
        <rFont val="MS Gothic"/>
        <family val="3"/>
      </rPr>
      <t>･</t>
    </r>
    <r>
      <rPr>
        <b/>
        <sz val="11"/>
        <color theme="4"/>
        <rFont val="Calibri"/>
        <family val="2"/>
      </rPr>
      <t>3H</t>
    </r>
    <r>
      <rPr>
        <b/>
        <vertAlign val="subscript"/>
        <sz val="11"/>
        <color theme="4"/>
        <rFont val="Calibri"/>
        <family val="2"/>
      </rPr>
      <t>2</t>
    </r>
    <r>
      <rPr>
        <b/>
        <sz val="11"/>
        <color theme="4"/>
        <rFont val="Calibri"/>
        <family val="2"/>
      </rPr>
      <t>O</t>
    </r>
    <r>
      <rPr>
        <sz val="11"/>
        <color theme="4"/>
        <rFont val="Calibri"/>
        <family val="2"/>
      </rPr>
      <t>)</t>
    </r>
  </si>
  <si>
    <r>
      <t>134523-00-5
(</t>
    </r>
    <r>
      <rPr>
        <b/>
        <sz val="11"/>
        <color theme="4"/>
        <rFont val="Calibri"/>
        <family val="2"/>
      </rPr>
      <t>344423-98-9</t>
    </r>
    <r>
      <rPr>
        <sz val="11"/>
        <color theme="4"/>
        <rFont val="Calibri"/>
        <family val="2"/>
      </rPr>
      <t>)</t>
    </r>
  </si>
  <si>
    <t>Calcium (3R,5R)-7-[2-(4-fluorophenyl)-5-isopropyl-3-phenyl-4-(phenylcarbamoyl)-1H-pyrrol-1-yl]-3,5-dihydroxyheptanoate hydrate (1:2:3)</t>
  </si>
  <si>
    <r>
      <rPr>
        <sz val="11"/>
        <color theme="4"/>
        <rFont val="Calibri"/>
        <family val="2"/>
      </rPr>
      <t>Fluoxetine</t>
    </r>
    <r>
      <rPr>
        <b/>
        <sz val="11"/>
        <color theme="4"/>
        <rFont val="Calibri"/>
        <family val="2"/>
      </rPr>
      <t xml:space="preserve">
(Fluoxetine Hydrochloride)</t>
    </r>
  </si>
  <si>
    <r>
      <rPr>
        <sz val="11"/>
        <color theme="4"/>
        <rFont val="Calibri"/>
        <family val="2"/>
      </rPr>
      <t>C₁₇H₁₈F₃NO</t>
    </r>
    <r>
      <rPr>
        <b/>
        <sz val="11"/>
        <color theme="4"/>
        <rFont val="Calibri"/>
        <family val="2"/>
      </rPr>
      <t xml:space="preserve">
(C₁₇H₁₈F₃NO · HCl)</t>
    </r>
  </si>
  <si>
    <r>
      <t>54910-89-3
(</t>
    </r>
    <r>
      <rPr>
        <b/>
        <sz val="11"/>
        <color theme="4"/>
        <rFont val="Calibri"/>
        <family val="2"/>
      </rPr>
      <t>56296-78-7</t>
    </r>
    <r>
      <rPr>
        <sz val="11"/>
        <color theme="4"/>
        <rFont val="Calibri"/>
        <family val="2"/>
      </rPr>
      <t>)</t>
    </r>
  </si>
  <si>
    <t>N-methyl-3-phenyl-3-[4-(trifluoromethyl)phenoxy]propan-1-amine; hydrochloride</t>
  </si>
  <si>
    <t>C₁₀H₁₄N₂</t>
  </si>
  <si>
    <t>3-[(2S)-1-methylpyrrolidin-2-yl]pyridine</t>
  </si>
  <si>
    <t>C₈H₁₆O₂</t>
  </si>
  <si>
    <t>2-propylpentanoic acid</t>
  </si>
  <si>
    <r>
      <t xml:space="preserve">Verapamil
</t>
    </r>
    <r>
      <rPr>
        <b/>
        <sz val="11"/>
        <color theme="4"/>
        <rFont val="Calibri"/>
        <family val="2"/>
      </rPr>
      <t>((±)-Verapamil hydrochloride)</t>
    </r>
  </si>
  <si>
    <r>
      <rPr>
        <sz val="11"/>
        <color theme="4"/>
        <rFont val="Calibri"/>
        <family val="2"/>
      </rPr>
      <t>C₂₇H₃₈N₂O₄</t>
    </r>
    <r>
      <rPr>
        <b/>
        <sz val="11"/>
        <color theme="4"/>
        <rFont val="Calibri"/>
        <family val="2"/>
      </rPr>
      <t xml:space="preserve">
(C₂₇H₃₈N₂O₄ · HCl)</t>
    </r>
  </si>
  <si>
    <r>
      <t xml:space="preserve">52-53-9
</t>
    </r>
    <r>
      <rPr>
        <b/>
        <sz val="11"/>
        <color theme="4"/>
        <rFont val="Calibri"/>
        <family val="2"/>
      </rPr>
      <t>(152-11-4)</t>
    </r>
  </si>
  <si>
    <t>2-(3,4-dimethoxyphenyl)-5-[2-(3,4-dimethoxyphenyl)ethyl-methylamino]-2-propan-2-ylpentanenitrile;hydrochloride</t>
  </si>
  <si>
    <t>C₁₄H₁₀Cl₂NNaO₂</t>
  </si>
  <si>
    <t>{2-[(2,6-dichlorophenyl)amino]phenyl}acetic acid</t>
  </si>
  <si>
    <t>C₁₅H₁₆O₂</t>
  </si>
  <si>
    <t>4,4'-isopropylidenediphenol</t>
  </si>
  <si>
    <r>
      <t>C₁₀H₁</t>
    </r>
    <r>
      <rPr>
        <sz val="10"/>
        <color theme="4"/>
        <rFont val="Calibri"/>
        <family val="2"/>
      </rPr>
      <t>₁</t>
    </r>
    <r>
      <rPr>
        <sz val="11"/>
        <color theme="4"/>
        <rFont val="Calibri"/>
        <family val="2"/>
      </rPr>
      <t>ClO₃</t>
    </r>
  </si>
  <si>
    <t>2-(4-chlorophenoxy)-2-methylpropanoic acid</t>
  </si>
  <si>
    <t>C₉H₉N₃O₂</t>
  </si>
  <si>
    <t>methyl N-(1H-benzimidazol-2-yl)carbamate</t>
  </si>
  <si>
    <t>C₁₂H₂₇ClSn</t>
  </si>
  <si>
    <t>tributyl(chloro)stannane</t>
  </si>
  <si>
    <t>C₁₈H₁₆F₃NO₄</t>
  </si>
  <si>
    <t>methyl (2E)-3-methoxy-2-[2-({[6-(trifluoromethyl)pyridin-2-yl]oxy}methyl)phenyl]acrylate</t>
  </si>
  <si>
    <r>
      <t>C</t>
    </r>
    <r>
      <rPr>
        <vertAlign val="subscript"/>
        <sz val="11"/>
        <color theme="4"/>
        <rFont val="Calibri"/>
        <family val="2"/>
      </rPr>
      <t>6</t>
    </r>
    <r>
      <rPr>
        <sz val="11"/>
        <color theme="4"/>
        <rFont val="Calibri"/>
        <family val="2"/>
      </rPr>
      <t>H</t>
    </r>
    <r>
      <rPr>
        <vertAlign val="subscript"/>
        <sz val="11"/>
        <color theme="4"/>
        <rFont val="Calibri"/>
        <family val="2"/>
      </rPr>
      <t>14</t>
    </r>
    <r>
      <rPr>
        <sz val="11"/>
        <color theme="4"/>
        <rFont val="Calibri"/>
        <family val="2"/>
      </rPr>
      <t>O</t>
    </r>
    <r>
      <rPr>
        <vertAlign val="subscript"/>
        <sz val="11"/>
        <color theme="4"/>
        <rFont val="Calibri"/>
        <family val="2"/>
      </rPr>
      <t>2</t>
    </r>
  </si>
  <si>
    <t>2-butoxyethanol</t>
  </si>
  <si>
    <t>C₆H₄N₂O₅</t>
  </si>
  <si>
    <t>H₆Cl₂N₂Pt</t>
  </si>
  <si>
    <t>cis-diamineplatinum(II) dichloride</t>
  </si>
  <si>
    <t>C₁₅H₁₈ClO₄ · Na · H₂O</t>
  </si>
  <si>
    <t>ethyl 2-[6-(4-chlorophenoxy)hexyl]-2-oxiranecarboxylate</t>
  </si>
  <si>
    <t>C₆H₉N₃O₃</t>
  </si>
  <si>
    <t>(2S)-2-amino-6-diazo-5-oxohexanoic acid</t>
  </si>
  <si>
    <t>3-Benzyl-7-(1,3-oxazol-2-ylsulfanyl)-3H-[1,2,3]triazolo[4,5-d]pyrimidine</t>
  </si>
  <si>
    <t>C₄₄H₆₈O₁₃</t>
  </si>
  <si>
    <r>
      <t xml:space="preserve">78111-17-8
</t>
    </r>
    <r>
      <rPr>
        <b/>
        <sz val="11"/>
        <color theme="4"/>
        <rFont val="Calibri"/>
        <family val="2"/>
      </rPr>
      <t>(209266-80-8)</t>
    </r>
  </si>
  <si>
    <t>Sodium (2R)-2-hydroxy-3-[(2S,5R,6R,8S)-5-hydroxy-8-{(2R,3E)-4-[(2R,4a'R,5R,6'S,8'R,8a'S)-8'-hydroxy-6'-{(1S,3S)-1-hydroxy-3-[(2S,3R,6S)-3-methyl-1,7-dioxaspiro[5.5]undec-2-yl]butyl}-7'-methyleneoctahy dro-3H,3'H-spiro[furan-2,2'-pyrano[3,2-b]pyran]-5-yl]-3-buten-2-yl}-10-methyl-1,7-dioxaspiro[5.5]undec-10-en-2-yl]-2-methylpropanoate</t>
  </si>
  <si>
    <t>C₂₀H₁₇NO₆</t>
  </si>
  <si>
    <t>(6R)-6-[(5S)-6-Methyl-5,6,7,8-tetrahydro[1,3]dioxolo[4,5-g]isoquinolin-5-yl]furo[3,4-e][1,3]benzodioxol-8(6H)-one</t>
  </si>
  <si>
    <r>
      <t>C₂₂</t>
    </r>
    <r>
      <rPr>
        <sz val="10"/>
        <color theme="4"/>
        <rFont val="Calibri"/>
        <family val="2"/>
      </rPr>
      <t>H₁₆ClF₃N₁₀O₂</t>
    </r>
  </si>
  <si>
    <t>1-(3-Chloro-2-pyridinyl)-N-[4-cyano-2-methyl-6-(methylcarbamoyl)phenyl]-3-{[5-(trifluoromethyl)-2H-tetrazol-2-yl]methyl}-1H-pyrazole-5-carboxamide</t>
  </si>
  <si>
    <t>C₁₁H₁₇NO₃</t>
  </si>
  <si>
    <r>
      <t xml:space="preserve">7683-59-2
</t>
    </r>
    <r>
      <rPr>
        <b/>
        <sz val="11"/>
        <color theme="4"/>
        <rFont val="Calibri"/>
        <family val="2"/>
      </rPr>
      <t>(51-30-9)</t>
    </r>
  </si>
  <si>
    <t>4-[(1R)-1-Hydroxy-2-(isopropylamino)ethyl]-1,2-benzenediol</t>
  </si>
  <si>
    <t>C₁₇H₂₂N₂O₄</t>
  </si>
  <si>
    <t>[2,5-dioxo-3-(prop-2-yn-1-yl)imidazolidin-1-yl]methyl 2,2-dimethyl-3-(2-methylprop-1-en-1-yl)cyclopropane-1-carboxylate</t>
  </si>
  <si>
    <t>C₁₉H₂₈N₂O₅S₂</t>
  </si>
  <si>
    <t>(5Z)-2-amino-5-[(3,5-ditert-butyl-4- hydroxyphenyl)methylidene]-1,3-thiazol-4-one,methanesulfonic acid</t>
  </si>
  <si>
    <t>2-{[2-nitro-4-(trifluoromethyl)phenyl]amino}ethan-1-ol</t>
  </si>
  <si>
    <t>(Z)-2-[4-(1,2-Diphenyl-1-butenyl)phenoxy]-N,N-dimethylethanamine</t>
  </si>
  <si>
    <t>N,N-dimethylacetamide</t>
  </si>
  <si>
    <t>6-chloro-N2-ethyl-N4-(propan-2-yl)-1,3,5-triazine-2,4-diamine</t>
  </si>
  <si>
    <t>1-[2-(allyloxy)-2-(2,4-dichlorophenyl)ethyl]-1H-imidazole</t>
  </si>
  <si>
    <t>30-ethyl-33-(1-hydroxy-2-methylhex-4-enyl)-1,4,7,10,12,15,19,25,28-nonamethyl-6,9,18,24-tetrakis(2-methylpropyl)-3,21-di(propan-2-yl)-1,4,7,10,13,16,19,22,25,28,31-undecazacyclotritriacontane-2,5,8,11,14,17,20,23,26,29,32-undecone</t>
  </si>
  <si>
    <t>(4S,4aS,5aS,6S,12aR)-4-(dimethylamino)-1,6,10,11,12a-pentahydroxy-6-methyl-3,12-dioxo-4,4a,5,5a-tetrahydrotetracene-2-carboxamide;hydrochloride</t>
  </si>
  <si>
    <t>2-methylbenzene-1,4-diamine sulfate</t>
  </si>
  <si>
    <t>N,N-Dimethylmethanamide</t>
  </si>
  <si>
    <t>2,2'-[(2-nitro-1,4-phenylene)diimino]diethanol</t>
  </si>
  <si>
    <t>2-(4-chlorophenyl)-3-cyclopropyl-1-(1H-1,2,4-triazol-1-yl)butan-2-ol</t>
  </si>
  <si>
    <t>2-aminophenol</t>
  </si>
  <si>
    <t>(4S,4aS,5aR,12aS)-4,7-bis(Dimethylamino)-3,10,12,12a-tetrahydroxy-8-nitroso-1,11-dioxo-1,4,4a,5,5a,6,11,12a-octahydrotetracene-2-carboxamide</t>
  </si>
  <si>
    <t>(2R,6aS,12aS)-1,2,6,6a,12,12a-hexahydro-2-isopropenyl-8,9-dimethoxychromeno[3,4-b]furo(2,3-h)chromen-6-one</t>
  </si>
  <si>
    <t>2-methylpropane-2-peroxol</t>
  </si>
  <si>
    <t>N-(4-hydroxyphenyl)acetamide</t>
  </si>
  <si>
    <r>
      <t>C</t>
    </r>
    <r>
      <rPr>
        <vertAlign val="subscript"/>
        <sz val="11"/>
        <color theme="4"/>
        <rFont val="Calibri"/>
        <family val="2"/>
      </rPr>
      <t>12</t>
    </r>
    <r>
      <rPr>
        <sz val="11"/>
        <color theme="4"/>
        <rFont val="Calibri"/>
        <family val="2"/>
      </rPr>
      <t>H</t>
    </r>
    <r>
      <rPr>
        <vertAlign val="subscript"/>
        <sz val="11"/>
        <color theme="4"/>
        <rFont val="Calibri"/>
        <family val="2"/>
      </rPr>
      <t>7</t>
    </r>
    <r>
      <rPr>
        <sz val="11"/>
        <color theme="4"/>
        <rFont val="Calibri"/>
        <family val="2"/>
      </rPr>
      <t>Cl</t>
    </r>
    <r>
      <rPr>
        <vertAlign val="subscript"/>
        <sz val="11"/>
        <color theme="4"/>
        <rFont val="Calibri"/>
        <family val="2"/>
      </rPr>
      <t>3</t>
    </r>
  </si>
  <si>
    <t>2,4,4'-Trichloro-1,1'-biphenyl</t>
  </si>
  <si>
    <r>
      <t>C</t>
    </r>
    <r>
      <rPr>
        <sz val="8"/>
        <color theme="4"/>
        <rFont val="Ubuntu"/>
        <family val="2"/>
      </rPr>
      <t>5</t>
    </r>
    <r>
      <rPr>
        <sz val="11"/>
        <color theme="4"/>
        <rFont val="Ubuntu"/>
        <family val="2"/>
      </rPr>
      <t>H</t>
    </r>
    <r>
      <rPr>
        <sz val="8"/>
        <color theme="4"/>
        <rFont val="Ubuntu"/>
        <family val="2"/>
      </rPr>
      <t>8</t>
    </r>
    <r>
      <rPr>
        <sz val="11"/>
        <color theme="4"/>
        <rFont val="Ubuntu"/>
        <family val="2"/>
      </rPr>
      <t>N</t>
    </r>
    <r>
      <rPr>
        <sz val="8"/>
        <color theme="4"/>
        <rFont val="Ubuntu"/>
        <family val="2"/>
      </rPr>
      <t>2</t>
    </r>
  </si>
  <si>
    <r>
      <t>C</t>
    </r>
    <r>
      <rPr>
        <sz val="8"/>
        <color theme="4"/>
        <rFont val="Ubuntu"/>
        <family val="2"/>
      </rPr>
      <t>5</t>
    </r>
    <r>
      <rPr>
        <sz val="11"/>
        <color theme="4"/>
        <rFont val="Ubuntu"/>
        <family val="2"/>
      </rPr>
      <t>H</t>
    </r>
    <r>
      <rPr>
        <sz val="8"/>
        <color theme="4"/>
        <rFont val="Ubuntu"/>
        <family val="2"/>
      </rPr>
      <t>6</t>
    </r>
    <r>
      <rPr>
        <sz val="11"/>
        <color theme="4"/>
        <rFont val="Ubuntu"/>
        <family val="2"/>
      </rPr>
      <t>N</t>
    </r>
    <r>
      <rPr>
        <sz val="8"/>
        <color theme="4"/>
        <rFont val="Ubuntu"/>
        <family val="2"/>
      </rPr>
      <t>2</t>
    </r>
  </si>
  <si>
    <t>1-ethenyl-1H-imidazole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</si>
</sst>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quot;€&quot;_-;\-* #,##0.00\ &quot;€&quot;_-;_-* &quot;-&quot;??\ &quot;€&quot;_-;_-@_-"/>
    <numFmt numFmtId="165" formatCode="0.0000"/>
    <numFmt numFmtId="166" formatCode="0.0"/>
    <numFmt numFmtId="167" formatCode="0.000"/>
  </numFmts>
  <fonts count="63">
    <font>
      <sz val="11"/>
      <color theme="1"/>
      <name val="Calibri"/>
      <family val="2"/>
      <scheme val="minor"/>
    </font>
    <font>
      <sz val="8"/>
      <name val="Calibri"/>
      <family val="2"/>
      <scheme val="minor"/>
    </font>
    <font>
      <sz val="11"/>
      <color theme="1"/>
      <name val="Calibri"/>
      <family val="1"/>
      <charset val="2"/>
      <scheme val="minor"/>
    </font>
    <font>
      <sz val="11"/>
      <color rgb="FF0070C0"/>
      <name val="Calibri"/>
      <family val="2"/>
      <scheme val="minor"/>
    </font>
    <font>
      <sz val="11"/>
      <color rgb="FF4472C4"/>
      <name val="Calibri"/>
      <family val="2"/>
      <scheme val="minor"/>
    </font>
    <font>
      <vertAlign val="subscript"/>
      <sz val="11"/>
      <color rgb="FF4472C4"/>
      <name val="Calibri"/>
      <family val="2"/>
      <scheme val="minor"/>
    </font>
    <font>
      <sz val="11"/>
      <color rgb="FFFF0000"/>
      <name val="Calibri"/>
      <family val="2"/>
      <scheme val="minor"/>
    </font>
    <font>
      <vertAlign val="subscript"/>
      <sz val="11"/>
      <color theme="1"/>
      <name val="Calibri"/>
      <family val="2"/>
      <scheme val="minor"/>
    </font>
    <font>
      <sz val="11"/>
      <color theme="1"/>
      <name val="Calibri"/>
      <family val="2"/>
      <charset val="1"/>
    </font>
    <font>
      <b/>
      <sz val="11"/>
      <color theme="1"/>
      <name val="Calibri"/>
      <family val="2"/>
      <scheme val="minor"/>
    </font>
    <font>
      <b/>
      <sz val="11"/>
      <color rgb="FFFF0000"/>
      <name val="Calibri"/>
      <family val="2"/>
      <scheme val="minor"/>
    </font>
    <font>
      <b/>
      <sz val="11"/>
      <color rgb="FF4472C4"/>
      <name val="Calibri"/>
      <family val="2"/>
      <scheme val="minor"/>
    </font>
    <font>
      <sz val="11"/>
      <color theme="1"/>
      <name val="Calibri"/>
      <family val="2"/>
    </font>
    <font>
      <sz val="12"/>
      <color theme="1"/>
      <name val="Calibri"/>
      <family val="2"/>
      <scheme val="minor"/>
    </font>
    <font>
      <sz val="12"/>
      <color theme="1"/>
      <name val="Calibri"/>
      <family val="2"/>
    </font>
    <font>
      <sz val="11"/>
      <color theme="4"/>
      <name val="Calibri"/>
      <family val="2"/>
      <scheme val="minor"/>
    </font>
    <font>
      <sz val="11"/>
      <color theme="4"/>
      <name val="Calibri"/>
      <family val="2"/>
    </font>
    <font>
      <b/>
      <sz val="12"/>
      <color rgb="FFFFC000"/>
      <name val="Calibri"/>
      <family val="2"/>
      <scheme val="minor"/>
    </font>
    <font>
      <sz val="9.9"/>
      <color theme="1"/>
      <name val="Calibri"/>
      <family val="2"/>
    </font>
    <font>
      <sz val="9.9"/>
      <color theme="4"/>
      <name val="Calibri"/>
      <family val="2"/>
    </font>
    <font>
      <vertAlign val="subscript"/>
      <sz val="11"/>
      <color theme="4"/>
      <name val="Calibri"/>
      <family val="2"/>
      <scheme val="minor"/>
    </font>
    <font>
      <sz val="11"/>
      <color theme="4"/>
      <name val="Arial"/>
      <family val="2"/>
    </font>
    <font>
      <sz val="11"/>
      <color rgb="FFFFC000"/>
      <name val="Calibri"/>
      <family val="2"/>
      <scheme val="minor"/>
    </font>
    <font>
      <sz val="12"/>
      <color rgb="FFFF0000"/>
      <name val="Calibri"/>
      <family val="2"/>
      <scheme val="minor"/>
    </font>
    <font>
      <sz val="11"/>
      <color theme="8" tint="-0.249977111117893"/>
      <name val="Calibri"/>
      <family val="2"/>
      <scheme val="minor"/>
    </font>
    <font>
      <sz val="11"/>
      <color rgb="FFFF0000"/>
      <name val="Symbol"/>
      <family val="1"/>
      <charset val="2"/>
    </font>
    <font>
      <sz val="11"/>
      <color rgb="FFFF0000"/>
      <name val="Calibri"/>
      <family val="2"/>
    </font>
    <font>
      <sz val="12"/>
      <color theme="4"/>
      <name val="Calibri"/>
      <family val="2"/>
      <scheme val="minor"/>
    </font>
    <font>
      <sz val="12"/>
      <color theme="4"/>
      <name val="Calibri"/>
      <family val="2"/>
    </font>
    <font>
      <b/>
      <sz val="11"/>
      <color theme="4"/>
      <name val="Calibri"/>
      <family val="2"/>
      <scheme val="minor"/>
    </font>
    <font>
      <sz val="11"/>
      <color rgb="FFFF0000"/>
      <name val="Calibri"/>
      <family val="2"/>
      <charset val="1"/>
    </font>
    <font>
      <b/>
      <sz val="11"/>
      <color theme="8" tint="-0.249977111117893"/>
      <name val="Calibri"/>
      <family val="2"/>
      <scheme val="minor"/>
    </font>
    <font>
      <b/>
      <sz val="11"/>
      <color rgb="FFFFC000"/>
      <name val="Calibri"/>
      <family val="2"/>
      <scheme val="minor"/>
    </font>
    <font>
      <b/>
      <sz val="11"/>
      <color theme="7"/>
      <name val="Calibri"/>
      <family val="2"/>
      <scheme val="minor"/>
    </font>
    <font>
      <b/>
      <sz val="13"/>
      <color rgb="FFFF0000"/>
      <name val="Calibri"/>
      <family val="2"/>
      <scheme val="minor"/>
    </font>
    <font>
      <b/>
      <sz val="24"/>
      <name val="Calibri"/>
      <family val="2"/>
      <scheme val="minor"/>
    </font>
    <font>
      <b/>
      <sz val="24"/>
      <color rgb="FFFF0000"/>
      <name val="Calibri"/>
      <family val="2"/>
      <scheme val="minor"/>
    </font>
    <font>
      <sz val="24"/>
      <color rgb="FF4472C4"/>
      <name val="Calibri"/>
      <family val="2"/>
      <scheme val="minor"/>
    </font>
    <font>
      <sz val="24"/>
      <color theme="1"/>
      <name val="Calibri"/>
      <family val="2"/>
      <scheme val="minor"/>
    </font>
    <font>
      <b/>
      <vertAlign val="subscript"/>
      <sz val="11"/>
      <color rgb="FF4472C4"/>
      <name val="Calibri"/>
      <family val="2"/>
      <scheme val="minor"/>
    </font>
    <font>
      <sz val="11"/>
      <color theme="1"/>
      <name val="Symbol"/>
      <family val="1"/>
      <charset val="2"/>
    </font>
    <font>
      <sz val="11"/>
      <color indexed="8"/>
      <name val="Calibri"/>
      <family val="2"/>
      <scheme val="minor"/>
    </font>
    <font>
      <sz val="8"/>
      <color theme="4"/>
      <name val="Arial"/>
      <family val="2"/>
    </font>
    <font>
      <sz val="8"/>
      <color rgb="FF0070C0"/>
      <name val="Ubuntu"/>
      <family val="2"/>
    </font>
    <font>
      <sz val="11"/>
      <color rgb="FF0070C0"/>
      <name val="Ubuntu"/>
      <family val="2"/>
    </font>
    <font>
      <b/>
      <sz val="11"/>
      <color theme="4"/>
      <name val="Calibri"/>
      <family val="2"/>
    </font>
    <font>
      <sz val="10"/>
      <color theme="4"/>
      <name val="Times New Roman"/>
      <family val="1"/>
    </font>
    <font>
      <vertAlign val="subscript"/>
      <sz val="11"/>
      <color theme="4"/>
      <name val="Calibri"/>
      <family val="2"/>
    </font>
    <font>
      <b/>
      <vertAlign val="subscript"/>
      <sz val="11"/>
      <color theme="4"/>
      <name val="Calibri"/>
      <family val="2"/>
    </font>
    <font>
      <b/>
      <sz val="11"/>
      <color theme="4"/>
      <name val="MS Gothic"/>
      <family val="3"/>
    </font>
    <font>
      <sz val="10"/>
      <color theme="4"/>
      <name val="Calibri"/>
      <family val="2"/>
    </font>
    <font>
      <sz val="8"/>
      <color theme="4"/>
      <name val="Ubuntu"/>
      <family val="2"/>
    </font>
    <font>
      <sz val="11"/>
      <color theme="4"/>
      <name val="Ubuntu"/>
      <family val="2"/>
    </font>
    <font>
      <b/>
      <sz val="12"/>
      <color theme="1"/>
      <name val="Calibri"/>
      <family val="2"/>
      <scheme val="minor"/>
    </font>
    <font>
      <b/>
      <sz val="11"/>
      <color theme="4"/>
      <name val="Arial"/>
      <family val="2"/>
    </font>
    <font>
      <b/>
      <sz val="24"/>
      <color rgb="FF4472C4"/>
      <name val="Calibri"/>
      <family val="2"/>
      <scheme val="minor"/>
    </font>
    <font>
      <sz val="11"/>
      <color rgb="FF2F75B5"/>
      <name val="Calibri"/>
      <family val="2"/>
    </font>
    <font>
      <b/>
      <sz val="11"/>
      <color rgb="FF000000"/>
      <name val="Calibri"/>
      <family val="2"/>
    </font>
    <font>
      <sz val="11"/>
      <color rgb="FF000000"/>
      <name val="Calibri"/>
      <family val="2"/>
    </font>
    <font>
      <sz val="9"/>
      <color theme="1"/>
      <name val="Segoe UI"/>
      <family val="2"/>
    </font>
    <font>
      <sz val="11"/>
      <color theme="1"/>
      <name val="Calibri"/>
      <family val="2"/>
      <scheme val="minor"/>
    </font>
    <font>
      <u/>
      <sz val="11"/>
      <color theme="10"/>
      <name val="Calibri"/>
      <family val="2"/>
      <scheme val="minor"/>
    </font>
    <font>
      <sz val="11"/>
      <color theme="8"/>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E7FF"/>
        <bgColor indexed="64"/>
      </patternFill>
    </fill>
    <fill>
      <patternFill patternType="solid">
        <fgColor rgb="FFE1FFFF"/>
        <bgColor indexed="64"/>
      </patternFill>
    </fill>
    <fill>
      <patternFill patternType="solid">
        <fgColor theme="8" tint="0.79998168889431442"/>
        <bgColor theme="8" tint="0.79998168889431442"/>
      </patternFill>
    </fill>
    <fill>
      <patternFill patternType="solid">
        <fgColor rgb="FFFFFFF3"/>
        <bgColor indexed="64"/>
      </patternFill>
    </fill>
  </fills>
  <borders count="3">
    <border>
      <left/>
      <right/>
      <top/>
      <bottom/>
      <diagonal/>
    </border>
    <border>
      <left/>
      <right/>
      <top style="thin">
        <color theme="8"/>
      </top>
      <bottom style="thin">
        <color theme="8"/>
      </bottom>
      <diagonal/>
    </border>
    <border>
      <left/>
      <right/>
      <top/>
      <bottom style="thin">
        <color theme="8"/>
      </bottom>
      <diagonal/>
    </border>
  </borders>
  <cellStyleXfs count="3">
    <xf numFmtId="0" fontId="0" fillId="0" borderId="0"/>
    <xf numFmtId="0" fontId="41" fillId="0" borderId="0"/>
    <xf numFmtId="0" fontId="61" fillId="0" borderId="0" applyNumberFormat="0" applyFill="0" applyBorder="0" applyAlignment="0" applyProtection="0"/>
  </cellStyleXfs>
  <cellXfs count="151">
    <xf numFmtId="0" fontId="0" fillId="0" borderId="0" xfId="0"/>
    <xf numFmtId="0" fontId="0" fillId="0" borderId="0" xfId="0" applyAlignment="1">
      <alignment horizont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0" fillId="0" borderId="0" xfId="0" quotePrefix="1" applyAlignment="1">
      <alignment horizontal="center" vertical="center" wrapText="1"/>
    </xf>
    <xf numFmtId="0" fontId="3" fillId="0" borderId="0" xfId="0" applyFont="1" applyAlignment="1">
      <alignment horizontal="center" vertical="center"/>
    </xf>
    <xf numFmtId="0" fontId="10"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wrapText="1"/>
    </xf>
    <xf numFmtId="0" fontId="13" fillId="0" borderId="0" xfId="0" applyFont="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7" fillId="0" borderId="0" xfId="0" applyFont="1" applyAlignment="1">
      <alignment horizontal="center" vertical="center" wrapText="1"/>
    </xf>
    <xf numFmtId="0" fontId="0" fillId="0" borderId="0" xfId="0"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wrapText="1"/>
    </xf>
    <xf numFmtId="49" fontId="4" fillId="0" borderId="0" xfId="0" applyNumberFormat="1" applyFont="1" applyAlignment="1">
      <alignment horizontal="center" vertical="center" wrapText="1"/>
    </xf>
    <xf numFmtId="0" fontId="0" fillId="2" borderId="0" xfId="0" applyFill="1" applyAlignment="1">
      <alignment horizontal="center" vertical="center" wrapText="1"/>
    </xf>
    <xf numFmtId="0" fontId="6" fillId="2" borderId="0" xfId="0" applyFont="1" applyFill="1" applyAlignment="1">
      <alignment horizontal="center" vertical="center" wrapText="1"/>
    </xf>
    <xf numFmtId="0" fontId="27" fillId="0" borderId="0" xfId="0" applyFont="1" applyAlignment="1">
      <alignment horizontal="center" vertical="center" wrapText="1"/>
    </xf>
    <xf numFmtId="0" fontId="10" fillId="2" borderId="0" xfId="0" applyFont="1" applyFill="1" applyAlignment="1">
      <alignment horizontal="center" vertical="center" wrapText="1"/>
    </xf>
    <xf numFmtId="0" fontId="6" fillId="2" borderId="0" xfId="0" quotePrefix="1" applyFont="1" applyFill="1" applyAlignment="1">
      <alignment horizontal="center" vertical="center" wrapText="1"/>
    </xf>
    <xf numFmtId="0" fontId="15" fillId="2" borderId="0" xfId="0" applyFont="1" applyFill="1" applyAlignment="1">
      <alignment horizontal="center" vertical="center" wrapText="1"/>
    </xf>
    <xf numFmtId="0" fontId="9" fillId="2" borderId="0" xfId="0" applyFont="1" applyFill="1" applyAlignment="1">
      <alignment horizontal="center" vertical="center" wrapText="1"/>
    </xf>
    <xf numFmtId="0" fontId="4" fillId="2" borderId="0" xfId="0" applyFont="1" applyFill="1" applyAlignment="1">
      <alignment horizontal="center" vertical="center" wrapText="1"/>
    </xf>
    <xf numFmtId="0" fontId="6" fillId="2" borderId="0" xfId="0" applyFont="1" applyFill="1" applyAlignment="1">
      <alignment horizontal="center" wrapText="1"/>
    </xf>
    <xf numFmtId="0" fontId="0" fillId="3" borderId="0" xfId="0" applyFill="1" applyAlignment="1">
      <alignment horizontal="center" vertical="center" wrapText="1"/>
    </xf>
    <xf numFmtId="0" fontId="31" fillId="0" borderId="1" xfId="0" applyFont="1" applyBorder="1" applyAlignment="1">
      <alignment horizontal="center" vertical="center" wrapText="1"/>
    </xf>
    <xf numFmtId="0" fontId="31" fillId="0" borderId="2" xfId="0" applyFont="1" applyBorder="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2" fillId="0" borderId="0" xfId="0" applyFont="1" applyAlignment="1">
      <alignment horizontal="center" vertical="center"/>
    </xf>
    <xf numFmtId="164" fontId="22" fillId="0" borderId="0" xfId="0" applyNumberFormat="1" applyFont="1" applyAlignment="1">
      <alignment horizontal="center" vertical="center"/>
    </xf>
    <xf numFmtId="0" fontId="10" fillId="3" borderId="0" xfId="0" applyFont="1" applyFill="1" applyAlignment="1">
      <alignment horizontal="center" vertical="center" wrapText="1"/>
    </xf>
    <xf numFmtId="165" fontId="10" fillId="3" borderId="0" xfId="0" applyNumberFormat="1" applyFont="1" applyFill="1" applyAlignment="1">
      <alignment horizontal="center" vertical="center" wrapText="1"/>
    </xf>
    <xf numFmtId="165" fontId="0" fillId="3" borderId="0" xfId="0" applyNumberFormat="1" applyFill="1" applyAlignment="1">
      <alignment horizontal="center" vertical="center" wrapText="1"/>
    </xf>
    <xf numFmtId="0" fontId="32" fillId="3" borderId="0" xfId="0" applyFont="1" applyFill="1" applyAlignment="1">
      <alignment horizontal="center" vertical="center" wrapText="1"/>
    </xf>
    <xf numFmtId="165" fontId="32" fillId="3"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22" fillId="3" borderId="0" xfId="0" applyFont="1" applyFill="1" applyAlignment="1">
      <alignment horizontal="center" vertical="center" wrapText="1"/>
    </xf>
    <xf numFmtId="165" fontId="22" fillId="3" borderId="0" xfId="0" applyNumberFormat="1" applyFont="1" applyFill="1" applyAlignment="1">
      <alignment horizontal="center" vertical="center" wrapText="1"/>
    </xf>
    <xf numFmtId="0" fontId="33" fillId="3" borderId="0" xfId="0" applyFont="1" applyFill="1" applyAlignment="1">
      <alignment horizontal="center" vertical="center" wrapText="1"/>
    </xf>
    <xf numFmtId="165" fontId="33" fillId="3" borderId="0" xfId="0" applyNumberFormat="1" applyFont="1" applyFill="1" applyAlignment="1">
      <alignment horizontal="center" vertical="center" wrapText="1"/>
    </xf>
    <xf numFmtId="165" fontId="15" fillId="3" borderId="0" xfId="0" applyNumberFormat="1" applyFont="1" applyFill="1" applyAlignment="1">
      <alignment horizontal="center" vertical="center" wrapText="1"/>
    </xf>
    <xf numFmtId="0" fontId="6" fillId="3" borderId="0" xfId="0" applyFont="1" applyFill="1" applyAlignment="1">
      <alignment horizontal="center" vertical="center" wrapText="1"/>
    </xf>
    <xf numFmtId="165" fontId="6" fillId="3" borderId="0" xfId="0" applyNumberFormat="1" applyFont="1" applyFill="1" applyAlignment="1">
      <alignment horizontal="center" vertical="center" wrapText="1"/>
    </xf>
    <xf numFmtId="165" fontId="15" fillId="2" borderId="0" xfId="0" applyNumberFormat="1" applyFont="1" applyFill="1" applyAlignment="1">
      <alignment horizontal="center" vertical="center" wrapText="1"/>
    </xf>
    <xf numFmtId="164" fontId="0" fillId="0" borderId="0" xfId="0" applyNumberFormat="1" applyAlignment="1">
      <alignment horizontal="center" vertical="center" wrapText="1"/>
    </xf>
    <xf numFmtId="164" fontId="6" fillId="0" borderId="0" xfId="0" applyNumberFormat="1" applyFont="1" applyAlignment="1">
      <alignment horizontal="center" vertical="center" wrapText="1"/>
    </xf>
    <xf numFmtId="164" fontId="22" fillId="0" borderId="0" xfId="0" applyNumberFormat="1" applyFont="1" applyAlignment="1">
      <alignment horizontal="center" vertical="center" wrapText="1"/>
    </xf>
    <xf numFmtId="164" fontId="10" fillId="0" borderId="0" xfId="0" applyNumberFormat="1" applyFont="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horizontal="center" vertical="center" wrapText="1"/>
    </xf>
    <xf numFmtId="0" fontId="32" fillId="0" borderId="0" xfId="0" applyFont="1" applyAlignment="1">
      <alignment horizontal="center" vertical="center" wrapText="1"/>
    </xf>
    <xf numFmtId="0" fontId="0" fillId="0" borderId="0" xfId="0" applyAlignment="1">
      <alignment vertical="center"/>
    </xf>
    <xf numFmtId="166" fontId="15" fillId="0" borderId="0" xfId="0" applyNumberFormat="1" applyFont="1" applyAlignment="1">
      <alignment horizontal="center" vertical="center" wrapText="1"/>
    </xf>
    <xf numFmtId="164" fontId="0" fillId="2" borderId="0" xfId="0" applyNumberFormat="1" applyFill="1" applyAlignment="1">
      <alignment horizontal="center" vertical="center" wrapText="1"/>
    </xf>
    <xf numFmtId="0" fontId="0" fillId="2" borderId="0" xfId="0" applyFill="1" applyAlignment="1">
      <alignment horizontal="center" wrapText="1"/>
    </xf>
    <xf numFmtId="164" fontId="24" fillId="2" borderId="0" xfId="0" applyNumberFormat="1" applyFont="1" applyFill="1" applyAlignment="1">
      <alignment horizontal="center" vertical="center"/>
    </xf>
    <xf numFmtId="0" fontId="15" fillId="2" borderId="0" xfId="0" applyFont="1" applyFill="1" applyAlignment="1">
      <alignment horizontal="center" vertical="center"/>
    </xf>
    <xf numFmtId="0" fontId="24" fillId="2" borderId="0" xfId="0" applyFont="1" applyFill="1" applyAlignment="1">
      <alignment horizontal="center" vertical="center"/>
    </xf>
    <xf numFmtId="0" fontId="35" fillId="0" borderId="0" xfId="0" applyFont="1" applyAlignment="1">
      <alignment horizontal="left" vertical="center"/>
    </xf>
    <xf numFmtId="0" fontId="37" fillId="0" borderId="0" xfId="0" applyFont="1" applyAlignment="1">
      <alignment horizontal="center" vertical="center" wrapText="1"/>
    </xf>
    <xf numFmtId="0" fontId="38" fillId="0" borderId="0" xfId="0" applyFont="1" applyAlignment="1">
      <alignment horizontal="center" vertical="center" wrapText="1"/>
    </xf>
    <xf numFmtId="0" fontId="0" fillId="3" borderId="0" xfId="0" applyFill="1" applyAlignment="1">
      <alignment horizontal="center" wrapText="1"/>
    </xf>
    <xf numFmtId="0" fontId="0" fillId="5" borderId="0" xfId="0" applyFill="1" applyAlignment="1">
      <alignment horizontal="center" vertical="center" wrapText="1"/>
    </xf>
    <xf numFmtId="0" fontId="15" fillId="5" borderId="0" xfId="0" applyFont="1" applyFill="1" applyAlignment="1">
      <alignment horizontal="center" vertical="center" wrapText="1"/>
    </xf>
    <xf numFmtId="2" fontId="15"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0" fontId="0" fillId="5" borderId="0" xfId="0" applyFill="1" applyAlignment="1">
      <alignment horizontal="center" wrapText="1"/>
    </xf>
    <xf numFmtId="0" fontId="0" fillId="4" borderId="0" xfId="0" applyFill="1" applyAlignment="1">
      <alignment horizontal="center" vertical="center" wrapText="1"/>
    </xf>
    <xf numFmtId="0" fontId="6" fillId="4" borderId="0" xfId="0" applyFont="1" applyFill="1" applyAlignment="1">
      <alignment horizontal="center" vertical="center" wrapText="1"/>
    </xf>
    <xf numFmtId="0" fontId="0" fillId="4" borderId="0" xfId="0" applyFill="1" applyAlignment="1">
      <alignment horizontal="center" wrapText="1"/>
    </xf>
    <xf numFmtId="0" fontId="31" fillId="3" borderId="1" xfId="0" applyFont="1" applyFill="1" applyBorder="1" applyAlignment="1">
      <alignment horizontal="center" vertical="center" wrapText="1"/>
    </xf>
    <xf numFmtId="2" fontId="0" fillId="3" borderId="0" xfId="0" applyNumberFormat="1" applyFill="1" applyAlignment="1">
      <alignment horizontal="center" vertical="center" wrapText="1"/>
    </xf>
    <xf numFmtId="167" fontId="0" fillId="3" borderId="0" xfId="0" applyNumberFormat="1" applyFill="1" applyAlignment="1">
      <alignment horizontal="center" vertical="center" wrapText="1"/>
    </xf>
    <xf numFmtId="2" fontId="6" fillId="3" borderId="0" xfId="0" applyNumberFormat="1" applyFont="1" applyFill="1" applyAlignment="1">
      <alignment horizontal="center" vertical="center" wrapText="1"/>
    </xf>
    <xf numFmtId="0" fontId="0" fillId="3" borderId="0" xfId="0" applyFill="1"/>
    <xf numFmtId="0" fontId="0" fillId="6" borderId="0" xfId="0" applyFill="1" applyAlignment="1">
      <alignment horizontal="center" vertical="center" wrapText="1"/>
    </xf>
    <xf numFmtId="166" fontId="15" fillId="6" borderId="0" xfId="0" applyNumberFormat="1" applyFont="1" applyFill="1" applyAlignment="1">
      <alignment horizontal="center" vertical="center" wrapText="1"/>
    </xf>
    <xf numFmtId="0" fontId="6" fillId="6" borderId="0" xfId="0" applyFont="1" applyFill="1" applyAlignment="1">
      <alignment horizontal="center" vertical="center" wrapText="1"/>
    </xf>
    <xf numFmtId="0" fontId="0" fillId="6" borderId="0" xfId="0" applyFill="1" applyAlignment="1">
      <alignment horizontal="center" wrapText="1"/>
    </xf>
    <xf numFmtId="166" fontId="15" fillId="5" borderId="0" xfId="0" applyNumberFormat="1" applyFont="1" applyFill="1" applyAlignment="1">
      <alignment horizontal="center" vertical="center" wrapText="1"/>
    </xf>
    <xf numFmtId="166" fontId="0" fillId="4" borderId="0" xfId="0" applyNumberFormat="1" applyFill="1" applyAlignment="1">
      <alignment horizontal="center" vertical="center" wrapText="1"/>
    </xf>
    <xf numFmtId="166" fontId="15" fillId="2" borderId="0" xfId="0" applyNumberFormat="1" applyFont="1" applyFill="1" applyAlignment="1">
      <alignment horizontal="center" vertical="center" wrapText="1"/>
    </xf>
    <xf numFmtId="2" fontId="0" fillId="2" borderId="0" xfId="0" applyNumberFormat="1" applyFill="1" applyAlignment="1">
      <alignment horizontal="center" vertical="center" wrapText="1"/>
    </xf>
    <xf numFmtId="167" fontId="0" fillId="0" borderId="0" xfId="0" applyNumberFormat="1" applyAlignment="1">
      <alignment horizontal="center" vertical="center" wrapText="1"/>
    </xf>
    <xf numFmtId="2" fontId="0" fillId="0" borderId="0" xfId="0" applyNumberFormat="1" applyAlignment="1">
      <alignment horizontal="center" vertical="center" wrapText="1"/>
    </xf>
    <xf numFmtId="166" fontId="0" fillId="0" borderId="0" xfId="0" applyNumberFormat="1" applyAlignment="1">
      <alignment horizontal="center" vertical="center" wrapText="1"/>
    </xf>
    <xf numFmtId="167" fontId="0" fillId="2" borderId="0" xfId="0" applyNumberFormat="1" applyFill="1" applyAlignment="1">
      <alignment horizontal="center" vertical="center" wrapText="1"/>
    </xf>
    <xf numFmtId="0" fontId="6" fillId="0" borderId="0" xfId="0" applyFont="1" applyAlignment="1">
      <alignment vertical="center"/>
    </xf>
    <xf numFmtId="49" fontId="15" fillId="0" borderId="0" xfId="0" applyNumberFormat="1" applyFont="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wrapText="1"/>
    </xf>
    <xf numFmtId="0" fontId="15" fillId="0" borderId="0" xfId="0" applyFont="1" applyAlignment="1">
      <alignment horizontal="center" wrapText="1"/>
    </xf>
    <xf numFmtId="167" fontId="15" fillId="3" borderId="0" xfId="0" applyNumberFormat="1" applyFont="1" applyFill="1" applyAlignment="1">
      <alignment horizontal="center" vertical="center" wrapText="1"/>
    </xf>
    <xf numFmtId="0" fontId="0" fillId="8" borderId="0" xfId="0" applyFill="1" applyAlignment="1">
      <alignment horizontal="center" vertical="center" wrapText="1"/>
    </xf>
    <xf numFmtId="0" fontId="6" fillId="8" borderId="0" xfId="0" applyFont="1" applyFill="1" applyAlignment="1">
      <alignment horizontal="center" vertical="center" wrapText="1"/>
    </xf>
    <xf numFmtId="167" fontId="0" fillId="8" borderId="0" xfId="0" applyNumberFormat="1" applyFill="1" applyAlignment="1">
      <alignment horizontal="center" vertical="center" wrapText="1"/>
    </xf>
    <xf numFmtId="166" fontId="0" fillId="8" borderId="0" xfId="0" applyNumberFormat="1" applyFill="1" applyAlignment="1">
      <alignment horizontal="center" vertical="center" wrapText="1"/>
    </xf>
    <xf numFmtId="0" fontId="0" fillId="8" borderId="0" xfId="0" applyFill="1" applyAlignment="1">
      <alignment horizontal="center" wrapText="1"/>
    </xf>
    <xf numFmtId="2" fontId="15" fillId="0" borderId="0" xfId="0" applyNumberFormat="1" applyFont="1" applyAlignment="1">
      <alignment horizontal="center" vertical="center" wrapText="1"/>
    </xf>
    <xf numFmtId="0" fontId="29" fillId="7" borderId="0" xfId="0" applyFont="1" applyFill="1" applyAlignment="1">
      <alignment horizontal="center" vertical="center" wrapText="1"/>
    </xf>
    <xf numFmtId="0" fontId="24" fillId="0" borderId="0" xfId="0" applyFont="1" applyAlignment="1">
      <alignment horizontal="center" vertical="center" wrapText="1"/>
    </xf>
    <xf numFmtId="0" fontId="12" fillId="0" borderId="0" xfId="0" applyFont="1" applyAlignment="1">
      <alignment horizontal="center" vertical="center" wrapText="1"/>
    </xf>
    <xf numFmtId="0" fontId="12" fillId="2" borderId="0" xfId="0" applyFont="1" applyFill="1" applyAlignment="1">
      <alignment horizontal="center" vertical="center" wrapText="1"/>
    </xf>
    <xf numFmtId="0" fontId="15" fillId="6" borderId="0" xfId="0" applyFont="1" applyFill="1" applyAlignment="1">
      <alignment horizontal="center" vertical="center" wrapText="1"/>
    </xf>
    <xf numFmtId="0" fontId="3" fillId="0" borderId="0" xfId="0" applyFont="1" applyAlignment="1">
      <alignment horizontal="center" vertical="center" wrapText="1"/>
    </xf>
    <xf numFmtId="0" fontId="45" fillId="0" borderId="0" xfId="0" applyFont="1" applyAlignment="1">
      <alignment horizontal="center" vertical="center" wrapText="1"/>
    </xf>
    <xf numFmtId="0" fontId="15" fillId="0" borderId="0" xfId="0" applyFont="1"/>
    <xf numFmtId="0" fontId="16" fillId="0" borderId="0" xfId="0" applyFont="1" applyAlignment="1">
      <alignment horizontal="center" vertical="center" wrapText="1"/>
    </xf>
    <xf numFmtId="0" fontId="46" fillId="0" borderId="0" xfId="0" applyFont="1" applyAlignment="1">
      <alignment vertical="center" wrapText="1"/>
    </xf>
    <xf numFmtId="0" fontId="28" fillId="0" borderId="0" xfId="0" applyFont="1" applyAlignment="1">
      <alignment horizontal="center" vertical="center" wrapText="1"/>
    </xf>
    <xf numFmtId="0" fontId="11" fillId="2" borderId="0" xfId="0" applyFont="1" applyFill="1" applyAlignment="1">
      <alignment horizontal="center" vertical="center" wrapText="1"/>
    </xf>
    <xf numFmtId="0" fontId="53" fillId="0" borderId="0" xfId="0" applyFont="1" applyAlignment="1">
      <alignment horizontal="center" vertical="center" wrapText="1"/>
    </xf>
    <xf numFmtId="0" fontId="9" fillId="0" borderId="0" xfId="0" applyFont="1" applyAlignment="1">
      <alignment horizontal="center" vertical="center"/>
    </xf>
    <xf numFmtId="0" fontId="54" fillId="0" borderId="0" xfId="0" applyFont="1" applyAlignment="1">
      <alignment horizontal="center" vertical="center" wrapText="1"/>
    </xf>
    <xf numFmtId="0" fontId="55" fillId="0" borderId="0" xfId="0" applyFont="1" applyAlignment="1">
      <alignment horizontal="center" vertical="center" wrapText="1"/>
    </xf>
    <xf numFmtId="0" fontId="29" fillId="0" borderId="0" xfId="0" applyFont="1"/>
    <xf numFmtId="0" fontId="59" fillId="0" borderId="0" xfId="0" applyFont="1" applyAlignment="1">
      <alignment vertical="center"/>
    </xf>
    <xf numFmtId="0" fontId="59" fillId="0" borderId="0" xfId="0" applyFont="1" applyAlignment="1">
      <alignment vertical="center" wrapText="1"/>
    </xf>
    <xf numFmtId="0" fontId="59" fillId="0" borderId="0" xfId="0" applyFont="1" applyAlignment="1">
      <alignment wrapText="1"/>
    </xf>
    <xf numFmtId="0" fontId="0" fillId="0" borderId="0" xfId="0" applyAlignment="1">
      <alignment wrapText="1"/>
    </xf>
    <xf numFmtId="0" fontId="6" fillId="0" borderId="0" xfId="0" applyFont="1" applyAlignment="1">
      <alignment vertical="center" wrapText="1"/>
    </xf>
    <xf numFmtId="0" fontId="45" fillId="2" borderId="0" xfId="0" applyFont="1" applyFill="1" applyAlignment="1">
      <alignment horizontal="center" vertical="center" wrapText="1"/>
    </xf>
    <xf numFmtId="0" fontId="16" fillId="2" borderId="0" xfId="0" applyFont="1" applyFill="1" applyAlignment="1">
      <alignment horizontal="center" vertical="center" wrapText="1"/>
    </xf>
    <xf numFmtId="0" fontId="46" fillId="2" borderId="0" xfId="0" applyFont="1" applyFill="1" applyAlignment="1">
      <alignment vertical="center" wrapText="1"/>
    </xf>
    <xf numFmtId="0" fontId="46" fillId="2" borderId="0" xfId="0" applyFont="1" applyFill="1" applyAlignment="1">
      <alignment vertical="center"/>
    </xf>
    <xf numFmtId="0" fontId="16" fillId="2" borderId="0" xfId="0" applyFont="1" applyFill="1" applyAlignment="1">
      <alignment horizontal="center" vertical="center"/>
    </xf>
    <xf numFmtId="0" fontId="60" fillId="0" borderId="0" xfId="0" applyFont="1" applyAlignment="1">
      <alignment horizontal="center" vertical="center"/>
    </xf>
    <xf numFmtId="0" fontId="35" fillId="0" borderId="0" xfId="0" applyFont="1" applyAlignment="1">
      <alignment horizontal="center" vertical="center"/>
    </xf>
    <xf numFmtId="0" fontId="0" fillId="0" borderId="0" xfId="0" applyAlignment="1">
      <alignment horizontal="center"/>
    </xf>
    <xf numFmtId="0" fontId="11" fillId="0" borderId="0" xfId="0" applyFont="1" applyAlignment="1">
      <alignment horizontal="center" vertical="center"/>
    </xf>
    <xf numFmtId="0" fontId="0" fillId="3" borderId="0" xfId="0" applyFill="1" applyAlignment="1">
      <alignment horizontal="center" vertical="center"/>
    </xf>
    <xf numFmtId="165" fontId="0" fillId="3" borderId="0" xfId="0" applyNumberFormat="1" applyFill="1" applyAlignment="1">
      <alignment horizontal="center" vertical="center"/>
    </xf>
    <xf numFmtId="2" fontId="0" fillId="0" borderId="0" xfId="0" applyNumberFormat="1" applyAlignment="1">
      <alignment horizontal="center" vertical="center"/>
    </xf>
    <xf numFmtId="0" fontId="10" fillId="3" borderId="0" xfId="0" applyFont="1" applyFill="1" applyAlignment="1">
      <alignment horizontal="center" vertical="center"/>
    </xf>
    <xf numFmtId="167" fontId="10" fillId="3" borderId="0" xfId="0" applyNumberFormat="1" applyFont="1" applyFill="1" applyAlignment="1">
      <alignment horizontal="center" vertical="center"/>
    </xf>
    <xf numFmtId="0" fontId="61" fillId="0" borderId="0" xfId="2" applyAlignment="1">
      <alignment horizontal="center" vertical="center"/>
    </xf>
    <xf numFmtId="0" fontId="62" fillId="0" borderId="0" xfId="0" applyFont="1" applyAlignment="1">
      <alignment horizontal="center" vertical="center" wrapText="1"/>
    </xf>
    <xf numFmtId="0" fontId="61" fillId="0" borderId="0" xfId="2" applyFill="1" applyBorder="1" applyAlignment="1">
      <alignment horizontal="center" vertical="center"/>
    </xf>
    <xf numFmtId="0" fontId="60" fillId="0" borderId="0" xfId="0" applyFont="1" applyAlignment="1">
      <alignment horizontal="center" vertical="center" wrapText="1"/>
    </xf>
    <xf numFmtId="0" fontId="24" fillId="0" borderId="0" xfId="0" quotePrefix="1" applyFont="1" applyAlignment="1">
      <alignment horizontal="center" vertical="center"/>
    </xf>
    <xf numFmtId="0" fontId="15" fillId="0" borderId="0" xfId="0" applyFont="1" applyAlignment="1">
      <alignment horizontal="center"/>
    </xf>
    <xf numFmtId="0" fontId="29" fillId="0" borderId="0" xfId="0" applyFont="1" applyAlignment="1">
      <alignment horizontal="center"/>
    </xf>
    <xf numFmtId="0" fontId="60" fillId="0" borderId="0" xfId="0" quotePrefix="1" applyFont="1" applyAlignment="1">
      <alignment horizontal="center" vertical="center" wrapText="1"/>
    </xf>
    <xf numFmtId="2" fontId="24" fillId="0" borderId="0" xfId="0" applyNumberFormat="1" applyFont="1" applyAlignment="1">
      <alignment horizontal="center" vertical="center"/>
    </xf>
  </cellXfs>
  <cellStyles count="3">
    <cellStyle name="Hyperlink" xfId="2" builtinId="8"/>
    <cellStyle name="Normal" xfId="0" builtinId="0"/>
    <cellStyle name="Normal 2" xfId="1" xr:uid="{CFD30B4C-6B97-4788-A6D4-FB5EDA2AE4C2}"/>
  </cellStyles>
  <dxfs count="125">
    <dxf>
      <font>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font>
        <b/>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color theme="4"/>
      </font>
      <fill>
        <patternFill patternType="none">
          <fgColor indexed="64"/>
          <bgColor auto="1"/>
        </patternFill>
      </fill>
    </dxf>
    <dxf>
      <font>
        <b val="0"/>
        <i val="0"/>
        <strike val="0"/>
        <condense val="0"/>
        <extend val="0"/>
        <outline val="0"/>
        <shadow val="0"/>
        <u val="none"/>
        <vertAlign val="baseline"/>
        <sz val="11"/>
        <color theme="4"/>
        <name val="Calibri"/>
        <family val="2"/>
        <scheme val="minor"/>
      </font>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color theme="4"/>
      </font>
      <fill>
        <patternFill patternType="none">
          <fgColor indexed="64"/>
          <bgColor auto="1"/>
        </patternFill>
      </fill>
    </dxf>
    <dxf>
      <font>
        <strike val="0"/>
        <outline val="0"/>
        <shadow val="0"/>
        <u val="none"/>
        <color theme="4"/>
      </font>
      <fill>
        <patternFill patternType="none">
          <fgColor indexed="64"/>
          <bgColor auto="1"/>
        </patternFill>
      </fill>
    </dxf>
    <dxf>
      <fill>
        <patternFill patternType="solid">
          <fgColor indexed="64"/>
          <bgColor rgb="FFFFFFF3"/>
        </patternFill>
      </fill>
      <alignment horizontal="center" vertical="center" textRotation="0" wrapText="1" indent="0" justifyLastLine="0" shrinkToFit="0" readingOrder="0"/>
    </dxf>
    <dxf>
      <fill>
        <patternFill patternType="solid">
          <fgColor indexed="64"/>
          <bgColor rgb="FFFFFFF3"/>
        </patternFill>
      </fill>
      <alignment horizontal="center" vertical="center" textRotation="0" wrapText="1" indent="0" justifyLastLine="0" shrinkToFit="0" readingOrder="0"/>
    </dxf>
    <dxf>
      <numFmt numFmtId="0" formatCode="General"/>
      <fill>
        <patternFill patternType="solid">
          <fgColor indexed="64"/>
          <bgColor rgb="FFFFFFF3"/>
        </patternFill>
      </fill>
      <alignment horizontal="center" vertical="center" textRotation="0" wrapText="1" indent="0" justifyLastLine="0" shrinkToFit="0" readingOrder="0"/>
    </dxf>
    <dxf>
      <fill>
        <patternFill patternType="solid">
          <fgColor indexed="64"/>
          <bgColor rgb="FFFFFFF3"/>
        </patternFill>
      </fill>
      <alignment horizontal="center" vertical="center" textRotation="0" wrapText="1" indent="0" justifyLastLine="0" shrinkToFit="0" readingOrder="0"/>
    </dxf>
    <dxf>
      <numFmt numFmtId="0" formatCode="General"/>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font>
        <color theme="4"/>
      </font>
      <numFmt numFmtId="0" formatCode="General"/>
      <fill>
        <patternFill patternType="solid">
          <fgColor indexed="64"/>
          <bgColor rgb="FFFFE7FF"/>
        </patternFill>
      </fill>
      <alignment horizontal="center" vertical="center" textRotation="0" wrapText="1" indent="0" justifyLastLine="0" shrinkToFit="0" readingOrder="0"/>
    </dxf>
    <dxf>
      <fill>
        <patternFill patternType="solid">
          <fgColor indexed="64"/>
          <bgColor theme="5" tint="0.79998168889431442"/>
        </patternFill>
      </fill>
      <alignment horizontal="center" vertical="center" textRotation="0" wrapText="1" indent="0" justifyLastLine="0" shrinkToFit="0" readingOrder="0"/>
    </dxf>
    <dxf>
      <numFmt numFmtId="0" formatCode="General"/>
      <fill>
        <patternFill patternType="solid">
          <fgColor indexed="64"/>
          <bgColor rgb="FFE1FFFF"/>
        </patternFill>
      </fill>
      <alignment horizontal="center" vertical="center" textRotation="0" wrapText="1" indent="0" justifyLastLine="0" shrinkToFit="0" readingOrder="0"/>
    </dxf>
    <dxf>
      <fill>
        <patternFill patternType="none">
          <fgColor indexed="64"/>
          <bgColor theme="7" tint="0.79998168889431442"/>
        </patternFill>
      </fill>
      <alignment horizontal="center" vertical="center" textRotation="0" wrapText="1" indent="0" justifyLastLine="0" shrinkToFit="0" readingOrder="0"/>
    </dxf>
    <dxf>
      <numFmt numFmtId="0" formatCode="General"/>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font>
        <b/>
        <color rgb="FF4472C4"/>
      </font>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numFmt numFmtId="0" formatCode="General"/>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color rgb="FF4472C4"/>
      </font>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font>
        <color rgb="FFFF0000"/>
      </font>
      <fill>
        <patternFill>
          <fgColor auto="1"/>
          <bgColor theme="7" tint="0.79992065187536243"/>
        </patternFill>
      </fill>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color rgb="FF4472C4"/>
      </font>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color rgb="FFFF0000"/>
      </font>
      <fill>
        <patternFill>
          <bgColor theme="7" tint="0.79998168889431442"/>
        </patternFill>
      </fill>
    </dxf>
    <dxf>
      <font>
        <b/>
        <i val="0"/>
        <color rgb="FFFF0000"/>
      </font>
      <fill>
        <patternFill>
          <bgColor rgb="FFFFCCCC"/>
        </patternFill>
      </fill>
    </dxf>
    <dxf>
      <font>
        <color rgb="FFFF0000"/>
      </font>
      <fill>
        <patternFill>
          <bgColor theme="7" tint="0.79998168889431442"/>
        </patternFill>
      </fill>
    </dxf>
    <dxf>
      <font>
        <color rgb="FFFF0000"/>
      </font>
      <fill>
        <patternFill>
          <fgColor auto="1"/>
          <bgColor theme="7" tint="0.79998168889431442"/>
        </patternFill>
      </fill>
    </dxf>
    <dxf>
      <font>
        <color rgb="FFFF0000"/>
      </font>
      <fill>
        <patternFill>
          <fgColor auto="1"/>
          <bgColor theme="7" tint="0.79998168889431442"/>
        </patternFill>
      </fill>
    </dxf>
  </dxfs>
  <tableStyles count="0" defaultTableStyle="TableStyleMedium2" defaultPivotStyle="PivotStyleLight16"/>
  <colors>
    <mruColors>
      <color rgb="FFFFFFF3"/>
      <color rgb="FFFFFFE5"/>
      <color rgb="FFE1FFFF"/>
      <color rgb="FFFFE7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persons/person.xml" Type="http://schemas.microsoft.com/office/2017/10/relationships/person"/><Relationship Id="rId12" Target="calcChain.xml" Type="http://schemas.openxmlformats.org/officeDocument/2006/relationships/calcChain"/><Relationship Id="rId13" Target="../customXml/item1.xml" Type="http://schemas.openxmlformats.org/officeDocument/2006/relationships/customXml"/><Relationship Id="rId14" Target="../customXml/item2.xml" Type="http://schemas.openxmlformats.org/officeDocument/2006/relationships/customXml"/><Relationship Id="rId15" Target="../customXml/item3.xml" Type="http://schemas.openxmlformats.org/officeDocument/2006/relationships/customXml"/><Relationship Id="rId16" Target="../customXml/item4.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10" Target="../media/image10.png" Type="http://schemas.openxmlformats.org/officeDocument/2006/relationships/image"/><Relationship Id="rId11" Target="../media/image11.png" Type="http://schemas.openxmlformats.org/officeDocument/2006/relationships/image"/><Relationship Id="rId12" Target="../media/image12.png" Type="http://schemas.openxmlformats.org/officeDocument/2006/relationships/image"/><Relationship Id="rId13" Target="../media/image13.png" Type="http://schemas.openxmlformats.org/officeDocument/2006/relationships/image"/><Relationship Id="rId14" Target="../media/image14.png" Type="http://schemas.openxmlformats.org/officeDocument/2006/relationships/image"/><Relationship Id="rId15" Target="../media/image15.png" Type="http://schemas.openxmlformats.org/officeDocument/2006/relationships/image"/><Relationship Id="rId16" Target="../media/image16.png" Type="http://schemas.openxmlformats.org/officeDocument/2006/relationships/image"/><Relationship Id="rId17" Target="../media/image17.png" Type="http://schemas.openxmlformats.org/officeDocument/2006/relationships/image"/><Relationship Id="rId18" Target="../media/image18.png" Type="http://schemas.openxmlformats.org/officeDocument/2006/relationships/image"/><Relationship Id="rId19" Target="../media/image19.png" Type="http://schemas.openxmlformats.org/officeDocument/2006/relationships/image"/><Relationship Id="rId2" Target="../media/image2.png" Type="http://schemas.openxmlformats.org/officeDocument/2006/relationships/image"/><Relationship Id="rId20" Target="../media/image20.png" Type="http://schemas.openxmlformats.org/officeDocument/2006/relationships/image"/><Relationship Id="rId21" Target="../media/image21.png" Type="http://schemas.openxmlformats.org/officeDocument/2006/relationships/image"/><Relationship Id="rId22" Target="../media/image22.png" Type="http://schemas.openxmlformats.org/officeDocument/2006/relationships/image"/><Relationship Id="rId23" Target="../media/image23.png" Type="http://schemas.openxmlformats.org/officeDocument/2006/relationships/image"/><Relationship Id="rId24" Target="../media/image24.png" Type="http://schemas.openxmlformats.org/officeDocument/2006/relationships/image"/><Relationship Id="rId25" Target="../media/image25.png" Type="http://schemas.openxmlformats.org/officeDocument/2006/relationships/image"/><Relationship Id="rId26" Target="../media/image26.png" Type="http://schemas.openxmlformats.org/officeDocument/2006/relationships/image"/><Relationship Id="rId27" Target="../media/image27.png" Type="http://schemas.openxmlformats.org/officeDocument/2006/relationships/image"/><Relationship Id="rId28" Target="../media/image28.png" Type="http://schemas.openxmlformats.org/officeDocument/2006/relationships/image"/><Relationship Id="rId29" Target="../media/image29.png" Type="http://schemas.openxmlformats.org/officeDocument/2006/relationships/image"/><Relationship Id="rId3" Target="../media/image3.png" Type="http://schemas.openxmlformats.org/officeDocument/2006/relationships/image"/><Relationship Id="rId30" Target="../media/image30.png" Type="http://schemas.openxmlformats.org/officeDocument/2006/relationships/image"/><Relationship Id="rId31" Target="../media/image31.png" Type="http://schemas.openxmlformats.org/officeDocument/2006/relationships/image"/><Relationship Id="rId32" Target="../media/image32.png" Type="http://schemas.openxmlformats.org/officeDocument/2006/relationships/image"/><Relationship Id="rId33" Target="../media/image33.png" Type="http://schemas.openxmlformats.org/officeDocument/2006/relationships/image"/><Relationship Id="rId34" Target="../media/image34.png" Type="http://schemas.openxmlformats.org/officeDocument/2006/relationships/image"/><Relationship Id="rId35" Target="../media/image35.png" Type="http://schemas.openxmlformats.org/officeDocument/2006/relationships/image"/><Relationship Id="rId36" Target="../media/image36.png" Type="http://schemas.openxmlformats.org/officeDocument/2006/relationships/image"/><Relationship Id="rId37" Target="../media/image37.png" Type="http://schemas.openxmlformats.org/officeDocument/2006/relationships/image"/><Relationship Id="rId38" Target="../media/image38.png" Type="http://schemas.openxmlformats.org/officeDocument/2006/relationships/image"/><Relationship Id="rId39" Target="../media/image39.png" Type="http://schemas.openxmlformats.org/officeDocument/2006/relationships/image"/><Relationship Id="rId4" Target="../media/image4.png" Type="http://schemas.openxmlformats.org/officeDocument/2006/relationships/image"/><Relationship Id="rId40" Target="../media/image40.png" Type="http://schemas.openxmlformats.org/officeDocument/2006/relationships/image"/><Relationship Id="rId41" Target="../media/image41.png" Type="http://schemas.openxmlformats.org/officeDocument/2006/relationships/image"/><Relationship Id="rId42" Target="../media/image42.png" Type="http://schemas.openxmlformats.org/officeDocument/2006/relationships/image"/><Relationship Id="rId43" Target="../media/image43.png" Type="http://schemas.openxmlformats.org/officeDocument/2006/relationships/image"/><Relationship Id="rId44" Target="../media/image44.png" Type="http://schemas.openxmlformats.org/officeDocument/2006/relationships/image"/><Relationship Id="rId45" Target="../media/image45.png" Type="http://schemas.openxmlformats.org/officeDocument/2006/relationships/image"/><Relationship Id="rId46" Target="../media/image46.png" Type="http://schemas.openxmlformats.org/officeDocument/2006/relationships/image"/><Relationship Id="rId47" Target="../media/image47.png" Type="http://schemas.openxmlformats.org/officeDocument/2006/relationships/image"/><Relationship Id="rId48" Target="../media/image48.png" Type="http://schemas.openxmlformats.org/officeDocument/2006/relationships/image"/><Relationship Id="rId49" Target="../media/image49.png" Type="http://schemas.openxmlformats.org/officeDocument/2006/relationships/image"/><Relationship Id="rId5" Target="../media/image5.png" Type="http://schemas.openxmlformats.org/officeDocument/2006/relationships/image"/><Relationship Id="rId50" Target="../media/image50.png" Type="http://schemas.openxmlformats.org/officeDocument/2006/relationships/image"/><Relationship Id="rId51" Target="../media/image51.png" Type="http://schemas.openxmlformats.org/officeDocument/2006/relationships/image"/><Relationship Id="rId52" Target="../media/image52.png" Type="http://schemas.openxmlformats.org/officeDocument/2006/relationships/image"/><Relationship Id="rId53" Target="../media/image53.png" Type="http://schemas.openxmlformats.org/officeDocument/2006/relationships/image"/><Relationship Id="rId54" Target="../media/image54.png" Type="http://schemas.openxmlformats.org/officeDocument/2006/relationships/image"/><Relationship Id="rId55" Target="../media/image55.png" Type="http://schemas.openxmlformats.org/officeDocument/2006/relationships/image"/><Relationship Id="rId56" Target="../media/image56.png" Type="http://schemas.openxmlformats.org/officeDocument/2006/relationships/image"/><Relationship Id="rId57" Target="../media/image57.png" Type="http://schemas.openxmlformats.org/officeDocument/2006/relationships/image"/><Relationship Id="rId58" Target="../media/image58.png" Type="http://schemas.openxmlformats.org/officeDocument/2006/relationships/image"/><Relationship Id="rId59" Target="../media/image59.png" Type="http://schemas.openxmlformats.org/officeDocument/2006/relationships/image"/><Relationship Id="rId6" Target="../media/image6.png" Type="http://schemas.openxmlformats.org/officeDocument/2006/relationships/image"/><Relationship Id="rId60" Target="../media/image60.png" Type="http://schemas.openxmlformats.org/officeDocument/2006/relationships/image"/><Relationship Id="rId61" Target="../media/image61.png" Type="http://schemas.openxmlformats.org/officeDocument/2006/relationships/image"/><Relationship Id="rId62" Target="../media/image62.png" Type="http://schemas.openxmlformats.org/officeDocument/2006/relationships/image"/><Relationship Id="rId63" Target="../media/image63.png" Type="http://schemas.openxmlformats.org/officeDocument/2006/relationships/image"/><Relationship Id="rId64" Target="../media/image64.png" Type="http://schemas.openxmlformats.org/officeDocument/2006/relationships/image"/><Relationship Id="rId65" Target="../media/image65.png" Type="http://schemas.openxmlformats.org/officeDocument/2006/relationships/image"/><Relationship Id="rId66" Target="../media/image66.png" Type="http://schemas.openxmlformats.org/officeDocument/2006/relationships/image"/><Relationship Id="rId67" Target="../media/image67.png" Type="http://schemas.openxmlformats.org/officeDocument/2006/relationships/image"/><Relationship Id="rId68" Target="../media/image68.png" Type="http://schemas.openxmlformats.org/officeDocument/2006/relationships/image"/><Relationship Id="rId69" Target="../media/image69.png" Type="http://schemas.openxmlformats.org/officeDocument/2006/relationships/image"/><Relationship Id="rId7" Target="../media/image7.png" Type="http://schemas.openxmlformats.org/officeDocument/2006/relationships/image"/><Relationship Id="rId70" Target="../media/image70.png" Type="http://schemas.openxmlformats.org/officeDocument/2006/relationships/image"/><Relationship Id="rId8" Target="../media/image8.png" Type="http://schemas.openxmlformats.org/officeDocument/2006/relationships/image"/><Relationship Id="rId9" Target="../media/image9.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7</xdr:col>
      <xdr:colOff>108857</xdr:colOff>
      <xdr:row>7</xdr:row>
      <xdr:rowOff>859972</xdr:rowOff>
    </xdr:from>
    <xdr:to>
      <xdr:col>7</xdr:col>
      <xdr:colOff>1732269</xdr:colOff>
      <xdr:row>7</xdr:row>
      <xdr:rowOff>1314996</xdr:rowOff>
    </xdr:to>
    <xdr:pic>
      <xdr:nvPicPr>
        <xdr:cNvPr id="2" name="Imagen 1">
          <a:extLst>
            <a:ext uri="{FF2B5EF4-FFF2-40B4-BE49-F238E27FC236}">
              <a16:creationId xmlns:a16="http://schemas.microsoft.com/office/drawing/2014/main" id="{D2136049-72CD-4C8F-A6FE-810A55013220}"/>
            </a:ext>
          </a:extLst>
        </xdr:cNvPr>
        <xdr:cNvPicPr>
          <a:picLocks noChangeAspect="1"/>
        </xdr:cNvPicPr>
      </xdr:nvPicPr>
      <xdr:blipFill>
        <a:blip xmlns:r="http://schemas.openxmlformats.org/officeDocument/2006/relationships" r:embed="rId1"/>
        <a:stretch>
          <a:fillRect/>
        </a:stretch>
      </xdr:blipFill>
      <xdr:spPr>
        <a:xfrm>
          <a:off x="6161314" y="6248401"/>
          <a:ext cx="1632574" cy="446315"/>
        </a:xfrm>
        <a:prstGeom prst="rect">
          <a:avLst/>
        </a:prstGeom>
      </xdr:spPr>
    </xdr:pic>
    <xdr:clientData/>
  </xdr:twoCellAnchor>
  <xdr:twoCellAnchor editAs="oneCell">
    <xdr:from>
      <xdr:col>7</xdr:col>
      <xdr:colOff>80158</xdr:colOff>
      <xdr:row>2</xdr:row>
      <xdr:rowOff>77188</xdr:rowOff>
    </xdr:from>
    <xdr:to>
      <xdr:col>7</xdr:col>
      <xdr:colOff>1619531</xdr:colOff>
      <xdr:row>2</xdr:row>
      <xdr:rowOff>626242</xdr:rowOff>
    </xdr:to>
    <xdr:pic>
      <xdr:nvPicPr>
        <xdr:cNvPr id="3" name="Imagen 2">
          <a:extLst>
            <a:ext uri="{FF2B5EF4-FFF2-40B4-BE49-F238E27FC236}">
              <a16:creationId xmlns:a16="http://schemas.microsoft.com/office/drawing/2014/main" id="{6DD794B7-C513-403A-9BFB-06FF22AC9652}"/>
            </a:ext>
          </a:extLst>
        </xdr:cNvPr>
        <xdr:cNvPicPr>
          <a:picLocks noChangeAspect="1"/>
        </xdr:cNvPicPr>
      </xdr:nvPicPr>
      <xdr:blipFill rotWithShape="1">
        <a:blip xmlns:r="http://schemas.openxmlformats.org/officeDocument/2006/relationships" r:embed="rId2"/>
        <a:srcRect t="5639" b="-1"/>
        <a:stretch/>
      </xdr:blipFill>
      <xdr:spPr>
        <a:xfrm>
          <a:off x="8226631" y="437406"/>
          <a:ext cx="1539373" cy="546514"/>
        </a:xfrm>
        <a:prstGeom prst="rect">
          <a:avLst/>
        </a:prstGeom>
      </xdr:spPr>
    </xdr:pic>
    <xdr:clientData/>
  </xdr:twoCellAnchor>
  <xdr:twoCellAnchor editAs="oneCell">
    <xdr:from>
      <xdr:col>7</xdr:col>
      <xdr:colOff>348343</xdr:colOff>
      <xdr:row>3</xdr:row>
      <xdr:rowOff>206829</xdr:rowOff>
    </xdr:from>
    <xdr:to>
      <xdr:col>7</xdr:col>
      <xdr:colOff>1465853</xdr:colOff>
      <xdr:row>3</xdr:row>
      <xdr:rowOff>780860</xdr:rowOff>
    </xdr:to>
    <xdr:pic>
      <xdr:nvPicPr>
        <xdr:cNvPr id="4" name="Imagen 3">
          <a:extLst>
            <a:ext uri="{FF2B5EF4-FFF2-40B4-BE49-F238E27FC236}">
              <a16:creationId xmlns:a16="http://schemas.microsoft.com/office/drawing/2014/main" id="{B3765679-4221-4B36-89F5-CF3337DBB3FB}"/>
            </a:ext>
          </a:extLst>
        </xdr:cNvPr>
        <xdr:cNvPicPr>
          <a:picLocks noChangeAspect="1"/>
        </xdr:cNvPicPr>
      </xdr:nvPicPr>
      <xdr:blipFill>
        <a:blip xmlns:r="http://schemas.openxmlformats.org/officeDocument/2006/relationships" r:embed="rId3"/>
        <a:stretch>
          <a:fillRect/>
        </a:stretch>
      </xdr:blipFill>
      <xdr:spPr>
        <a:xfrm>
          <a:off x="7369629" y="1175658"/>
          <a:ext cx="1132115" cy="574031"/>
        </a:xfrm>
        <a:prstGeom prst="rect">
          <a:avLst/>
        </a:prstGeom>
      </xdr:spPr>
    </xdr:pic>
    <xdr:clientData/>
  </xdr:twoCellAnchor>
  <xdr:twoCellAnchor editAs="oneCell">
    <xdr:from>
      <xdr:col>7</xdr:col>
      <xdr:colOff>370114</xdr:colOff>
      <xdr:row>4</xdr:row>
      <xdr:rowOff>130628</xdr:rowOff>
    </xdr:from>
    <xdr:to>
      <xdr:col>7</xdr:col>
      <xdr:colOff>1393824</xdr:colOff>
      <xdr:row>4</xdr:row>
      <xdr:rowOff>670426</xdr:rowOff>
    </xdr:to>
    <xdr:pic>
      <xdr:nvPicPr>
        <xdr:cNvPr id="5" name="Imagen 4">
          <a:extLst>
            <a:ext uri="{FF2B5EF4-FFF2-40B4-BE49-F238E27FC236}">
              <a16:creationId xmlns:a16="http://schemas.microsoft.com/office/drawing/2014/main" id="{E16988B8-4ECB-42B4-A614-3BCE860AAF8F}"/>
            </a:ext>
          </a:extLst>
        </xdr:cNvPr>
        <xdr:cNvPicPr>
          <a:picLocks noChangeAspect="1"/>
        </xdr:cNvPicPr>
      </xdr:nvPicPr>
      <xdr:blipFill>
        <a:blip xmlns:r="http://schemas.openxmlformats.org/officeDocument/2006/relationships" r:embed="rId4"/>
        <a:stretch>
          <a:fillRect/>
        </a:stretch>
      </xdr:blipFill>
      <xdr:spPr>
        <a:xfrm>
          <a:off x="6422571" y="2971799"/>
          <a:ext cx="1036410" cy="548688"/>
        </a:xfrm>
        <a:prstGeom prst="rect">
          <a:avLst/>
        </a:prstGeom>
      </xdr:spPr>
    </xdr:pic>
    <xdr:clientData/>
  </xdr:twoCellAnchor>
  <xdr:twoCellAnchor editAs="oneCell">
    <xdr:from>
      <xdr:col>7</xdr:col>
      <xdr:colOff>76201</xdr:colOff>
      <xdr:row>5</xdr:row>
      <xdr:rowOff>783772</xdr:rowOff>
    </xdr:from>
    <xdr:to>
      <xdr:col>8</xdr:col>
      <xdr:colOff>2722</xdr:colOff>
      <xdr:row>5</xdr:row>
      <xdr:rowOff>1235346</xdr:rowOff>
    </xdr:to>
    <xdr:pic>
      <xdr:nvPicPr>
        <xdr:cNvPr id="6" name="Imagen 5">
          <a:extLst>
            <a:ext uri="{FF2B5EF4-FFF2-40B4-BE49-F238E27FC236}">
              <a16:creationId xmlns:a16="http://schemas.microsoft.com/office/drawing/2014/main" id="{DBDBED3E-B400-4694-8174-5FD916E3105F}"/>
            </a:ext>
          </a:extLst>
        </xdr:cNvPr>
        <xdr:cNvPicPr>
          <a:picLocks noChangeAspect="1"/>
        </xdr:cNvPicPr>
      </xdr:nvPicPr>
      <xdr:blipFill>
        <a:blip xmlns:r="http://schemas.openxmlformats.org/officeDocument/2006/relationships" r:embed="rId5"/>
        <a:stretch>
          <a:fillRect/>
        </a:stretch>
      </xdr:blipFill>
      <xdr:spPr>
        <a:xfrm>
          <a:off x="8222674" y="3457699"/>
          <a:ext cx="1741467" cy="451574"/>
        </a:xfrm>
        <a:prstGeom prst="rect">
          <a:avLst/>
        </a:prstGeom>
      </xdr:spPr>
    </xdr:pic>
    <xdr:clientData/>
  </xdr:twoCellAnchor>
  <xdr:twoCellAnchor editAs="oneCell">
    <xdr:from>
      <xdr:col>7</xdr:col>
      <xdr:colOff>263236</xdr:colOff>
      <xdr:row>8</xdr:row>
      <xdr:rowOff>59634</xdr:rowOff>
    </xdr:from>
    <xdr:to>
      <xdr:col>7</xdr:col>
      <xdr:colOff>1580436</xdr:colOff>
      <xdr:row>8</xdr:row>
      <xdr:rowOff>514259</xdr:rowOff>
    </xdr:to>
    <xdr:pic>
      <xdr:nvPicPr>
        <xdr:cNvPr id="7" name="Imagen 6">
          <a:extLst>
            <a:ext uri="{FF2B5EF4-FFF2-40B4-BE49-F238E27FC236}">
              <a16:creationId xmlns:a16="http://schemas.microsoft.com/office/drawing/2014/main" id="{CD1D937D-CC6C-4FC5-8434-D330885FD9A9}"/>
            </a:ext>
          </a:extLst>
        </xdr:cNvPr>
        <xdr:cNvPicPr>
          <a:picLocks noChangeAspect="1"/>
        </xdr:cNvPicPr>
      </xdr:nvPicPr>
      <xdr:blipFill rotWithShape="1">
        <a:blip xmlns:r="http://schemas.openxmlformats.org/officeDocument/2006/relationships" r:embed="rId6"/>
        <a:srcRect t="4135"/>
        <a:stretch/>
      </xdr:blipFill>
      <xdr:spPr>
        <a:xfrm>
          <a:off x="7284522" y="10694977"/>
          <a:ext cx="1331805" cy="462880"/>
        </a:xfrm>
        <a:prstGeom prst="rect">
          <a:avLst/>
        </a:prstGeom>
      </xdr:spPr>
    </xdr:pic>
    <xdr:clientData/>
  </xdr:twoCellAnchor>
  <xdr:twoCellAnchor editAs="oneCell">
    <xdr:from>
      <xdr:col>7</xdr:col>
      <xdr:colOff>435429</xdr:colOff>
      <xdr:row>10</xdr:row>
      <xdr:rowOff>144485</xdr:rowOff>
    </xdr:from>
    <xdr:to>
      <xdr:col>7</xdr:col>
      <xdr:colOff>1371600</xdr:colOff>
      <xdr:row>10</xdr:row>
      <xdr:rowOff>630238</xdr:rowOff>
    </xdr:to>
    <xdr:pic>
      <xdr:nvPicPr>
        <xdr:cNvPr id="8" name="Imagen 7">
          <a:extLst>
            <a:ext uri="{FF2B5EF4-FFF2-40B4-BE49-F238E27FC236}">
              <a16:creationId xmlns:a16="http://schemas.microsoft.com/office/drawing/2014/main" id="{528A9804-99C7-43C7-B072-598E8D0AEDD1}"/>
            </a:ext>
          </a:extLst>
        </xdr:cNvPr>
        <xdr:cNvPicPr>
          <a:picLocks noChangeAspect="1"/>
        </xdr:cNvPicPr>
      </xdr:nvPicPr>
      <xdr:blipFill rotWithShape="1">
        <a:blip xmlns:r="http://schemas.openxmlformats.org/officeDocument/2006/relationships" r:embed="rId7"/>
        <a:srcRect t="1" r="2958" b="2323"/>
        <a:stretch/>
      </xdr:blipFill>
      <xdr:spPr>
        <a:xfrm>
          <a:off x="7456715" y="11324114"/>
          <a:ext cx="936171" cy="471148"/>
        </a:xfrm>
        <a:prstGeom prst="rect">
          <a:avLst/>
        </a:prstGeom>
      </xdr:spPr>
    </xdr:pic>
    <xdr:clientData/>
  </xdr:twoCellAnchor>
  <xdr:twoCellAnchor editAs="oneCell">
    <xdr:from>
      <xdr:col>7</xdr:col>
      <xdr:colOff>446314</xdr:colOff>
      <xdr:row>11</xdr:row>
      <xdr:rowOff>471058</xdr:rowOff>
    </xdr:from>
    <xdr:to>
      <xdr:col>7</xdr:col>
      <xdr:colOff>1390740</xdr:colOff>
      <xdr:row>11</xdr:row>
      <xdr:rowOff>935856</xdr:rowOff>
    </xdr:to>
    <xdr:pic>
      <xdr:nvPicPr>
        <xdr:cNvPr id="9" name="Imagen 8">
          <a:extLst>
            <a:ext uri="{FF2B5EF4-FFF2-40B4-BE49-F238E27FC236}">
              <a16:creationId xmlns:a16="http://schemas.microsoft.com/office/drawing/2014/main" id="{D9FC2229-2ECD-438B-B8D4-E37C98E1E771}"/>
            </a:ext>
          </a:extLst>
        </xdr:cNvPr>
        <xdr:cNvPicPr>
          <a:picLocks noChangeAspect="1"/>
        </xdr:cNvPicPr>
      </xdr:nvPicPr>
      <xdr:blipFill rotWithShape="1">
        <a:blip xmlns:r="http://schemas.openxmlformats.org/officeDocument/2006/relationships" r:embed="rId7"/>
        <a:srcRect t="1" r="2958" b="2323"/>
        <a:stretch/>
      </xdr:blipFill>
      <xdr:spPr>
        <a:xfrm>
          <a:off x="7467600" y="12380029"/>
          <a:ext cx="936171" cy="471148"/>
        </a:xfrm>
        <a:prstGeom prst="rect">
          <a:avLst/>
        </a:prstGeom>
      </xdr:spPr>
    </xdr:pic>
    <xdr:clientData/>
  </xdr:twoCellAnchor>
  <xdr:twoCellAnchor editAs="oneCell">
    <xdr:from>
      <xdr:col>7</xdr:col>
      <xdr:colOff>468085</xdr:colOff>
      <xdr:row>12</xdr:row>
      <xdr:rowOff>177145</xdr:rowOff>
    </xdr:from>
    <xdr:to>
      <xdr:col>7</xdr:col>
      <xdr:colOff>1389651</xdr:colOff>
      <xdr:row>12</xdr:row>
      <xdr:rowOff>648293</xdr:rowOff>
    </xdr:to>
    <xdr:pic>
      <xdr:nvPicPr>
        <xdr:cNvPr id="10" name="Imagen 9">
          <a:extLst>
            <a:ext uri="{FF2B5EF4-FFF2-40B4-BE49-F238E27FC236}">
              <a16:creationId xmlns:a16="http://schemas.microsoft.com/office/drawing/2014/main" id="{3336B928-F1E9-45B5-B6CC-636581701E63}"/>
            </a:ext>
          </a:extLst>
        </xdr:cNvPr>
        <xdr:cNvPicPr>
          <a:picLocks noChangeAspect="1"/>
        </xdr:cNvPicPr>
      </xdr:nvPicPr>
      <xdr:blipFill rotWithShape="1">
        <a:blip xmlns:r="http://schemas.openxmlformats.org/officeDocument/2006/relationships" r:embed="rId7"/>
        <a:srcRect t="1" r="2958" b="2323"/>
        <a:stretch/>
      </xdr:blipFill>
      <xdr:spPr>
        <a:xfrm>
          <a:off x="7489371" y="13544802"/>
          <a:ext cx="936171" cy="471148"/>
        </a:xfrm>
        <a:prstGeom prst="rect">
          <a:avLst/>
        </a:prstGeom>
      </xdr:spPr>
    </xdr:pic>
    <xdr:clientData/>
  </xdr:twoCellAnchor>
  <xdr:twoCellAnchor editAs="oneCell">
    <xdr:from>
      <xdr:col>7</xdr:col>
      <xdr:colOff>707571</xdr:colOff>
      <xdr:row>13</xdr:row>
      <xdr:rowOff>239485</xdr:rowOff>
    </xdr:from>
    <xdr:to>
      <xdr:col>7</xdr:col>
      <xdr:colOff>1201147</xdr:colOff>
      <xdr:row>13</xdr:row>
      <xdr:rowOff>666711</xdr:rowOff>
    </xdr:to>
    <xdr:pic>
      <xdr:nvPicPr>
        <xdr:cNvPr id="11" name="Imagen 10">
          <a:extLst>
            <a:ext uri="{FF2B5EF4-FFF2-40B4-BE49-F238E27FC236}">
              <a16:creationId xmlns:a16="http://schemas.microsoft.com/office/drawing/2014/main" id="{7B63D143-C5A2-45DD-8F52-A16514763D3E}"/>
            </a:ext>
          </a:extLst>
        </xdr:cNvPr>
        <xdr:cNvPicPr>
          <a:picLocks noChangeAspect="1"/>
        </xdr:cNvPicPr>
      </xdr:nvPicPr>
      <xdr:blipFill rotWithShape="1">
        <a:blip xmlns:r="http://schemas.openxmlformats.org/officeDocument/2006/relationships" r:embed="rId8"/>
        <a:srcRect t="5670" b="1"/>
        <a:stretch/>
      </xdr:blipFill>
      <xdr:spPr>
        <a:xfrm>
          <a:off x="7728857" y="14336485"/>
          <a:ext cx="478971" cy="435481"/>
        </a:xfrm>
        <a:prstGeom prst="rect">
          <a:avLst/>
        </a:prstGeom>
      </xdr:spPr>
    </xdr:pic>
    <xdr:clientData/>
  </xdr:twoCellAnchor>
  <xdr:twoCellAnchor editAs="oneCell">
    <xdr:from>
      <xdr:col>7</xdr:col>
      <xdr:colOff>188027</xdr:colOff>
      <xdr:row>14</xdr:row>
      <xdr:rowOff>272143</xdr:rowOff>
    </xdr:from>
    <xdr:to>
      <xdr:col>7</xdr:col>
      <xdr:colOff>1654655</xdr:colOff>
      <xdr:row>14</xdr:row>
      <xdr:rowOff>742859</xdr:rowOff>
    </xdr:to>
    <xdr:pic>
      <xdr:nvPicPr>
        <xdr:cNvPr id="12" name="Imagen 11">
          <a:extLst>
            <a:ext uri="{FF2B5EF4-FFF2-40B4-BE49-F238E27FC236}">
              <a16:creationId xmlns:a16="http://schemas.microsoft.com/office/drawing/2014/main" id="{FC12EA02-F1B8-4416-A945-DFE088A8842B}"/>
            </a:ext>
          </a:extLst>
        </xdr:cNvPr>
        <xdr:cNvPicPr>
          <a:picLocks noChangeAspect="1"/>
        </xdr:cNvPicPr>
      </xdr:nvPicPr>
      <xdr:blipFill>
        <a:blip xmlns:r="http://schemas.openxmlformats.org/officeDocument/2006/relationships" r:embed="rId9"/>
        <a:stretch>
          <a:fillRect/>
        </a:stretch>
      </xdr:blipFill>
      <xdr:spPr>
        <a:xfrm>
          <a:off x="7323118" y="12034652"/>
          <a:ext cx="1460278" cy="478971"/>
        </a:xfrm>
        <a:prstGeom prst="rect">
          <a:avLst/>
        </a:prstGeom>
      </xdr:spPr>
    </xdr:pic>
    <xdr:clientData/>
  </xdr:twoCellAnchor>
  <xdr:twoCellAnchor editAs="oneCell">
    <xdr:from>
      <xdr:col>7</xdr:col>
      <xdr:colOff>631370</xdr:colOff>
      <xdr:row>15</xdr:row>
      <xdr:rowOff>1251857</xdr:rowOff>
    </xdr:from>
    <xdr:to>
      <xdr:col>7</xdr:col>
      <xdr:colOff>1124946</xdr:colOff>
      <xdr:row>15</xdr:row>
      <xdr:rowOff>1695593</xdr:rowOff>
    </xdr:to>
    <xdr:pic>
      <xdr:nvPicPr>
        <xdr:cNvPr id="13" name="Imagen 12">
          <a:extLst>
            <a:ext uri="{FF2B5EF4-FFF2-40B4-BE49-F238E27FC236}">
              <a16:creationId xmlns:a16="http://schemas.microsoft.com/office/drawing/2014/main" id="{DDE7B97C-2A2B-4DC4-AF79-66DD0B93FDF5}"/>
            </a:ext>
          </a:extLst>
        </xdr:cNvPr>
        <xdr:cNvPicPr>
          <a:picLocks noChangeAspect="1"/>
        </xdr:cNvPicPr>
      </xdr:nvPicPr>
      <xdr:blipFill rotWithShape="1">
        <a:blip xmlns:r="http://schemas.openxmlformats.org/officeDocument/2006/relationships" r:embed="rId8"/>
        <a:srcRect t="5670" b="1"/>
        <a:stretch/>
      </xdr:blipFill>
      <xdr:spPr>
        <a:xfrm>
          <a:off x="7761513" y="13911943"/>
          <a:ext cx="478971" cy="435481"/>
        </a:xfrm>
        <a:prstGeom prst="rect">
          <a:avLst/>
        </a:prstGeom>
      </xdr:spPr>
    </xdr:pic>
    <xdr:clientData/>
  </xdr:twoCellAnchor>
  <xdr:twoCellAnchor editAs="oneCell">
    <xdr:from>
      <xdr:col>7</xdr:col>
      <xdr:colOff>468086</xdr:colOff>
      <xdr:row>16</xdr:row>
      <xdr:rowOff>54428</xdr:rowOff>
    </xdr:from>
    <xdr:to>
      <xdr:col>7</xdr:col>
      <xdr:colOff>1331685</xdr:colOff>
      <xdr:row>16</xdr:row>
      <xdr:rowOff>511628</xdr:rowOff>
    </xdr:to>
    <xdr:pic>
      <xdr:nvPicPr>
        <xdr:cNvPr id="14" name="Imagen 13">
          <a:extLst>
            <a:ext uri="{FF2B5EF4-FFF2-40B4-BE49-F238E27FC236}">
              <a16:creationId xmlns:a16="http://schemas.microsoft.com/office/drawing/2014/main" id="{F4E660F3-39DD-4C3A-A3D1-15FC592756CF}"/>
            </a:ext>
          </a:extLst>
        </xdr:cNvPr>
        <xdr:cNvPicPr>
          <a:picLocks noChangeAspect="1"/>
        </xdr:cNvPicPr>
      </xdr:nvPicPr>
      <xdr:blipFill>
        <a:blip xmlns:r="http://schemas.openxmlformats.org/officeDocument/2006/relationships" r:embed="rId4"/>
        <a:stretch>
          <a:fillRect/>
        </a:stretch>
      </xdr:blipFill>
      <xdr:spPr>
        <a:xfrm>
          <a:off x="7489372" y="17210314"/>
          <a:ext cx="863599" cy="457200"/>
        </a:xfrm>
        <a:prstGeom prst="rect">
          <a:avLst/>
        </a:prstGeom>
      </xdr:spPr>
    </xdr:pic>
    <xdr:clientData/>
  </xdr:twoCellAnchor>
  <xdr:twoCellAnchor editAs="oneCell">
    <xdr:from>
      <xdr:col>7</xdr:col>
      <xdr:colOff>291738</xdr:colOff>
      <xdr:row>17</xdr:row>
      <xdr:rowOff>153866</xdr:rowOff>
    </xdr:from>
    <xdr:to>
      <xdr:col>7</xdr:col>
      <xdr:colOff>1545896</xdr:colOff>
      <xdr:row>17</xdr:row>
      <xdr:rowOff>590458</xdr:rowOff>
    </xdr:to>
    <xdr:pic>
      <xdr:nvPicPr>
        <xdr:cNvPr id="15" name="Imagen 14">
          <a:extLst>
            <a:ext uri="{FF2B5EF4-FFF2-40B4-BE49-F238E27FC236}">
              <a16:creationId xmlns:a16="http://schemas.microsoft.com/office/drawing/2014/main" id="{CFDC0776-DF27-4A80-AA8C-5AEF2131789C}"/>
            </a:ext>
          </a:extLst>
        </xdr:cNvPr>
        <xdr:cNvPicPr>
          <a:picLocks noChangeAspect="1"/>
        </xdr:cNvPicPr>
      </xdr:nvPicPr>
      <xdr:blipFill>
        <a:blip xmlns:r="http://schemas.openxmlformats.org/officeDocument/2006/relationships" r:embed="rId10"/>
        <a:stretch>
          <a:fillRect/>
        </a:stretch>
      </xdr:blipFill>
      <xdr:spPr>
        <a:xfrm>
          <a:off x="7313024" y="14250866"/>
          <a:ext cx="1263048" cy="444847"/>
        </a:xfrm>
        <a:prstGeom prst="rect">
          <a:avLst/>
        </a:prstGeom>
      </xdr:spPr>
    </xdr:pic>
    <xdr:clientData/>
  </xdr:twoCellAnchor>
  <xdr:twoCellAnchor editAs="oneCell">
    <xdr:from>
      <xdr:col>7</xdr:col>
      <xdr:colOff>413656</xdr:colOff>
      <xdr:row>18</xdr:row>
      <xdr:rowOff>108856</xdr:rowOff>
    </xdr:from>
    <xdr:to>
      <xdr:col>7</xdr:col>
      <xdr:colOff>1467204</xdr:colOff>
      <xdr:row>18</xdr:row>
      <xdr:rowOff>685799</xdr:rowOff>
    </xdr:to>
    <xdr:pic>
      <xdr:nvPicPr>
        <xdr:cNvPr id="16" name="Imagen 15">
          <a:extLst>
            <a:ext uri="{FF2B5EF4-FFF2-40B4-BE49-F238E27FC236}">
              <a16:creationId xmlns:a16="http://schemas.microsoft.com/office/drawing/2014/main" id="{90F12C83-3C6D-49C2-B5FE-19FE6C5D89C5}"/>
            </a:ext>
          </a:extLst>
        </xdr:cNvPr>
        <xdr:cNvPicPr>
          <a:picLocks noChangeAspect="1"/>
        </xdr:cNvPicPr>
      </xdr:nvPicPr>
      <xdr:blipFill>
        <a:blip xmlns:r="http://schemas.openxmlformats.org/officeDocument/2006/relationships" r:embed="rId11"/>
        <a:stretch>
          <a:fillRect/>
        </a:stretch>
      </xdr:blipFill>
      <xdr:spPr>
        <a:xfrm>
          <a:off x="7434942" y="14935199"/>
          <a:ext cx="1053548" cy="576943"/>
        </a:xfrm>
        <a:prstGeom prst="rect">
          <a:avLst/>
        </a:prstGeom>
      </xdr:spPr>
    </xdr:pic>
    <xdr:clientData/>
  </xdr:twoCellAnchor>
  <xdr:twoCellAnchor editAs="oneCell">
    <xdr:from>
      <xdr:col>7</xdr:col>
      <xdr:colOff>326570</xdr:colOff>
      <xdr:row>19</xdr:row>
      <xdr:rowOff>174171</xdr:rowOff>
    </xdr:from>
    <xdr:to>
      <xdr:col>7</xdr:col>
      <xdr:colOff>1582965</xdr:colOff>
      <xdr:row>19</xdr:row>
      <xdr:rowOff>590459</xdr:rowOff>
    </xdr:to>
    <xdr:pic>
      <xdr:nvPicPr>
        <xdr:cNvPr id="17" name="Imagen 16">
          <a:extLst>
            <a:ext uri="{FF2B5EF4-FFF2-40B4-BE49-F238E27FC236}">
              <a16:creationId xmlns:a16="http://schemas.microsoft.com/office/drawing/2014/main" id="{3D12F7C8-2193-47CD-BCB0-CEDE6DF02E57}"/>
            </a:ext>
          </a:extLst>
        </xdr:cNvPr>
        <xdr:cNvPicPr>
          <a:picLocks noChangeAspect="1"/>
        </xdr:cNvPicPr>
      </xdr:nvPicPr>
      <xdr:blipFill>
        <a:blip xmlns:r="http://schemas.openxmlformats.org/officeDocument/2006/relationships" r:embed="rId12"/>
        <a:stretch>
          <a:fillRect/>
        </a:stretch>
      </xdr:blipFill>
      <xdr:spPr>
        <a:xfrm>
          <a:off x="7456713" y="17700171"/>
          <a:ext cx="1241790" cy="424543"/>
        </a:xfrm>
        <a:prstGeom prst="rect">
          <a:avLst/>
        </a:prstGeom>
      </xdr:spPr>
    </xdr:pic>
    <xdr:clientData/>
  </xdr:twoCellAnchor>
  <xdr:twoCellAnchor editAs="oneCell">
    <xdr:from>
      <xdr:col>7</xdr:col>
      <xdr:colOff>435428</xdr:colOff>
      <xdr:row>20</xdr:row>
      <xdr:rowOff>304800</xdr:rowOff>
    </xdr:from>
    <xdr:to>
      <xdr:col>7</xdr:col>
      <xdr:colOff>1508672</xdr:colOff>
      <xdr:row>20</xdr:row>
      <xdr:rowOff>857933</xdr:rowOff>
    </xdr:to>
    <xdr:pic>
      <xdr:nvPicPr>
        <xdr:cNvPr id="19" name="Imagen 18">
          <a:extLst>
            <a:ext uri="{FF2B5EF4-FFF2-40B4-BE49-F238E27FC236}">
              <a16:creationId xmlns:a16="http://schemas.microsoft.com/office/drawing/2014/main" id="{CC7C7B8C-CCB8-4910-A1B8-7DF53BE8BFED}"/>
            </a:ext>
          </a:extLst>
        </xdr:cNvPr>
        <xdr:cNvPicPr>
          <a:picLocks noChangeAspect="1"/>
        </xdr:cNvPicPr>
      </xdr:nvPicPr>
      <xdr:blipFill>
        <a:blip xmlns:r="http://schemas.openxmlformats.org/officeDocument/2006/relationships" r:embed="rId13"/>
        <a:stretch>
          <a:fillRect/>
        </a:stretch>
      </xdr:blipFill>
      <xdr:spPr>
        <a:xfrm>
          <a:off x="7565571" y="18560143"/>
          <a:ext cx="1082134" cy="548688"/>
        </a:xfrm>
        <a:prstGeom prst="rect">
          <a:avLst/>
        </a:prstGeom>
      </xdr:spPr>
    </xdr:pic>
    <xdr:clientData/>
  </xdr:twoCellAnchor>
  <xdr:twoCellAnchor editAs="oneCell">
    <xdr:from>
      <xdr:col>7</xdr:col>
      <xdr:colOff>500744</xdr:colOff>
      <xdr:row>21</xdr:row>
      <xdr:rowOff>130628</xdr:rowOff>
    </xdr:from>
    <xdr:to>
      <xdr:col>7</xdr:col>
      <xdr:colOff>1351552</xdr:colOff>
      <xdr:row>21</xdr:row>
      <xdr:rowOff>629842</xdr:rowOff>
    </xdr:to>
    <xdr:pic>
      <xdr:nvPicPr>
        <xdr:cNvPr id="20" name="Imagen 19">
          <a:extLst>
            <a:ext uri="{FF2B5EF4-FFF2-40B4-BE49-F238E27FC236}">
              <a16:creationId xmlns:a16="http://schemas.microsoft.com/office/drawing/2014/main" id="{5B88B328-277C-4471-9903-47532CC7EF01}"/>
            </a:ext>
          </a:extLst>
        </xdr:cNvPr>
        <xdr:cNvPicPr>
          <a:picLocks noChangeAspect="1"/>
        </xdr:cNvPicPr>
      </xdr:nvPicPr>
      <xdr:blipFill>
        <a:blip xmlns:r="http://schemas.openxmlformats.org/officeDocument/2006/relationships" r:embed="rId14"/>
        <a:stretch>
          <a:fillRect/>
        </a:stretch>
      </xdr:blipFill>
      <xdr:spPr>
        <a:xfrm>
          <a:off x="7630887" y="17591314"/>
          <a:ext cx="859970" cy="506834"/>
        </a:xfrm>
        <a:prstGeom prst="rect">
          <a:avLst/>
        </a:prstGeom>
      </xdr:spPr>
    </xdr:pic>
    <xdr:clientData/>
  </xdr:twoCellAnchor>
  <xdr:twoCellAnchor editAs="oneCell">
    <xdr:from>
      <xdr:col>7</xdr:col>
      <xdr:colOff>457199</xdr:colOff>
      <xdr:row>22</xdr:row>
      <xdr:rowOff>108856</xdr:rowOff>
    </xdr:from>
    <xdr:to>
      <xdr:col>7</xdr:col>
      <xdr:colOff>1425687</xdr:colOff>
      <xdr:row>22</xdr:row>
      <xdr:rowOff>629828</xdr:rowOff>
    </xdr:to>
    <xdr:pic>
      <xdr:nvPicPr>
        <xdr:cNvPr id="21" name="Imagen 20">
          <a:extLst>
            <a:ext uri="{FF2B5EF4-FFF2-40B4-BE49-F238E27FC236}">
              <a16:creationId xmlns:a16="http://schemas.microsoft.com/office/drawing/2014/main" id="{B253963C-C632-498B-97C3-A285027C08E0}"/>
            </a:ext>
          </a:extLst>
        </xdr:cNvPr>
        <xdr:cNvPicPr>
          <a:picLocks noChangeAspect="1"/>
        </xdr:cNvPicPr>
      </xdr:nvPicPr>
      <xdr:blipFill>
        <a:blip xmlns:r="http://schemas.openxmlformats.org/officeDocument/2006/relationships" r:embed="rId11"/>
        <a:stretch>
          <a:fillRect/>
        </a:stretch>
      </xdr:blipFill>
      <xdr:spPr>
        <a:xfrm>
          <a:off x="7587342" y="18059399"/>
          <a:ext cx="954155" cy="522514"/>
        </a:xfrm>
        <a:prstGeom prst="rect">
          <a:avLst/>
        </a:prstGeom>
      </xdr:spPr>
    </xdr:pic>
    <xdr:clientData/>
  </xdr:twoCellAnchor>
  <xdr:twoCellAnchor editAs="oneCell">
    <xdr:from>
      <xdr:col>7</xdr:col>
      <xdr:colOff>685801</xdr:colOff>
      <xdr:row>23</xdr:row>
      <xdr:rowOff>152401</xdr:rowOff>
    </xdr:from>
    <xdr:to>
      <xdr:col>7</xdr:col>
      <xdr:colOff>1197964</xdr:colOff>
      <xdr:row>23</xdr:row>
      <xdr:rowOff>625748</xdr:rowOff>
    </xdr:to>
    <xdr:pic>
      <xdr:nvPicPr>
        <xdr:cNvPr id="22" name="Imagen 21">
          <a:extLst>
            <a:ext uri="{FF2B5EF4-FFF2-40B4-BE49-F238E27FC236}">
              <a16:creationId xmlns:a16="http://schemas.microsoft.com/office/drawing/2014/main" id="{134E3B28-B27E-4744-9967-D700A9FD7FBD}"/>
            </a:ext>
          </a:extLst>
        </xdr:cNvPr>
        <xdr:cNvPicPr>
          <a:picLocks noChangeAspect="1"/>
        </xdr:cNvPicPr>
      </xdr:nvPicPr>
      <xdr:blipFill rotWithShape="1">
        <a:blip xmlns:r="http://schemas.openxmlformats.org/officeDocument/2006/relationships" r:embed="rId15"/>
        <a:srcRect l="14083" t="1" r="5440" b="4770"/>
        <a:stretch/>
      </xdr:blipFill>
      <xdr:spPr>
        <a:xfrm>
          <a:off x="7815944" y="19071772"/>
          <a:ext cx="504180" cy="478971"/>
        </a:xfrm>
        <a:prstGeom prst="rect">
          <a:avLst/>
        </a:prstGeom>
      </xdr:spPr>
    </xdr:pic>
    <xdr:clientData/>
  </xdr:twoCellAnchor>
  <xdr:twoCellAnchor editAs="oneCell">
    <xdr:from>
      <xdr:col>7</xdr:col>
      <xdr:colOff>298863</xdr:colOff>
      <xdr:row>55</xdr:row>
      <xdr:rowOff>481940</xdr:rowOff>
    </xdr:from>
    <xdr:to>
      <xdr:col>7</xdr:col>
      <xdr:colOff>1469741</xdr:colOff>
      <xdr:row>55</xdr:row>
      <xdr:rowOff>1044861</xdr:rowOff>
    </xdr:to>
    <xdr:pic>
      <xdr:nvPicPr>
        <xdr:cNvPr id="144" name="Imagen 143">
          <a:extLst>
            <a:ext uri="{FF2B5EF4-FFF2-40B4-BE49-F238E27FC236}">
              <a16:creationId xmlns:a16="http://schemas.microsoft.com/office/drawing/2014/main" id="{D202E963-B0B4-4C58-B13A-D83E25C2EA7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445336" y="40618558"/>
          <a:ext cx="1183578" cy="562921"/>
        </a:xfrm>
        <a:prstGeom prst="rect">
          <a:avLst/>
        </a:prstGeom>
      </xdr:spPr>
    </xdr:pic>
    <xdr:clientData/>
  </xdr:twoCellAnchor>
  <xdr:twoCellAnchor editAs="oneCell">
    <xdr:from>
      <xdr:col>7</xdr:col>
      <xdr:colOff>185057</xdr:colOff>
      <xdr:row>66</xdr:row>
      <xdr:rowOff>147452</xdr:rowOff>
    </xdr:from>
    <xdr:to>
      <xdr:col>7</xdr:col>
      <xdr:colOff>1508646</xdr:colOff>
      <xdr:row>66</xdr:row>
      <xdr:rowOff>645683</xdr:rowOff>
    </xdr:to>
    <xdr:pic>
      <xdr:nvPicPr>
        <xdr:cNvPr id="145" name="Imagen 144">
          <a:extLst>
            <a:ext uri="{FF2B5EF4-FFF2-40B4-BE49-F238E27FC236}">
              <a16:creationId xmlns:a16="http://schemas.microsoft.com/office/drawing/2014/main" id="{F6F8A7F3-DD07-4C4D-8FDB-4E2540FCB0F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331530" y="34866943"/>
          <a:ext cx="1332479" cy="498231"/>
        </a:xfrm>
        <a:prstGeom prst="rect">
          <a:avLst/>
        </a:prstGeom>
      </xdr:spPr>
    </xdr:pic>
    <xdr:clientData/>
  </xdr:twoCellAnchor>
  <xdr:twoCellAnchor editAs="oneCell">
    <xdr:from>
      <xdr:col>7</xdr:col>
      <xdr:colOff>557150</xdr:colOff>
      <xdr:row>56</xdr:row>
      <xdr:rowOff>151410</xdr:rowOff>
    </xdr:from>
    <xdr:to>
      <xdr:col>7</xdr:col>
      <xdr:colOff>1239246</xdr:colOff>
      <xdr:row>56</xdr:row>
      <xdr:rowOff>742553</xdr:rowOff>
    </xdr:to>
    <xdr:pic>
      <xdr:nvPicPr>
        <xdr:cNvPr id="146" name="Imagen 145">
          <a:extLst>
            <a:ext uri="{FF2B5EF4-FFF2-40B4-BE49-F238E27FC236}">
              <a16:creationId xmlns:a16="http://schemas.microsoft.com/office/drawing/2014/main" id="{658BFF3C-838C-4BD3-A54C-3BF9840350A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703623" y="41756610"/>
          <a:ext cx="677651" cy="591143"/>
        </a:xfrm>
        <a:prstGeom prst="rect">
          <a:avLst/>
        </a:prstGeom>
      </xdr:spPr>
    </xdr:pic>
    <xdr:clientData/>
  </xdr:twoCellAnchor>
  <xdr:twoCellAnchor editAs="oneCell">
    <xdr:from>
      <xdr:col>7</xdr:col>
      <xdr:colOff>439386</xdr:colOff>
      <xdr:row>32</xdr:row>
      <xdr:rowOff>243444</xdr:rowOff>
    </xdr:from>
    <xdr:to>
      <xdr:col>7</xdr:col>
      <xdr:colOff>855674</xdr:colOff>
      <xdr:row>32</xdr:row>
      <xdr:rowOff>667987</xdr:rowOff>
    </xdr:to>
    <xdr:pic>
      <xdr:nvPicPr>
        <xdr:cNvPr id="147" name="Imagen 146">
          <a:extLst>
            <a:ext uri="{FF2B5EF4-FFF2-40B4-BE49-F238E27FC236}">
              <a16:creationId xmlns:a16="http://schemas.microsoft.com/office/drawing/2014/main" id="{839C1F7C-D0E7-4DEC-AC74-E7605388A8D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001495" y="26289989"/>
          <a:ext cx="424543" cy="424543"/>
        </a:xfrm>
        <a:prstGeom prst="rect">
          <a:avLst/>
        </a:prstGeom>
      </xdr:spPr>
    </xdr:pic>
    <xdr:clientData/>
  </xdr:twoCellAnchor>
  <xdr:twoCellAnchor editAs="oneCell">
    <xdr:from>
      <xdr:col>7</xdr:col>
      <xdr:colOff>381694</xdr:colOff>
      <xdr:row>42</xdr:row>
      <xdr:rowOff>362988</xdr:rowOff>
    </xdr:from>
    <xdr:to>
      <xdr:col>7</xdr:col>
      <xdr:colOff>1353281</xdr:colOff>
      <xdr:row>42</xdr:row>
      <xdr:rowOff>817417</xdr:rowOff>
    </xdr:to>
    <xdr:pic>
      <xdr:nvPicPr>
        <xdr:cNvPr id="148" name="Imagen 147">
          <a:extLst>
            <a:ext uri="{FF2B5EF4-FFF2-40B4-BE49-F238E27FC236}">
              <a16:creationId xmlns:a16="http://schemas.microsoft.com/office/drawing/2014/main" id="{9B389BFC-7AD4-4CAA-B2E1-7B134AA4A2DB}"/>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9103"/>
        <a:stretch/>
      </xdr:blipFill>
      <xdr:spPr>
        <a:xfrm>
          <a:off x="8943803" y="35595097"/>
          <a:ext cx="960792" cy="454429"/>
        </a:xfrm>
        <a:prstGeom prst="rect">
          <a:avLst/>
        </a:prstGeom>
      </xdr:spPr>
    </xdr:pic>
    <xdr:clientData/>
  </xdr:twoCellAnchor>
  <xdr:twoCellAnchor editAs="oneCell">
    <xdr:from>
      <xdr:col>7</xdr:col>
      <xdr:colOff>595548</xdr:colOff>
      <xdr:row>57</xdr:row>
      <xdr:rowOff>99753</xdr:rowOff>
    </xdr:from>
    <xdr:to>
      <xdr:col>7</xdr:col>
      <xdr:colOff>1026622</xdr:colOff>
      <xdr:row>57</xdr:row>
      <xdr:rowOff>476308</xdr:rowOff>
    </xdr:to>
    <xdr:pic>
      <xdr:nvPicPr>
        <xdr:cNvPr id="149" name="Imagen 148">
          <a:extLst>
            <a:ext uri="{FF2B5EF4-FFF2-40B4-BE49-F238E27FC236}">
              <a16:creationId xmlns:a16="http://schemas.microsoft.com/office/drawing/2014/main" id="{6E8DE55A-2BDC-4833-A39D-5803888B64E7}"/>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r="7907" b="10901"/>
        <a:stretch/>
      </xdr:blipFill>
      <xdr:spPr>
        <a:xfrm>
          <a:off x="8742021" y="27351644"/>
          <a:ext cx="431074" cy="365760"/>
        </a:xfrm>
        <a:prstGeom prst="rect">
          <a:avLst/>
        </a:prstGeom>
      </xdr:spPr>
    </xdr:pic>
    <xdr:clientData/>
  </xdr:twoCellAnchor>
  <xdr:twoCellAnchor editAs="oneCell">
    <xdr:from>
      <xdr:col>7</xdr:col>
      <xdr:colOff>416329</xdr:colOff>
      <xdr:row>38</xdr:row>
      <xdr:rowOff>76893</xdr:rowOff>
    </xdr:from>
    <xdr:to>
      <xdr:col>7</xdr:col>
      <xdr:colOff>1316124</xdr:colOff>
      <xdr:row>38</xdr:row>
      <xdr:rowOff>511463</xdr:rowOff>
    </xdr:to>
    <xdr:pic>
      <xdr:nvPicPr>
        <xdr:cNvPr id="151" name="Imagen 150">
          <a:extLst>
            <a:ext uri="{FF2B5EF4-FFF2-40B4-BE49-F238E27FC236}">
              <a16:creationId xmlns:a16="http://schemas.microsoft.com/office/drawing/2014/main" id="{74E278C7-FC97-4608-874A-65F535A7B70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562802" y="29905729"/>
          <a:ext cx="891540" cy="421870"/>
        </a:xfrm>
        <a:prstGeom prst="rect">
          <a:avLst/>
        </a:prstGeom>
      </xdr:spPr>
    </xdr:pic>
    <xdr:clientData/>
  </xdr:twoCellAnchor>
  <xdr:twoCellAnchor editAs="oneCell">
    <xdr:from>
      <xdr:col>7</xdr:col>
      <xdr:colOff>326276</xdr:colOff>
      <xdr:row>39</xdr:row>
      <xdr:rowOff>447503</xdr:rowOff>
    </xdr:from>
    <xdr:to>
      <xdr:col>7</xdr:col>
      <xdr:colOff>1389900</xdr:colOff>
      <xdr:row>39</xdr:row>
      <xdr:rowOff>818461</xdr:rowOff>
    </xdr:to>
    <xdr:pic>
      <xdr:nvPicPr>
        <xdr:cNvPr id="153" name="Imagen 152">
          <a:extLst>
            <a:ext uri="{FF2B5EF4-FFF2-40B4-BE49-F238E27FC236}">
              <a16:creationId xmlns:a16="http://schemas.microsoft.com/office/drawing/2014/main" id="{B0098054-4531-4B54-BA3E-92F96F5747D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888385" y="31897321"/>
          <a:ext cx="1074419" cy="370958"/>
        </a:xfrm>
        <a:prstGeom prst="rect">
          <a:avLst/>
        </a:prstGeom>
      </xdr:spPr>
    </xdr:pic>
    <xdr:clientData/>
  </xdr:twoCellAnchor>
  <xdr:twoCellAnchor editAs="oneCell">
    <xdr:from>
      <xdr:col>7</xdr:col>
      <xdr:colOff>624840</xdr:colOff>
      <xdr:row>59</xdr:row>
      <xdr:rowOff>104603</xdr:rowOff>
    </xdr:from>
    <xdr:to>
      <xdr:col>7</xdr:col>
      <xdr:colOff>1083031</xdr:colOff>
      <xdr:row>59</xdr:row>
      <xdr:rowOff>492529</xdr:rowOff>
    </xdr:to>
    <xdr:pic>
      <xdr:nvPicPr>
        <xdr:cNvPr id="154" name="Imagen 153">
          <a:extLst>
            <a:ext uri="{FF2B5EF4-FFF2-40B4-BE49-F238E27FC236}">
              <a16:creationId xmlns:a16="http://schemas.microsoft.com/office/drawing/2014/main" id="{F9613BAA-97E5-4765-898F-C11E3079BD2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771313" y="31291185"/>
          <a:ext cx="445491" cy="387926"/>
        </a:xfrm>
        <a:prstGeom prst="rect">
          <a:avLst/>
        </a:prstGeom>
      </xdr:spPr>
    </xdr:pic>
    <xdr:clientData/>
  </xdr:twoCellAnchor>
  <xdr:twoCellAnchor editAs="oneCell">
    <xdr:from>
      <xdr:col>7</xdr:col>
      <xdr:colOff>133698</xdr:colOff>
      <xdr:row>43</xdr:row>
      <xdr:rowOff>408016</xdr:rowOff>
    </xdr:from>
    <xdr:to>
      <xdr:col>7</xdr:col>
      <xdr:colOff>1622138</xdr:colOff>
      <xdr:row>43</xdr:row>
      <xdr:rowOff>815469</xdr:rowOff>
    </xdr:to>
    <xdr:pic>
      <xdr:nvPicPr>
        <xdr:cNvPr id="155" name="Imagen 154">
          <a:extLst>
            <a:ext uri="{FF2B5EF4-FFF2-40B4-BE49-F238E27FC236}">
              <a16:creationId xmlns:a16="http://schemas.microsoft.com/office/drawing/2014/main" id="{236B4D73-B11D-47AE-8AEB-BC6AFDDD585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280171" y="31677725"/>
          <a:ext cx="1501140" cy="404913"/>
        </a:xfrm>
        <a:prstGeom prst="rect">
          <a:avLst/>
        </a:prstGeom>
      </xdr:spPr>
    </xdr:pic>
    <xdr:clientData/>
  </xdr:twoCellAnchor>
  <xdr:twoCellAnchor editAs="oneCell">
    <xdr:from>
      <xdr:col>7</xdr:col>
      <xdr:colOff>419100</xdr:colOff>
      <xdr:row>60</xdr:row>
      <xdr:rowOff>270856</xdr:rowOff>
    </xdr:from>
    <xdr:to>
      <xdr:col>7</xdr:col>
      <xdr:colOff>1311910</xdr:colOff>
      <xdr:row>60</xdr:row>
      <xdr:rowOff>706592</xdr:rowOff>
    </xdr:to>
    <xdr:pic>
      <xdr:nvPicPr>
        <xdr:cNvPr id="156" name="Imagen 155">
          <a:extLst>
            <a:ext uri="{FF2B5EF4-FFF2-40B4-BE49-F238E27FC236}">
              <a16:creationId xmlns:a16="http://schemas.microsoft.com/office/drawing/2014/main" id="{587AAAA3-6AC2-4B39-8187-17439B4110DA}"/>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4952" t="19505" r="7143" b="12225"/>
        <a:stretch/>
      </xdr:blipFill>
      <xdr:spPr>
        <a:xfrm>
          <a:off x="8981209" y="54663801"/>
          <a:ext cx="883920" cy="435736"/>
        </a:xfrm>
        <a:prstGeom prst="rect">
          <a:avLst/>
        </a:prstGeom>
      </xdr:spPr>
    </xdr:pic>
    <xdr:clientData/>
  </xdr:twoCellAnchor>
  <xdr:twoCellAnchor editAs="oneCell">
    <xdr:from>
      <xdr:col>7</xdr:col>
      <xdr:colOff>581198</xdr:colOff>
      <xdr:row>29</xdr:row>
      <xdr:rowOff>81742</xdr:rowOff>
    </xdr:from>
    <xdr:to>
      <xdr:col>7</xdr:col>
      <xdr:colOff>974782</xdr:colOff>
      <xdr:row>29</xdr:row>
      <xdr:rowOff>477211</xdr:rowOff>
    </xdr:to>
    <xdr:pic>
      <xdr:nvPicPr>
        <xdr:cNvPr id="157" name="Imagen 156">
          <a:extLst>
            <a:ext uri="{FF2B5EF4-FFF2-40B4-BE49-F238E27FC236}">
              <a16:creationId xmlns:a16="http://schemas.microsoft.com/office/drawing/2014/main" id="{F51FCED4-DA6B-477D-A819-4806278C892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27671" y="33401924"/>
          <a:ext cx="402474" cy="395469"/>
        </a:xfrm>
        <a:prstGeom prst="rect">
          <a:avLst/>
        </a:prstGeom>
      </xdr:spPr>
    </xdr:pic>
    <xdr:clientData/>
  </xdr:twoCellAnchor>
  <xdr:twoCellAnchor editAs="oneCell">
    <xdr:from>
      <xdr:col>7</xdr:col>
      <xdr:colOff>270164</xdr:colOff>
      <xdr:row>44</xdr:row>
      <xdr:rowOff>229294</xdr:rowOff>
    </xdr:from>
    <xdr:to>
      <xdr:col>7</xdr:col>
      <xdr:colOff>1578263</xdr:colOff>
      <xdr:row>44</xdr:row>
      <xdr:rowOff>743797</xdr:rowOff>
    </xdr:to>
    <xdr:pic>
      <xdr:nvPicPr>
        <xdr:cNvPr id="158" name="Imagen 157">
          <a:extLst>
            <a:ext uri="{FF2B5EF4-FFF2-40B4-BE49-F238E27FC236}">
              <a16:creationId xmlns:a16="http://schemas.microsoft.com/office/drawing/2014/main" id="{9042D1F9-8ADC-4E12-8831-3C4DB7B11EB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832273" y="37650421"/>
          <a:ext cx="1295399" cy="506248"/>
        </a:xfrm>
        <a:prstGeom prst="rect">
          <a:avLst/>
        </a:prstGeom>
      </xdr:spPr>
    </xdr:pic>
    <xdr:clientData/>
  </xdr:twoCellAnchor>
  <xdr:twoCellAnchor editAs="oneCell">
    <xdr:from>
      <xdr:col>7</xdr:col>
      <xdr:colOff>365760</xdr:colOff>
      <xdr:row>61</xdr:row>
      <xdr:rowOff>76201</xdr:rowOff>
    </xdr:from>
    <xdr:to>
      <xdr:col>7</xdr:col>
      <xdr:colOff>1313814</xdr:colOff>
      <xdr:row>61</xdr:row>
      <xdr:rowOff>552451</xdr:rowOff>
    </xdr:to>
    <xdr:pic>
      <xdr:nvPicPr>
        <xdr:cNvPr id="159" name="Imagen 158">
          <a:extLst>
            <a:ext uri="{FF2B5EF4-FFF2-40B4-BE49-F238E27FC236}">
              <a16:creationId xmlns:a16="http://schemas.microsoft.com/office/drawing/2014/main" id="{DDC551A0-0898-4F80-AE59-22D5CF31A44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490460" y="32171641"/>
          <a:ext cx="952499" cy="476250"/>
        </a:xfrm>
        <a:prstGeom prst="rect">
          <a:avLst/>
        </a:prstGeom>
      </xdr:spPr>
    </xdr:pic>
    <xdr:clientData/>
  </xdr:twoCellAnchor>
  <xdr:twoCellAnchor editAs="oneCell">
    <xdr:from>
      <xdr:col>7</xdr:col>
      <xdr:colOff>579120</xdr:colOff>
      <xdr:row>68</xdr:row>
      <xdr:rowOff>335281</xdr:rowOff>
    </xdr:from>
    <xdr:to>
      <xdr:col>7</xdr:col>
      <xdr:colOff>1199321</xdr:colOff>
      <xdr:row>68</xdr:row>
      <xdr:rowOff>895986</xdr:rowOff>
    </xdr:to>
    <xdr:pic>
      <xdr:nvPicPr>
        <xdr:cNvPr id="160" name="Imagen 159">
          <a:extLst>
            <a:ext uri="{FF2B5EF4-FFF2-40B4-BE49-F238E27FC236}">
              <a16:creationId xmlns:a16="http://schemas.microsoft.com/office/drawing/2014/main" id="{3716B959-9A1F-46E4-86EC-A56803E813A8}"/>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9750" b="9343"/>
        <a:stretch/>
      </xdr:blipFill>
      <xdr:spPr>
        <a:xfrm>
          <a:off x="7703820" y="33047941"/>
          <a:ext cx="634806" cy="556260"/>
        </a:xfrm>
        <a:prstGeom prst="rect">
          <a:avLst/>
        </a:prstGeom>
      </xdr:spPr>
    </xdr:pic>
    <xdr:clientData/>
  </xdr:twoCellAnchor>
  <xdr:twoCellAnchor editAs="oneCell">
    <xdr:from>
      <xdr:col>7</xdr:col>
      <xdr:colOff>563188</xdr:colOff>
      <xdr:row>30</xdr:row>
      <xdr:rowOff>41565</xdr:rowOff>
    </xdr:from>
    <xdr:to>
      <xdr:col>7</xdr:col>
      <xdr:colOff>1044518</xdr:colOff>
      <xdr:row>30</xdr:row>
      <xdr:rowOff>514005</xdr:rowOff>
    </xdr:to>
    <xdr:pic>
      <xdr:nvPicPr>
        <xdr:cNvPr id="161" name="Imagen 160">
          <a:extLst>
            <a:ext uri="{FF2B5EF4-FFF2-40B4-BE49-F238E27FC236}">
              <a16:creationId xmlns:a16="http://schemas.microsoft.com/office/drawing/2014/main" id="{31625ABB-484C-4732-A0FA-CBE717ED86B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09661" y="23622001"/>
          <a:ext cx="472440" cy="472440"/>
        </a:xfrm>
        <a:prstGeom prst="rect">
          <a:avLst/>
        </a:prstGeom>
      </xdr:spPr>
    </xdr:pic>
    <xdr:clientData/>
  </xdr:twoCellAnchor>
  <xdr:twoCellAnchor editAs="oneCell">
    <xdr:from>
      <xdr:col>7</xdr:col>
      <xdr:colOff>658092</xdr:colOff>
      <xdr:row>49</xdr:row>
      <xdr:rowOff>176647</xdr:rowOff>
    </xdr:from>
    <xdr:to>
      <xdr:col>7</xdr:col>
      <xdr:colOff>1083541</xdr:colOff>
      <xdr:row>49</xdr:row>
      <xdr:rowOff>593206</xdr:rowOff>
    </xdr:to>
    <xdr:pic>
      <xdr:nvPicPr>
        <xdr:cNvPr id="163" name="Imagen 162">
          <a:extLst>
            <a:ext uri="{FF2B5EF4-FFF2-40B4-BE49-F238E27FC236}">
              <a16:creationId xmlns:a16="http://schemas.microsoft.com/office/drawing/2014/main" id="{1EE09B1C-0EC7-44AD-B762-ED3B5887A80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220201" y="43458247"/>
          <a:ext cx="419099" cy="419099"/>
        </a:xfrm>
        <a:prstGeom prst="rect">
          <a:avLst/>
        </a:prstGeom>
      </xdr:spPr>
    </xdr:pic>
    <xdr:clientData/>
  </xdr:twoCellAnchor>
  <xdr:twoCellAnchor editAs="oneCell">
    <xdr:from>
      <xdr:col>7</xdr:col>
      <xdr:colOff>693421</xdr:colOff>
      <xdr:row>62</xdr:row>
      <xdr:rowOff>56803</xdr:rowOff>
    </xdr:from>
    <xdr:to>
      <xdr:col>7</xdr:col>
      <xdr:colOff>1066801</xdr:colOff>
      <xdr:row>62</xdr:row>
      <xdr:rowOff>440978</xdr:rowOff>
    </xdr:to>
    <xdr:pic>
      <xdr:nvPicPr>
        <xdr:cNvPr id="18" name="Imagen 17">
          <a:extLst>
            <a:ext uri="{FF2B5EF4-FFF2-40B4-BE49-F238E27FC236}">
              <a16:creationId xmlns:a16="http://schemas.microsoft.com/office/drawing/2014/main" id="{BFFEF80B-4669-4BE4-B2B6-05B0E03525C8}"/>
            </a:ext>
          </a:extLst>
        </xdr:cNvPr>
        <xdr:cNvPicPr>
          <a:picLocks noChangeAspect="1"/>
        </xdr:cNvPicPr>
      </xdr:nvPicPr>
      <xdr:blipFill>
        <a:blip xmlns:r="http://schemas.openxmlformats.org/officeDocument/2006/relationships" r:embed="rId25"/>
        <a:stretch>
          <a:fillRect/>
        </a:stretch>
      </xdr:blipFill>
      <xdr:spPr>
        <a:xfrm>
          <a:off x="8839894" y="45000948"/>
          <a:ext cx="373380" cy="386715"/>
        </a:xfrm>
        <a:prstGeom prst="rect">
          <a:avLst/>
        </a:prstGeom>
      </xdr:spPr>
    </xdr:pic>
    <xdr:clientData/>
  </xdr:twoCellAnchor>
  <xdr:twoCellAnchor editAs="oneCell">
    <xdr:from>
      <xdr:col>7</xdr:col>
      <xdr:colOff>111529</xdr:colOff>
      <xdr:row>34</xdr:row>
      <xdr:rowOff>132311</xdr:rowOff>
    </xdr:from>
    <xdr:to>
      <xdr:col>7</xdr:col>
      <xdr:colOff>1695854</xdr:colOff>
      <xdr:row>34</xdr:row>
      <xdr:rowOff>627827</xdr:rowOff>
    </xdr:to>
    <xdr:pic>
      <xdr:nvPicPr>
        <xdr:cNvPr id="165" name="Imagen 164">
          <a:extLst>
            <a:ext uri="{FF2B5EF4-FFF2-40B4-BE49-F238E27FC236}">
              <a16:creationId xmlns:a16="http://schemas.microsoft.com/office/drawing/2014/main" id="{EFD841FB-A885-432A-BD44-548F7E87699F}"/>
            </a:ext>
          </a:extLst>
        </xdr:cNvPr>
        <xdr:cNvPicPr>
          <a:picLocks noChangeAspect="1"/>
        </xdr:cNvPicPr>
      </xdr:nvPicPr>
      <xdr:blipFill>
        <a:blip xmlns:r="http://schemas.openxmlformats.org/officeDocument/2006/relationships" r:embed="rId26"/>
        <a:stretch>
          <a:fillRect/>
        </a:stretch>
      </xdr:blipFill>
      <xdr:spPr>
        <a:xfrm>
          <a:off x="8673638" y="28007656"/>
          <a:ext cx="1569720" cy="503771"/>
        </a:xfrm>
        <a:prstGeom prst="rect">
          <a:avLst/>
        </a:prstGeom>
      </xdr:spPr>
    </xdr:pic>
    <xdr:clientData/>
  </xdr:twoCellAnchor>
  <xdr:twoCellAnchor editAs="oneCell">
    <xdr:from>
      <xdr:col>7</xdr:col>
      <xdr:colOff>386543</xdr:colOff>
      <xdr:row>35</xdr:row>
      <xdr:rowOff>92132</xdr:rowOff>
    </xdr:from>
    <xdr:to>
      <xdr:col>7</xdr:col>
      <xdr:colOff>1239982</xdr:colOff>
      <xdr:row>35</xdr:row>
      <xdr:rowOff>512386</xdr:rowOff>
    </xdr:to>
    <xdr:pic>
      <xdr:nvPicPr>
        <xdr:cNvPr id="166" name="Imagen 165">
          <a:extLst>
            <a:ext uri="{FF2B5EF4-FFF2-40B4-BE49-F238E27FC236}">
              <a16:creationId xmlns:a16="http://schemas.microsoft.com/office/drawing/2014/main" id="{85F55957-B80D-4EE1-BBE2-29F57F58B3EC}"/>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3984" t="17680" r="8355" b="14720"/>
        <a:stretch/>
      </xdr:blipFill>
      <xdr:spPr>
        <a:xfrm>
          <a:off x="8533016" y="26554314"/>
          <a:ext cx="853439" cy="420254"/>
        </a:xfrm>
        <a:prstGeom prst="rect">
          <a:avLst/>
        </a:prstGeom>
      </xdr:spPr>
    </xdr:pic>
    <xdr:clientData/>
  </xdr:twoCellAnchor>
  <xdr:twoCellAnchor editAs="oneCell">
    <xdr:from>
      <xdr:col>7</xdr:col>
      <xdr:colOff>367146</xdr:colOff>
      <xdr:row>63</xdr:row>
      <xdr:rowOff>288174</xdr:rowOff>
    </xdr:from>
    <xdr:to>
      <xdr:col>7</xdr:col>
      <xdr:colOff>1428623</xdr:colOff>
      <xdr:row>63</xdr:row>
      <xdr:rowOff>818595</xdr:rowOff>
    </xdr:to>
    <xdr:pic>
      <xdr:nvPicPr>
        <xdr:cNvPr id="167" name="Imagen 166">
          <a:extLst>
            <a:ext uri="{FF2B5EF4-FFF2-40B4-BE49-F238E27FC236}">
              <a16:creationId xmlns:a16="http://schemas.microsoft.com/office/drawing/2014/main" id="{A4F15853-1C2D-4448-824D-D854F598EB3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929255" y="57244210"/>
          <a:ext cx="1069732" cy="534866"/>
        </a:xfrm>
        <a:prstGeom prst="rect">
          <a:avLst/>
        </a:prstGeom>
      </xdr:spPr>
    </xdr:pic>
    <xdr:clientData/>
  </xdr:twoCellAnchor>
  <xdr:twoCellAnchor editAs="oneCell">
    <xdr:from>
      <xdr:col>7</xdr:col>
      <xdr:colOff>420486</xdr:colOff>
      <xdr:row>69</xdr:row>
      <xdr:rowOff>96304</xdr:rowOff>
    </xdr:from>
    <xdr:to>
      <xdr:col>7</xdr:col>
      <xdr:colOff>1388225</xdr:colOff>
      <xdr:row>69</xdr:row>
      <xdr:rowOff>548715</xdr:rowOff>
    </xdr:to>
    <xdr:pic>
      <xdr:nvPicPr>
        <xdr:cNvPr id="168" name="Imagen 167">
          <a:extLst>
            <a:ext uri="{FF2B5EF4-FFF2-40B4-BE49-F238E27FC236}">
              <a16:creationId xmlns:a16="http://schemas.microsoft.com/office/drawing/2014/main" id="{333A8781-0B9F-45DE-B08F-7AD32648A6E9}"/>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4560" b="12640"/>
        <a:stretch/>
      </xdr:blipFill>
      <xdr:spPr>
        <a:xfrm>
          <a:off x="8566959" y="40537722"/>
          <a:ext cx="967739" cy="449871"/>
        </a:xfrm>
        <a:prstGeom prst="rect">
          <a:avLst/>
        </a:prstGeom>
      </xdr:spPr>
    </xdr:pic>
    <xdr:clientData/>
  </xdr:twoCellAnchor>
  <xdr:twoCellAnchor editAs="oneCell">
    <xdr:from>
      <xdr:col>7</xdr:col>
      <xdr:colOff>419101</xdr:colOff>
      <xdr:row>70</xdr:row>
      <xdr:rowOff>396241</xdr:rowOff>
    </xdr:from>
    <xdr:to>
      <xdr:col>7</xdr:col>
      <xdr:colOff>1371601</xdr:colOff>
      <xdr:row>70</xdr:row>
      <xdr:rowOff>859791</xdr:rowOff>
    </xdr:to>
    <xdr:pic>
      <xdr:nvPicPr>
        <xdr:cNvPr id="169" name="Imagen 168">
          <a:extLst>
            <a:ext uri="{FF2B5EF4-FFF2-40B4-BE49-F238E27FC236}">
              <a16:creationId xmlns:a16="http://schemas.microsoft.com/office/drawing/2014/main" id="{C132E23F-9467-4607-9724-E3947D3E66B9}"/>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43801" y="38420041"/>
          <a:ext cx="952500" cy="476250"/>
        </a:xfrm>
        <a:prstGeom prst="rect">
          <a:avLst/>
        </a:prstGeom>
      </xdr:spPr>
    </xdr:pic>
    <xdr:clientData/>
  </xdr:twoCellAnchor>
  <xdr:twoCellAnchor editAs="oneCell">
    <xdr:from>
      <xdr:col>7</xdr:col>
      <xdr:colOff>483524</xdr:colOff>
      <xdr:row>46</xdr:row>
      <xdr:rowOff>218209</xdr:rowOff>
    </xdr:from>
    <xdr:to>
      <xdr:col>7</xdr:col>
      <xdr:colOff>1463963</xdr:colOff>
      <xdr:row>46</xdr:row>
      <xdr:rowOff>668080</xdr:rowOff>
    </xdr:to>
    <xdr:pic>
      <xdr:nvPicPr>
        <xdr:cNvPr id="170" name="Imagen 169">
          <a:extLst>
            <a:ext uri="{FF2B5EF4-FFF2-40B4-BE49-F238E27FC236}">
              <a16:creationId xmlns:a16="http://schemas.microsoft.com/office/drawing/2014/main" id="{BB12FEC1-76C3-448B-AA51-542B95DFC8F1}"/>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4560" b="12640"/>
        <a:stretch/>
      </xdr:blipFill>
      <xdr:spPr>
        <a:xfrm>
          <a:off x="9045633" y="39662100"/>
          <a:ext cx="967739" cy="449871"/>
        </a:xfrm>
        <a:prstGeom prst="rect">
          <a:avLst/>
        </a:prstGeom>
      </xdr:spPr>
    </xdr:pic>
    <xdr:clientData/>
  </xdr:twoCellAnchor>
  <xdr:twoCellAnchor editAs="oneCell">
    <xdr:from>
      <xdr:col>7</xdr:col>
      <xdr:colOff>682337</xdr:colOff>
      <xdr:row>33</xdr:row>
      <xdr:rowOff>209205</xdr:rowOff>
    </xdr:from>
    <xdr:to>
      <xdr:col>7</xdr:col>
      <xdr:colOff>1121757</xdr:colOff>
      <xdr:row>33</xdr:row>
      <xdr:rowOff>627670</xdr:rowOff>
    </xdr:to>
    <xdr:pic>
      <xdr:nvPicPr>
        <xdr:cNvPr id="171" name="Imagen 170">
          <a:extLst>
            <a:ext uri="{FF2B5EF4-FFF2-40B4-BE49-F238E27FC236}">
              <a16:creationId xmlns:a16="http://schemas.microsoft.com/office/drawing/2014/main" id="{6CFDBAC9-A4C0-4A03-8012-A8B5F6D17C7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244446" y="27170150"/>
          <a:ext cx="426720" cy="426720"/>
        </a:xfrm>
        <a:prstGeom prst="rect">
          <a:avLst/>
        </a:prstGeom>
      </xdr:spPr>
    </xdr:pic>
    <xdr:clientData/>
  </xdr:twoCellAnchor>
  <xdr:twoCellAnchor editAs="oneCell">
    <xdr:from>
      <xdr:col>7</xdr:col>
      <xdr:colOff>167640</xdr:colOff>
      <xdr:row>47</xdr:row>
      <xdr:rowOff>309650</xdr:rowOff>
    </xdr:from>
    <xdr:to>
      <xdr:col>7</xdr:col>
      <xdr:colOff>1619885</xdr:colOff>
      <xdr:row>47</xdr:row>
      <xdr:rowOff>782145</xdr:rowOff>
    </xdr:to>
    <xdr:pic>
      <xdr:nvPicPr>
        <xdr:cNvPr id="173" name="Imagen 172">
          <a:extLst>
            <a:ext uri="{FF2B5EF4-FFF2-40B4-BE49-F238E27FC236}">
              <a16:creationId xmlns:a16="http://schemas.microsoft.com/office/drawing/2014/main" id="{5337C5F1-52AD-4E8A-96B9-D80669FDCF95}"/>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8729749" y="40848050"/>
          <a:ext cx="1447800" cy="464240"/>
        </a:xfrm>
        <a:prstGeom prst="rect">
          <a:avLst/>
        </a:prstGeom>
      </xdr:spPr>
    </xdr:pic>
    <xdr:clientData/>
  </xdr:twoCellAnchor>
  <xdr:twoCellAnchor editAs="oneCell">
    <xdr:from>
      <xdr:col>7</xdr:col>
      <xdr:colOff>167641</xdr:colOff>
      <xdr:row>71</xdr:row>
      <xdr:rowOff>114300</xdr:rowOff>
    </xdr:from>
    <xdr:to>
      <xdr:col>7</xdr:col>
      <xdr:colOff>1656716</xdr:colOff>
      <xdr:row>71</xdr:row>
      <xdr:rowOff>631245</xdr:rowOff>
    </xdr:to>
    <xdr:pic>
      <xdr:nvPicPr>
        <xdr:cNvPr id="174" name="Imagen 173">
          <a:extLst>
            <a:ext uri="{FF2B5EF4-FFF2-40B4-BE49-F238E27FC236}">
              <a16:creationId xmlns:a16="http://schemas.microsoft.com/office/drawing/2014/main" id="{8744F7EB-7BA8-4C52-961D-F542BD0B017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292341" y="42062400"/>
          <a:ext cx="1493520" cy="519485"/>
        </a:xfrm>
        <a:prstGeom prst="rect">
          <a:avLst/>
        </a:prstGeom>
      </xdr:spPr>
    </xdr:pic>
    <xdr:clientData/>
  </xdr:twoCellAnchor>
  <xdr:twoCellAnchor editAs="oneCell">
    <xdr:from>
      <xdr:col>7</xdr:col>
      <xdr:colOff>693421</xdr:colOff>
      <xdr:row>72</xdr:row>
      <xdr:rowOff>45721</xdr:rowOff>
    </xdr:from>
    <xdr:to>
      <xdr:col>7</xdr:col>
      <xdr:colOff>1143001</xdr:colOff>
      <xdr:row>72</xdr:row>
      <xdr:rowOff>495301</xdr:rowOff>
    </xdr:to>
    <xdr:pic>
      <xdr:nvPicPr>
        <xdr:cNvPr id="175" name="Imagen 174">
          <a:extLst>
            <a:ext uri="{FF2B5EF4-FFF2-40B4-BE49-F238E27FC236}">
              <a16:creationId xmlns:a16="http://schemas.microsoft.com/office/drawing/2014/main" id="{36EDC3EF-FEEB-43BD-A4D7-FE59C71B6DC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818121" y="42725341"/>
          <a:ext cx="449580" cy="449580"/>
        </a:xfrm>
        <a:prstGeom prst="rect">
          <a:avLst/>
        </a:prstGeom>
      </xdr:spPr>
    </xdr:pic>
    <xdr:clientData/>
  </xdr:twoCellAnchor>
  <xdr:twoCellAnchor editAs="oneCell">
    <xdr:from>
      <xdr:col>7</xdr:col>
      <xdr:colOff>371302</xdr:colOff>
      <xdr:row>73</xdr:row>
      <xdr:rowOff>78279</xdr:rowOff>
    </xdr:from>
    <xdr:to>
      <xdr:col>7</xdr:col>
      <xdr:colOff>1387302</xdr:colOff>
      <xdr:row>73</xdr:row>
      <xdr:rowOff>587549</xdr:rowOff>
    </xdr:to>
    <xdr:pic>
      <xdr:nvPicPr>
        <xdr:cNvPr id="176" name="Imagen 175">
          <a:extLst>
            <a:ext uri="{FF2B5EF4-FFF2-40B4-BE49-F238E27FC236}">
              <a16:creationId xmlns:a16="http://schemas.microsoft.com/office/drawing/2014/main" id="{B4F6C936-EDD6-4582-AD8E-0E37F70CE3B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517775" y="46477152"/>
          <a:ext cx="1013460" cy="506730"/>
        </a:xfrm>
        <a:prstGeom prst="rect">
          <a:avLst/>
        </a:prstGeom>
      </xdr:spPr>
    </xdr:pic>
    <xdr:clientData/>
  </xdr:twoCellAnchor>
  <xdr:twoCellAnchor editAs="oneCell">
    <xdr:from>
      <xdr:col>7</xdr:col>
      <xdr:colOff>685801</xdr:colOff>
      <xdr:row>74</xdr:row>
      <xdr:rowOff>22861</xdr:rowOff>
    </xdr:from>
    <xdr:to>
      <xdr:col>7</xdr:col>
      <xdr:colOff>1161416</xdr:colOff>
      <xdr:row>74</xdr:row>
      <xdr:rowOff>511811</xdr:rowOff>
    </xdr:to>
    <xdr:pic>
      <xdr:nvPicPr>
        <xdr:cNvPr id="177" name="Imagen 176">
          <a:extLst>
            <a:ext uri="{FF2B5EF4-FFF2-40B4-BE49-F238E27FC236}">
              <a16:creationId xmlns:a16="http://schemas.microsoft.com/office/drawing/2014/main" id="{FD6727F1-96F8-457D-9F25-48D7D08DF12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810501" y="43799761"/>
          <a:ext cx="480060" cy="480060"/>
        </a:xfrm>
        <a:prstGeom prst="rect">
          <a:avLst/>
        </a:prstGeom>
      </xdr:spPr>
    </xdr:pic>
    <xdr:clientData/>
  </xdr:twoCellAnchor>
  <xdr:twoCellAnchor editAs="oneCell">
    <xdr:from>
      <xdr:col>7</xdr:col>
      <xdr:colOff>434341</xdr:colOff>
      <xdr:row>75</xdr:row>
      <xdr:rowOff>403860</xdr:rowOff>
    </xdr:from>
    <xdr:to>
      <xdr:col>7</xdr:col>
      <xdr:colOff>1431291</xdr:colOff>
      <xdr:row>75</xdr:row>
      <xdr:rowOff>897890</xdr:rowOff>
    </xdr:to>
    <xdr:pic>
      <xdr:nvPicPr>
        <xdr:cNvPr id="178" name="Imagen 177">
          <a:extLst>
            <a:ext uri="{FF2B5EF4-FFF2-40B4-BE49-F238E27FC236}">
              <a16:creationId xmlns:a16="http://schemas.microsoft.com/office/drawing/2014/main" id="{9B481A53-7146-41AF-A3D6-F0452F2CC23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59041" y="44714160"/>
          <a:ext cx="1005840" cy="502920"/>
        </a:xfrm>
        <a:prstGeom prst="rect">
          <a:avLst/>
        </a:prstGeom>
      </xdr:spPr>
    </xdr:pic>
    <xdr:clientData/>
  </xdr:twoCellAnchor>
  <xdr:twoCellAnchor editAs="oneCell">
    <xdr:from>
      <xdr:col>7</xdr:col>
      <xdr:colOff>669868</xdr:colOff>
      <xdr:row>76</xdr:row>
      <xdr:rowOff>69274</xdr:rowOff>
    </xdr:from>
    <xdr:to>
      <xdr:col>7</xdr:col>
      <xdr:colOff>1120718</xdr:colOff>
      <xdr:row>76</xdr:row>
      <xdr:rowOff>512618</xdr:rowOff>
    </xdr:to>
    <xdr:pic>
      <xdr:nvPicPr>
        <xdr:cNvPr id="179" name="Imagen 178">
          <a:extLst>
            <a:ext uri="{FF2B5EF4-FFF2-40B4-BE49-F238E27FC236}">
              <a16:creationId xmlns:a16="http://schemas.microsoft.com/office/drawing/2014/main" id="{51E41CDE-D4C7-47F7-A38E-97DD97D36D3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816341" y="56152474"/>
          <a:ext cx="441960" cy="443344"/>
        </a:xfrm>
        <a:prstGeom prst="rect">
          <a:avLst/>
        </a:prstGeom>
      </xdr:spPr>
    </xdr:pic>
    <xdr:clientData/>
  </xdr:twoCellAnchor>
  <xdr:twoCellAnchor editAs="oneCell">
    <xdr:from>
      <xdr:col>7</xdr:col>
      <xdr:colOff>514697</xdr:colOff>
      <xdr:row>77</xdr:row>
      <xdr:rowOff>92132</xdr:rowOff>
    </xdr:from>
    <xdr:to>
      <xdr:col>7</xdr:col>
      <xdr:colOff>1317337</xdr:colOff>
      <xdr:row>77</xdr:row>
      <xdr:rowOff>515923</xdr:rowOff>
    </xdr:to>
    <xdr:pic>
      <xdr:nvPicPr>
        <xdr:cNvPr id="180" name="Imagen 179">
          <a:extLst>
            <a:ext uri="{FF2B5EF4-FFF2-40B4-BE49-F238E27FC236}">
              <a16:creationId xmlns:a16="http://schemas.microsoft.com/office/drawing/2014/main" id="{C7EAB786-4BDC-4508-BF5B-9FD9C3858F00}"/>
            </a:ext>
          </a:extLst>
        </xdr:cNvPr>
        <xdr:cNvPicPr>
          <a:picLocks noChangeAspect="1"/>
        </xdr:cNvPicPr>
      </xdr:nvPicPr>
      <xdr:blipFill>
        <a:blip xmlns:r="http://schemas.openxmlformats.org/officeDocument/2006/relationships" r:embed="rId29"/>
        <a:stretch>
          <a:fillRect/>
        </a:stretch>
      </xdr:blipFill>
      <xdr:spPr>
        <a:xfrm>
          <a:off x="8661170" y="55302496"/>
          <a:ext cx="815340" cy="423791"/>
        </a:xfrm>
        <a:prstGeom prst="rect">
          <a:avLst/>
        </a:prstGeom>
      </xdr:spPr>
    </xdr:pic>
    <xdr:clientData/>
  </xdr:twoCellAnchor>
  <xdr:twoCellAnchor editAs="oneCell">
    <xdr:from>
      <xdr:col>7</xdr:col>
      <xdr:colOff>228601</xdr:colOff>
      <xdr:row>78</xdr:row>
      <xdr:rowOff>144781</xdr:rowOff>
    </xdr:from>
    <xdr:to>
      <xdr:col>7</xdr:col>
      <xdr:colOff>1621791</xdr:colOff>
      <xdr:row>78</xdr:row>
      <xdr:rowOff>624903</xdr:rowOff>
    </xdr:to>
    <xdr:pic>
      <xdr:nvPicPr>
        <xdr:cNvPr id="181" name="Imagen 180">
          <a:extLst>
            <a:ext uri="{FF2B5EF4-FFF2-40B4-BE49-F238E27FC236}">
              <a16:creationId xmlns:a16="http://schemas.microsoft.com/office/drawing/2014/main" id="{8716D632-030E-4CE8-8571-F1281A8EE9C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353301" y="46619161"/>
          <a:ext cx="1402080" cy="471232"/>
        </a:xfrm>
        <a:prstGeom prst="rect">
          <a:avLst/>
        </a:prstGeom>
      </xdr:spPr>
    </xdr:pic>
    <xdr:clientData/>
  </xdr:twoCellAnchor>
  <xdr:twoCellAnchor editAs="oneCell">
    <xdr:from>
      <xdr:col>7</xdr:col>
      <xdr:colOff>441960</xdr:colOff>
      <xdr:row>79</xdr:row>
      <xdr:rowOff>144780</xdr:rowOff>
    </xdr:from>
    <xdr:to>
      <xdr:col>7</xdr:col>
      <xdr:colOff>1447800</xdr:colOff>
      <xdr:row>79</xdr:row>
      <xdr:rowOff>667971</xdr:rowOff>
    </xdr:to>
    <xdr:pic>
      <xdr:nvPicPr>
        <xdr:cNvPr id="182" name="Imagen 181">
          <a:extLst>
            <a:ext uri="{FF2B5EF4-FFF2-40B4-BE49-F238E27FC236}">
              <a16:creationId xmlns:a16="http://schemas.microsoft.com/office/drawing/2014/main" id="{4C789E40-B520-42B7-A176-F84C6871D1B6}"/>
            </a:ext>
          </a:extLst>
        </xdr:cNvPr>
        <xdr:cNvPicPr>
          <a:picLocks noChangeAspect="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t="4220"/>
        <a:stretch/>
      </xdr:blipFill>
      <xdr:spPr>
        <a:xfrm>
          <a:off x="7566660" y="47350680"/>
          <a:ext cx="1005840" cy="518746"/>
        </a:xfrm>
        <a:prstGeom prst="rect">
          <a:avLst/>
        </a:prstGeom>
      </xdr:spPr>
    </xdr:pic>
    <xdr:clientData/>
  </xdr:twoCellAnchor>
  <xdr:twoCellAnchor editAs="oneCell">
    <xdr:from>
      <xdr:col>7</xdr:col>
      <xdr:colOff>464821</xdr:colOff>
      <xdr:row>80</xdr:row>
      <xdr:rowOff>138919</xdr:rowOff>
    </xdr:from>
    <xdr:to>
      <xdr:col>7</xdr:col>
      <xdr:colOff>1391286</xdr:colOff>
      <xdr:row>80</xdr:row>
      <xdr:rowOff>593579</xdr:rowOff>
    </xdr:to>
    <xdr:pic>
      <xdr:nvPicPr>
        <xdr:cNvPr id="183" name="Imagen 182">
          <a:extLst>
            <a:ext uri="{FF2B5EF4-FFF2-40B4-BE49-F238E27FC236}">
              <a16:creationId xmlns:a16="http://schemas.microsoft.com/office/drawing/2014/main" id="{3E9B4616-5B86-4045-A821-6A535EB042F6}"/>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89521" y="48076339"/>
          <a:ext cx="922020" cy="461010"/>
        </a:xfrm>
        <a:prstGeom prst="rect">
          <a:avLst/>
        </a:prstGeom>
      </xdr:spPr>
    </xdr:pic>
    <xdr:clientData/>
  </xdr:twoCellAnchor>
  <xdr:twoCellAnchor editAs="oneCell">
    <xdr:from>
      <xdr:col>7</xdr:col>
      <xdr:colOff>615836</xdr:colOff>
      <xdr:row>36</xdr:row>
      <xdr:rowOff>83128</xdr:rowOff>
    </xdr:from>
    <xdr:to>
      <xdr:col>7</xdr:col>
      <xdr:colOff>1045095</xdr:colOff>
      <xdr:row>36</xdr:row>
      <xdr:rowOff>514640</xdr:rowOff>
    </xdr:to>
    <xdr:pic>
      <xdr:nvPicPr>
        <xdr:cNvPr id="184" name="Imagen 183">
          <a:extLst>
            <a:ext uri="{FF2B5EF4-FFF2-40B4-BE49-F238E27FC236}">
              <a16:creationId xmlns:a16="http://schemas.microsoft.com/office/drawing/2014/main" id="{FE3D2C2A-7A15-46CF-9196-20CF20A7B35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814956" y="31233688"/>
          <a:ext cx="426719" cy="423257"/>
        </a:xfrm>
        <a:prstGeom prst="rect">
          <a:avLst/>
        </a:prstGeom>
      </xdr:spPr>
    </xdr:pic>
    <xdr:clientData/>
  </xdr:twoCellAnchor>
  <xdr:twoCellAnchor editAs="oneCell">
    <xdr:from>
      <xdr:col>7</xdr:col>
      <xdr:colOff>660863</xdr:colOff>
      <xdr:row>81</xdr:row>
      <xdr:rowOff>55419</xdr:rowOff>
    </xdr:from>
    <xdr:to>
      <xdr:col>7</xdr:col>
      <xdr:colOff>1082502</xdr:colOff>
      <xdr:row>81</xdr:row>
      <xdr:rowOff>474517</xdr:rowOff>
    </xdr:to>
    <xdr:pic>
      <xdr:nvPicPr>
        <xdr:cNvPr id="185" name="Imagen 184">
          <a:extLst>
            <a:ext uri="{FF2B5EF4-FFF2-40B4-BE49-F238E27FC236}">
              <a16:creationId xmlns:a16="http://schemas.microsoft.com/office/drawing/2014/main" id="{02299449-1BD4-4545-A90F-ADA0869720D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807336" y="52868946"/>
          <a:ext cx="419099" cy="419098"/>
        </a:xfrm>
        <a:prstGeom prst="rect">
          <a:avLst/>
        </a:prstGeom>
      </xdr:spPr>
    </xdr:pic>
    <xdr:clientData/>
  </xdr:twoCellAnchor>
  <xdr:twoCellAnchor editAs="oneCell">
    <xdr:from>
      <xdr:col>7</xdr:col>
      <xdr:colOff>649778</xdr:colOff>
      <xdr:row>82</xdr:row>
      <xdr:rowOff>55418</xdr:rowOff>
    </xdr:from>
    <xdr:to>
      <xdr:col>7</xdr:col>
      <xdr:colOff>1083194</xdr:colOff>
      <xdr:row>82</xdr:row>
      <xdr:rowOff>475499</xdr:rowOff>
    </xdr:to>
    <xdr:pic>
      <xdr:nvPicPr>
        <xdr:cNvPr id="187" name="Imagen 186">
          <a:extLst>
            <a:ext uri="{FF2B5EF4-FFF2-40B4-BE49-F238E27FC236}">
              <a16:creationId xmlns:a16="http://schemas.microsoft.com/office/drawing/2014/main" id="{59AAB6A1-9298-4BD2-9CCA-270B3775D91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96251" y="54157418"/>
          <a:ext cx="430876" cy="430876"/>
        </a:xfrm>
        <a:prstGeom prst="rect">
          <a:avLst/>
        </a:prstGeom>
      </xdr:spPr>
    </xdr:pic>
    <xdr:clientData/>
  </xdr:twoCellAnchor>
  <xdr:twoCellAnchor editAs="oneCell">
    <xdr:from>
      <xdr:col>7</xdr:col>
      <xdr:colOff>480061</xdr:colOff>
      <xdr:row>83</xdr:row>
      <xdr:rowOff>312420</xdr:rowOff>
    </xdr:from>
    <xdr:to>
      <xdr:col>7</xdr:col>
      <xdr:colOff>1390016</xdr:colOff>
      <xdr:row>83</xdr:row>
      <xdr:rowOff>783032</xdr:rowOff>
    </xdr:to>
    <xdr:pic>
      <xdr:nvPicPr>
        <xdr:cNvPr id="188" name="Imagen 187">
          <a:extLst>
            <a:ext uri="{FF2B5EF4-FFF2-40B4-BE49-F238E27FC236}">
              <a16:creationId xmlns:a16="http://schemas.microsoft.com/office/drawing/2014/main" id="{AB00307E-010F-4B4C-B3B4-1820C15D5D7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604761" y="50604420"/>
          <a:ext cx="914400" cy="479502"/>
        </a:xfrm>
        <a:prstGeom prst="rect">
          <a:avLst/>
        </a:prstGeom>
      </xdr:spPr>
    </xdr:pic>
    <xdr:clientData/>
  </xdr:twoCellAnchor>
  <xdr:twoCellAnchor editAs="oneCell">
    <xdr:from>
      <xdr:col>7</xdr:col>
      <xdr:colOff>83821</xdr:colOff>
      <xdr:row>84</xdr:row>
      <xdr:rowOff>99059</xdr:rowOff>
    </xdr:from>
    <xdr:to>
      <xdr:col>7</xdr:col>
      <xdr:colOff>1676400</xdr:colOff>
      <xdr:row>84</xdr:row>
      <xdr:rowOff>475745</xdr:rowOff>
    </xdr:to>
    <xdr:pic>
      <xdr:nvPicPr>
        <xdr:cNvPr id="189" name="Imagen 188">
          <a:extLst>
            <a:ext uri="{FF2B5EF4-FFF2-40B4-BE49-F238E27FC236}">
              <a16:creationId xmlns:a16="http://schemas.microsoft.com/office/drawing/2014/main" id="{42F1495C-EFC2-4294-8BF5-53B218E22024}"/>
            </a:ext>
          </a:extLst>
        </xdr:cNvPr>
        <xdr:cNvPicPr>
          <a:picLocks noChangeAspect="1"/>
        </xdr:cNvPicPr>
      </xdr:nvPicPr>
      <xdr:blipFill rotWithShape="1">
        <a:blip xmlns:r="http://schemas.openxmlformats.org/officeDocument/2006/relationships" r:embed="rId31"/>
        <a:srcRect l="4927" b="9967"/>
        <a:stretch/>
      </xdr:blipFill>
      <xdr:spPr>
        <a:xfrm>
          <a:off x="7208521" y="51488339"/>
          <a:ext cx="1592579" cy="381131"/>
        </a:xfrm>
        <a:prstGeom prst="rect">
          <a:avLst/>
        </a:prstGeom>
      </xdr:spPr>
    </xdr:pic>
    <xdr:clientData/>
  </xdr:twoCellAnchor>
  <xdr:twoCellAnchor editAs="oneCell">
    <xdr:from>
      <xdr:col>7</xdr:col>
      <xdr:colOff>502920</xdr:colOff>
      <xdr:row>85</xdr:row>
      <xdr:rowOff>22861</xdr:rowOff>
    </xdr:from>
    <xdr:to>
      <xdr:col>7</xdr:col>
      <xdr:colOff>1276985</xdr:colOff>
      <xdr:row>85</xdr:row>
      <xdr:rowOff>435957</xdr:rowOff>
    </xdr:to>
    <xdr:pic>
      <xdr:nvPicPr>
        <xdr:cNvPr id="190" name="Imagen 189">
          <a:extLst>
            <a:ext uri="{FF2B5EF4-FFF2-40B4-BE49-F238E27FC236}">
              <a16:creationId xmlns:a16="http://schemas.microsoft.com/office/drawing/2014/main" id="{2071ABAE-2332-482B-8719-B633D0842975}"/>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7627620" y="51960781"/>
          <a:ext cx="759460" cy="396240"/>
        </a:xfrm>
        <a:prstGeom prst="rect">
          <a:avLst/>
        </a:prstGeom>
      </xdr:spPr>
    </xdr:pic>
    <xdr:clientData/>
  </xdr:twoCellAnchor>
  <xdr:twoCellAnchor editAs="oneCell">
    <xdr:from>
      <xdr:col>7</xdr:col>
      <xdr:colOff>670560</xdr:colOff>
      <xdr:row>86</xdr:row>
      <xdr:rowOff>175260</xdr:rowOff>
    </xdr:from>
    <xdr:to>
      <xdr:col>7</xdr:col>
      <xdr:colOff>1124585</xdr:colOff>
      <xdr:row>86</xdr:row>
      <xdr:rowOff>629285</xdr:rowOff>
    </xdr:to>
    <xdr:pic>
      <xdr:nvPicPr>
        <xdr:cNvPr id="191" name="Imagen 190">
          <a:extLst>
            <a:ext uri="{FF2B5EF4-FFF2-40B4-BE49-F238E27FC236}">
              <a16:creationId xmlns:a16="http://schemas.microsoft.com/office/drawing/2014/main" id="{3BB618F8-E4B8-459F-AC7C-9E2525415EB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795260" y="52524660"/>
          <a:ext cx="449580" cy="449580"/>
        </a:xfrm>
        <a:prstGeom prst="rect">
          <a:avLst/>
        </a:prstGeom>
      </xdr:spPr>
    </xdr:pic>
    <xdr:clientData/>
  </xdr:twoCellAnchor>
  <xdr:twoCellAnchor editAs="oneCell">
    <xdr:from>
      <xdr:col>7</xdr:col>
      <xdr:colOff>83820</xdr:colOff>
      <xdr:row>87</xdr:row>
      <xdr:rowOff>202276</xdr:rowOff>
    </xdr:from>
    <xdr:to>
      <xdr:col>7</xdr:col>
      <xdr:colOff>1734185</xdr:colOff>
      <xdr:row>87</xdr:row>
      <xdr:rowOff>588357</xdr:rowOff>
    </xdr:to>
    <xdr:pic>
      <xdr:nvPicPr>
        <xdr:cNvPr id="192" name="Imagen 191">
          <a:extLst>
            <a:ext uri="{FF2B5EF4-FFF2-40B4-BE49-F238E27FC236}">
              <a16:creationId xmlns:a16="http://schemas.microsoft.com/office/drawing/2014/main" id="{468AFEB1-D388-4197-A099-C5426FE93B09}"/>
            </a:ext>
          </a:extLst>
        </xdr:cNvPr>
        <xdr:cNvPicPr>
          <a:picLocks noChangeAspect="1"/>
        </xdr:cNvPicPr>
      </xdr:nvPicPr>
      <xdr:blipFill rotWithShape="1">
        <a:blip xmlns:r="http://schemas.openxmlformats.org/officeDocument/2006/relationships" r:embed="rId33"/>
        <a:srcRect r="7296" b="543"/>
        <a:stretch/>
      </xdr:blipFill>
      <xdr:spPr>
        <a:xfrm>
          <a:off x="8645929" y="75293912"/>
          <a:ext cx="1645920" cy="373381"/>
        </a:xfrm>
        <a:prstGeom prst="rect">
          <a:avLst/>
        </a:prstGeom>
      </xdr:spPr>
    </xdr:pic>
    <xdr:clientData/>
  </xdr:twoCellAnchor>
  <xdr:twoCellAnchor editAs="oneCell">
    <xdr:from>
      <xdr:col>7</xdr:col>
      <xdr:colOff>457200</xdr:colOff>
      <xdr:row>88</xdr:row>
      <xdr:rowOff>152401</xdr:rowOff>
    </xdr:from>
    <xdr:to>
      <xdr:col>7</xdr:col>
      <xdr:colOff>1275715</xdr:colOff>
      <xdr:row>88</xdr:row>
      <xdr:rowOff>554991</xdr:rowOff>
    </xdr:to>
    <xdr:pic>
      <xdr:nvPicPr>
        <xdr:cNvPr id="193" name="Imagen 192">
          <a:extLst>
            <a:ext uri="{FF2B5EF4-FFF2-40B4-BE49-F238E27FC236}">
              <a16:creationId xmlns:a16="http://schemas.microsoft.com/office/drawing/2014/main" id="{4F853A1B-65C9-4B31-9A5A-3AD93387E6A7}"/>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1600" b="10098"/>
        <a:stretch/>
      </xdr:blipFill>
      <xdr:spPr>
        <a:xfrm>
          <a:off x="7581900" y="53781961"/>
          <a:ext cx="822960" cy="411480"/>
        </a:xfrm>
        <a:prstGeom prst="rect">
          <a:avLst/>
        </a:prstGeom>
      </xdr:spPr>
    </xdr:pic>
    <xdr:clientData/>
  </xdr:twoCellAnchor>
  <xdr:twoCellAnchor editAs="oneCell">
    <xdr:from>
      <xdr:col>7</xdr:col>
      <xdr:colOff>53340</xdr:colOff>
      <xdr:row>89</xdr:row>
      <xdr:rowOff>175261</xdr:rowOff>
    </xdr:from>
    <xdr:to>
      <xdr:col>7</xdr:col>
      <xdr:colOff>1731010</xdr:colOff>
      <xdr:row>89</xdr:row>
      <xdr:rowOff>593090</xdr:rowOff>
    </xdr:to>
    <xdr:pic>
      <xdr:nvPicPr>
        <xdr:cNvPr id="194" name="Imagen 193">
          <a:extLst>
            <a:ext uri="{FF2B5EF4-FFF2-40B4-BE49-F238E27FC236}">
              <a16:creationId xmlns:a16="http://schemas.microsoft.com/office/drawing/2014/main" id="{C86D65AD-A4B8-41B7-B9A3-85E8FB439F68}"/>
            </a:ext>
          </a:extLst>
        </xdr:cNvPr>
        <xdr:cNvPicPr>
          <a:picLocks noChangeAspect="1"/>
        </xdr:cNvPicPr>
      </xdr:nvPicPr>
      <xdr:blipFill>
        <a:blip xmlns:r="http://schemas.openxmlformats.org/officeDocument/2006/relationships" r:embed="rId31"/>
        <a:stretch>
          <a:fillRect/>
        </a:stretch>
      </xdr:blipFill>
      <xdr:spPr>
        <a:xfrm>
          <a:off x="7178040" y="54536341"/>
          <a:ext cx="1668780" cy="426719"/>
        </a:xfrm>
        <a:prstGeom prst="rect">
          <a:avLst/>
        </a:prstGeom>
      </xdr:spPr>
    </xdr:pic>
    <xdr:clientData/>
  </xdr:twoCellAnchor>
  <xdr:twoCellAnchor editAs="oneCell">
    <xdr:from>
      <xdr:col>7</xdr:col>
      <xdr:colOff>282632</xdr:colOff>
      <xdr:row>51</xdr:row>
      <xdr:rowOff>315192</xdr:rowOff>
    </xdr:from>
    <xdr:to>
      <xdr:col>7</xdr:col>
      <xdr:colOff>1544320</xdr:colOff>
      <xdr:row>51</xdr:row>
      <xdr:rowOff>778395</xdr:rowOff>
    </xdr:to>
    <xdr:pic>
      <xdr:nvPicPr>
        <xdr:cNvPr id="195" name="Imagen 194">
          <a:extLst>
            <a:ext uri="{FF2B5EF4-FFF2-40B4-BE49-F238E27FC236}">
              <a16:creationId xmlns:a16="http://schemas.microsoft.com/office/drawing/2014/main" id="{794E82E0-535B-4E31-B27B-2CCB7A3331D3}"/>
            </a:ext>
          </a:extLst>
        </xdr:cNvPr>
        <xdr:cNvPicPr>
          <a:picLocks noChangeAspect="1"/>
        </xdr:cNvPicPr>
      </xdr:nvPicPr>
      <xdr:blipFill>
        <a:blip xmlns:r="http://schemas.openxmlformats.org/officeDocument/2006/relationships" r:embed="rId34"/>
        <a:stretch>
          <a:fillRect/>
        </a:stretch>
      </xdr:blipFill>
      <xdr:spPr>
        <a:xfrm>
          <a:off x="8844741" y="45245483"/>
          <a:ext cx="1253433" cy="460663"/>
        </a:xfrm>
        <a:prstGeom prst="rect">
          <a:avLst/>
        </a:prstGeom>
      </xdr:spPr>
    </xdr:pic>
    <xdr:clientData/>
  </xdr:twoCellAnchor>
  <xdr:twoCellAnchor editAs="oneCell">
    <xdr:from>
      <xdr:col>7</xdr:col>
      <xdr:colOff>295795</xdr:colOff>
      <xdr:row>90</xdr:row>
      <xdr:rowOff>191193</xdr:rowOff>
    </xdr:from>
    <xdr:to>
      <xdr:col>7</xdr:col>
      <xdr:colOff>1507375</xdr:colOff>
      <xdr:row>90</xdr:row>
      <xdr:rowOff>631518</xdr:rowOff>
    </xdr:to>
    <xdr:pic>
      <xdr:nvPicPr>
        <xdr:cNvPr id="196" name="Imagen 195">
          <a:extLst>
            <a:ext uri="{FF2B5EF4-FFF2-40B4-BE49-F238E27FC236}">
              <a16:creationId xmlns:a16="http://schemas.microsoft.com/office/drawing/2014/main" id="{F674E3D4-CE03-439F-9AFF-D0EF9F26911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857904" y="77845920"/>
          <a:ext cx="1211580" cy="453025"/>
        </a:xfrm>
        <a:prstGeom prst="rect">
          <a:avLst/>
        </a:prstGeom>
      </xdr:spPr>
    </xdr:pic>
    <xdr:clientData/>
  </xdr:twoCellAnchor>
  <xdr:twoCellAnchor editAs="oneCell">
    <xdr:from>
      <xdr:col>7</xdr:col>
      <xdr:colOff>480061</xdr:colOff>
      <xdr:row>91</xdr:row>
      <xdr:rowOff>68580</xdr:rowOff>
    </xdr:from>
    <xdr:to>
      <xdr:col>7</xdr:col>
      <xdr:colOff>1278890</xdr:colOff>
      <xdr:row>91</xdr:row>
      <xdr:rowOff>478664</xdr:rowOff>
    </xdr:to>
    <xdr:pic>
      <xdr:nvPicPr>
        <xdr:cNvPr id="197" name="Imagen 196">
          <a:extLst>
            <a:ext uri="{FF2B5EF4-FFF2-40B4-BE49-F238E27FC236}">
              <a16:creationId xmlns:a16="http://schemas.microsoft.com/office/drawing/2014/main" id="{B0E89466-A351-44C5-B3E7-507A96924070}"/>
            </a:ext>
          </a:extLst>
        </xdr:cNvPr>
        <xdr:cNvPicPr>
          <a:picLocks noChangeAspect="1"/>
        </xdr:cNvPicPr>
      </xdr:nvPicPr>
      <xdr:blipFill rotWithShape="1">
        <a:blip xmlns:r="http://schemas.openxmlformats.org/officeDocument/2006/relationships" r:embed="rId32">
          <a:extLst>
            <a:ext uri="{28A0092B-C50C-407E-A947-70E740481C1C}">
              <a14:useLocalDpi xmlns:a14="http://schemas.microsoft.com/office/drawing/2010/main" val="0"/>
            </a:ext>
          </a:extLst>
        </a:blip>
        <a:srcRect t="1182"/>
        <a:stretch/>
      </xdr:blipFill>
      <xdr:spPr>
        <a:xfrm>
          <a:off x="7604761" y="56525160"/>
          <a:ext cx="807719" cy="416434"/>
        </a:xfrm>
        <a:prstGeom prst="rect">
          <a:avLst/>
        </a:prstGeom>
      </xdr:spPr>
    </xdr:pic>
    <xdr:clientData/>
  </xdr:twoCellAnchor>
  <xdr:twoCellAnchor editAs="oneCell">
    <xdr:from>
      <xdr:col>7</xdr:col>
      <xdr:colOff>510541</xdr:colOff>
      <xdr:row>92</xdr:row>
      <xdr:rowOff>15240</xdr:rowOff>
    </xdr:from>
    <xdr:to>
      <xdr:col>7</xdr:col>
      <xdr:colOff>1257300</xdr:colOff>
      <xdr:row>92</xdr:row>
      <xdr:rowOff>398959</xdr:rowOff>
    </xdr:to>
    <xdr:pic>
      <xdr:nvPicPr>
        <xdr:cNvPr id="198" name="Imagen 197">
          <a:extLst>
            <a:ext uri="{FF2B5EF4-FFF2-40B4-BE49-F238E27FC236}">
              <a16:creationId xmlns:a16="http://schemas.microsoft.com/office/drawing/2014/main" id="{9C982C1B-E5E7-4B5C-8DAD-220C0D5DDF20}"/>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4182" r="6423" b="9236"/>
        <a:stretch/>
      </xdr:blipFill>
      <xdr:spPr>
        <a:xfrm>
          <a:off x="7635241" y="57020460"/>
          <a:ext cx="746759" cy="390242"/>
        </a:xfrm>
        <a:prstGeom prst="rect">
          <a:avLst/>
        </a:prstGeom>
      </xdr:spPr>
    </xdr:pic>
    <xdr:clientData/>
  </xdr:twoCellAnchor>
  <xdr:twoCellAnchor editAs="oneCell">
    <xdr:from>
      <xdr:col>7</xdr:col>
      <xdr:colOff>243841</xdr:colOff>
      <xdr:row>93</xdr:row>
      <xdr:rowOff>85898</xdr:rowOff>
    </xdr:from>
    <xdr:to>
      <xdr:col>7</xdr:col>
      <xdr:colOff>1600201</xdr:colOff>
      <xdr:row>93</xdr:row>
      <xdr:rowOff>437154</xdr:rowOff>
    </xdr:to>
    <xdr:pic>
      <xdr:nvPicPr>
        <xdr:cNvPr id="199" name="Imagen 198">
          <a:extLst>
            <a:ext uri="{FF2B5EF4-FFF2-40B4-BE49-F238E27FC236}">
              <a16:creationId xmlns:a16="http://schemas.microsoft.com/office/drawing/2014/main" id="{85127CE9-8E23-45A7-B1AF-5B43D6661F5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390314" y="62278953"/>
          <a:ext cx="1356360" cy="365861"/>
        </a:xfrm>
        <a:prstGeom prst="rect">
          <a:avLst/>
        </a:prstGeom>
      </xdr:spPr>
    </xdr:pic>
    <xdr:clientData/>
  </xdr:twoCellAnchor>
  <xdr:twoCellAnchor editAs="oneCell">
    <xdr:from>
      <xdr:col>7</xdr:col>
      <xdr:colOff>403861</xdr:colOff>
      <xdr:row>94</xdr:row>
      <xdr:rowOff>38100</xdr:rowOff>
    </xdr:from>
    <xdr:to>
      <xdr:col>7</xdr:col>
      <xdr:colOff>1388111</xdr:colOff>
      <xdr:row>94</xdr:row>
      <xdr:rowOff>401010</xdr:rowOff>
    </xdr:to>
    <xdr:pic>
      <xdr:nvPicPr>
        <xdr:cNvPr id="200" name="Imagen 199">
          <a:extLst>
            <a:ext uri="{FF2B5EF4-FFF2-40B4-BE49-F238E27FC236}">
              <a16:creationId xmlns:a16="http://schemas.microsoft.com/office/drawing/2014/main" id="{5FAFA311-FAE0-489F-8547-32B5DD010CD6}"/>
            </a:ext>
          </a:extLst>
        </xdr:cNvPr>
        <xdr:cNvPicPr>
          <a:picLocks noChangeAspect="1"/>
        </xdr:cNvPicPr>
      </xdr:nvPicPr>
      <xdr:blipFill>
        <a:blip xmlns:r="http://schemas.openxmlformats.org/officeDocument/2006/relationships" r:embed="rId34"/>
        <a:stretch>
          <a:fillRect/>
        </a:stretch>
      </xdr:blipFill>
      <xdr:spPr>
        <a:xfrm>
          <a:off x="7528561" y="57851040"/>
          <a:ext cx="975360" cy="358465"/>
        </a:xfrm>
        <a:prstGeom prst="rect">
          <a:avLst/>
        </a:prstGeom>
      </xdr:spPr>
    </xdr:pic>
    <xdr:clientData/>
  </xdr:twoCellAnchor>
  <xdr:twoCellAnchor editAs="oneCell">
    <xdr:from>
      <xdr:col>7</xdr:col>
      <xdr:colOff>545177</xdr:colOff>
      <xdr:row>95</xdr:row>
      <xdr:rowOff>99754</xdr:rowOff>
    </xdr:from>
    <xdr:to>
      <xdr:col>7</xdr:col>
      <xdr:colOff>1200497</xdr:colOff>
      <xdr:row>95</xdr:row>
      <xdr:rowOff>438209</xdr:rowOff>
    </xdr:to>
    <xdr:pic>
      <xdr:nvPicPr>
        <xdr:cNvPr id="201" name="Imagen 200">
          <a:extLst>
            <a:ext uri="{FF2B5EF4-FFF2-40B4-BE49-F238E27FC236}">
              <a16:creationId xmlns:a16="http://schemas.microsoft.com/office/drawing/2014/main" id="{BCA6C49B-04E5-4B7A-B4C0-E7C30DA1E42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691650" y="63401172"/>
          <a:ext cx="655320" cy="327660"/>
        </a:xfrm>
        <a:prstGeom prst="rect">
          <a:avLst/>
        </a:prstGeom>
      </xdr:spPr>
    </xdr:pic>
    <xdr:clientData/>
  </xdr:twoCellAnchor>
  <xdr:twoCellAnchor editAs="oneCell">
    <xdr:from>
      <xdr:col>7</xdr:col>
      <xdr:colOff>312421</xdr:colOff>
      <xdr:row>96</xdr:row>
      <xdr:rowOff>53340</xdr:rowOff>
    </xdr:from>
    <xdr:to>
      <xdr:col>7</xdr:col>
      <xdr:colOff>1431291</xdr:colOff>
      <xdr:row>96</xdr:row>
      <xdr:rowOff>474166</xdr:rowOff>
    </xdr:to>
    <xdr:pic>
      <xdr:nvPicPr>
        <xdr:cNvPr id="202" name="Imagen 201">
          <a:extLst>
            <a:ext uri="{FF2B5EF4-FFF2-40B4-BE49-F238E27FC236}">
              <a16:creationId xmlns:a16="http://schemas.microsoft.com/office/drawing/2014/main" id="{950485E9-99D7-48CE-A194-A7322101C228}"/>
            </a:ext>
          </a:extLst>
        </xdr:cNvPr>
        <xdr:cNvPicPr>
          <a:picLocks noChangeAspect="1"/>
        </xdr:cNvPicPr>
      </xdr:nvPicPr>
      <xdr:blipFill>
        <a:blip xmlns:r="http://schemas.openxmlformats.org/officeDocument/2006/relationships" r:embed="rId34"/>
        <a:stretch>
          <a:fillRect/>
        </a:stretch>
      </xdr:blipFill>
      <xdr:spPr>
        <a:xfrm>
          <a:off x="7437121" y="58681620"/>
          <a:ext cx="1127760" cy="414476"/>
        </a:xfrm>
        <a:prstGeom prst="rect">
          <a:avLst/>
        </a:prstGeom>
      </xdr:spPr>
    </xdr:pic>
    <xdr:clientData/>
  </xdr:twoCellAnchor>
  <xdr:twoCellAnchor editAs="oneCell">
    <xdr:from>
      <xdr:col>7</xdr:col>
      <xdr:colOff>441961</xdr:colOff>
      <xdr:row>97</xdr:row>
      <xdr:rowOff>22860</xdr:rowOff>
    </xdr:from>
    <xdr:to>
      <xdr:col>7</xdr:col>
      <xdr:colOff>1237618</xdr:colOff>
      <xdr:row>97</xdr:row>
      <xdr:rowOff>419447</xdr:rowOff>
    </xdr:to>
    <xdr:pic>
      <xdr:nvPicPr>
        <xdr:cNvPr id="203" name="Imagen 202">
          <a:extLst>
            <a:ext uri="{FF2B5EF4-FFF2-40B4-BE49-F238E27FC236}">
              <a16:creationId xmlns:a16="http://schemas.microsoft.com/office/drawing/2014/main" id="{B0AC0D71-793D-4900-B4D1-451C0DE8846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66661" y="59618880"/>
          <a:ext cx="800102" cy="400051"/>
        </a:xfrm>
        <a:prstGeom prst="rect">
          <a:avLst/>
        </a:prstGeom>
      </xdr:spPr>
    </xdr:pic>
    <xdr:clientData/>
  </xdr:twoCellAnchor>
  <xdr:twoCellAnchor editAs="oneCell">
    <xdr:from>
      <xdr:col>7</xdr:col>
      <xdr:colOff>485602</xdr:colOff>
      <xdr:row>98</xdr:row>
      <xdr:rowOff>624841</xdr:rowOff>
    </xdr:from>
    <xdr:to>
      <xdr:col>7</xdr:col>
      <xdr:colOff>1261572</xdr:colOff>
      <xdr:row>98</xdr:row>
      <xdr:rowOff>1031475</xdr:rowOff>
    </xdr:to>
    <xdr:pic>
      <xdr:nvPicPr>
        <xdr:cNvPr id="204" name="Imagen 203">
          <a:extLst>
            <a:ext uri="{FF2B5EF4-FFF2-40B4-BE49-F238E27FC236}">
              <a16:creationId xmlns:a16="http://schemas.microsoft.com/office/drawing/2014/main" id="{716C422A-A2BF-4D10-BEF6-AF5250858E43}"/>
            </a:ext>
          </a:extLst>
        </xdr:cNvPr>
        <xdr:cNvPicPr>
          <a:picLocks noChangeAspect="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t="3781"/>
        <a:stretch/>
      </xdr:blipFill>
      <xdr:spPr>
        <a:xfrm>
          <a:off x="8451966" y="104499296"/>
          <a:ext cx="775970" cy="406634"/>
        </a:xfrm>
        <a:prstGeom prst="rect">
          <a:avLst/>
        </a:prstGeom>
      </xdr:spPr>
    </xdr:pic>
    <xdr:clientData/>
  </xdr:twoCellAnchor>
  <xdr:twoCellAnchor editAs="oneCell">
    <xdr:from>
      <xdr:col>7</xdr:col>
      <xdr:colOff>449579</xdr:colOff>
      <xdr:row>99</xdr:row>
      <xdr:rowOff>163829</xdr:rowOff>
    </xdr:from>
    <xdr:to>
      <xdr:col>7</xdr:col>
      <xdr:colOff>1350010</xdr:colOff>
      <xdr:row>99</xdr:row>
      <xdr:rowOff>609600</xdr:rowOff>
    </xdr:to>
    <xdr:pic>
      <xdr:nvPicPr>
        <xdr:cNvPr id="205" name="Imagen 204">
          <a:extLst>
            <a:ext uri="{FF2B5EF4-FFF2-40B4-BE49-F238E27FC236}">
              <a16:creationId xmlns:a16="http://schemas.microsoft.com/office/drawing/2014/main" id="{C9F3E35D-9613-45B1-85AF-B2B383C4E46B}"/>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4078" t="19158" r="8541" b="12421"/>
        <a:stretch/>
      </xdr:blipFill>
      <xdr:spPr>
        <a:xfrm>
          <a:off x="7574279" y="60666629"/>
          <a:ext cx="891541" cy="445771"/>
        </a:xfrm>
        <a:prstGeom prst="rect">
          <a:avLst/>
        </a:prstGeom>
      </xdr:spPr>
    </xdr:pic>
    <xdr:clientData/>
  </xdr:twoCellAnchor>
  <xdr:twoCellAnchor editAs="oneCell">
    <xdr:from>
      <xdr:col>7</xdr:col>
      <xdr:colOff>525779</xdr:colOff>
      <xdr:row>100</xdr:row>
      <xdr:rowOff>22605</xdr:rowOff>
    </xdr:from>
    <xdr:to>
      <xdr:col>7</xdr:col>
      <xdr:colOff>1257300</xdr:colOff>
      <xdr:row>100</xdr:row>
      <xdr:rowOff>381001</xdr:rowOff>
    </xdr:to>
    <xdr:pic>
      <xdr:nvPicPr>
        <xdr:cNvPr id="206" name="Imagen 205">
          <a:extLst>
            <a:ext uri="{FF2B5EF4-FFF2-40B4-BE49-F238E27FC236}">
              <a16:creationId xmlns:a16="http://schemas.microsoft.com/office/drawing/2014/main" id="{146804BC-294E-4C55-94EF-97F6F41908C6}"/>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5243" t="20070" r="7958" b="13333"/>
        <a:stretch/>
      </xdr:blipFill>
      <xdr:spPr>
        <a:xfrm>
          <a:off x="7650479" y="61256925"/>
          <a:ext cx="731521" cy="358396"/>
        </a:xfrm>
        <a:prstGeom prst="rect">
          <a:avLst/>
        </a:prstGeom>
      </xdr:spPr>
    </xdr:pic>
    <xdr:clientData/>
  </xdr:twoCellAnchor>
  <xdr:twoCellAnchor editAs="oneCell">
    <xdr:from>
      <xdr:col>7</xdr:col>
      <xdr:colOff>272934</xdr:colOff>
      <xdr:row>101</xdr:row>
      <xdr:rowOff>152400</xdr:rowOff>
    </xdr:from>
    <xdr:to>
      <xdr:col>7</xdr:col>
      <xdr:colOff>1409121</xdr:colOff>
      <xdr:row>101</xdr:row>
      <xdr:rowOff>609600</xdr:rowOff>
    </xdr:to>
    <xdr:pic>
      <xdr:nvPicPr>
        <xdr:cNvPr id="207" name="Imagen 206">
          <a:extLst>
            <a:ext uri="{FF2B5EF4-FFF2-40B4-BE49-F238E27FC236}">
              <a16:creationId xmlns:a16="http://schemas.microsoft.com/office/drawing/2014/main" id="{E9166F39-DF16-4B13-8EA4-CBEFF213701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419407" y="67513200"/>
          <a:ext cx="1136187" cy="457200"/>
        </a:xfrm>
        <a:prstGeom prst="rect">
          <a:avLst/>
        </a:prstGeom>
      </xdr:spPr>
    </xdr:pic>
    <xdr:clientData/>
  </xdr:twoCellAnchor>
  <xdr:twoCellAnchor editAs="oneCell">
    <xdr:from>
      <xdr:col>7</xdr:col>
      <xdr:colOff>297181</xdr:colOff>
      <xdr:row>102</xdr:row>
      <xdr:rowOff>91440</xdr:rowOff>
    </xdr:from>
    <xdr:to>
      <xdr:col>7</xdr:col>
      <xdr:colOff>1409701</xdr:colOff>
      <xdr:row>102</xdr:row>
      <xdr:rowOff>475831</xdr:rowOff>
    </xdr:to>
    <xdr:pic>
      <xdr:nvPicPr>
        <xdr:cNvPr id="208" name="Imagen 207">
          <a:extLst>
            <a:ext uri="{FF2B5EF4-FFF2-40B4-BE49-F238E27FC236}">
              <a16:creationId xmlns:a16="http://schemas.microsoft.com/office/drawing/2014/main" id="{ACB171BF-CBEF-4C6C-A410-D27E078C931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21881" y="62103000"/>
          <a:ext cx="1112520" cy="395186"/>
        </a:xfrm>
        <a:prstGeom prst="rect">
          <a:avLst/>
        </a:prstGeom>
      </xdr:spPr>
    </xdr:pic>
    <xdr:clientData/>
  </xdr:twoCellAnchor>
  <xdr:twoCellAnchor editAs="oneCell">
    <xdr:from>
      <xdr:col>7</xdr:col>
      <xdr:colOff>350520</xdr:colOff>
      <xdr:row>103</xdr:row>
      <xdr:rowOff>83127</xdr:rowOff>
    </xdr:from>
    <xdr:to>
      <xdr:col>7</xdr:col>
      <xdr:colOff>1355090</xdr:colOff>
      <xdr:row>103</xdr:row>
      <xdr:rowOff>476218</xdr:rowOff>
    </xdr:to>
    <xdr:pic>
      <xdr:nvPicPr>
        <xdr:cNvPr id="209" name="Imagen 208">
          <a:extLst>
            <a:ext uri="{FF2B5EF4-FFF2-40B4-BE49-F238E27FC236}">
              <a16:creationId xmlns:a16="http://schemas.microsoft.com/office/drawing/2014/main" id="{B797DACD-30EF-4E9C-B559-B6F4F12AB753}"/>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496993" y="68552291"/>
          <a:ext cx="1013460" cy="397536"/>
        </a:xfrm>
        <a:prstGeom prst="rect">
          <a:avLst/>
        </a:prstGeom>
      </xdr:spPr>
    </xdr:pic>
    <xdr:clientData/>
  </xdr:twoCellAnchor>
  <xdr:twoCellAnchor editAs="oneCell">
    <xdr:from>
      <xdr:col>7</xdr:col>
      <xdr:colOff>152400</xdr:colOff>
      <xdr:row>104</xdr:row>
      <xdr:rowOff>64425</xdr:rowOff>
    </xdr:from>
    <xdr:to>
      <xdr:col>7</xdr:col>
      <xdr:colOff>1562100</xdr:colOff>
      <xdr:row>104</xdr:row>
      <xdr:rowOff>396759</xdr:rowOff>
    </xdr:to>
    <xdr:pic>
      <xdr:nvPicPr>
        <xdr:cNvPr id="210" name="Imagen 209">
          <a:extLst>
            <a:ext uri="{FF2B5EF4-FFF2-40B4-BE49-F238E27FC236}">
              <a16:creationId xmlns:a16="http://schemas.microsoft.com/office/drawing/2014/main" id="{85BCD1F8-3921-4E7F-AE32-486C4F5E5230}"/>
            </a:ext>
          </a:extLst>
        </xdr:cNvPr>
        <xdr:cNvPicPr>
          <a:picLocks noChangeAspect="1"/>
        </xdr:cNvPicPr>
      </xdr:nvPicPr>
      <xdr:blipFill rotWithShape="1">
        <a:blip xmlns:r="http://schemas.openxmlformats.org/officeDocument/2006/relationships" r:embed="rId31"/>
        <a:srcRect t="1" b="9865"/>
        <a:stretch/>
      </xdr:blipFill>
      <xdr:spPr>
        <a:xfrm>
          <a:off x="8298873" y="69087770"/>
          <a:ext cx="1409700" cy="329794"/>
        </a:xfrm>
        <a:prstGeom prst="rect">
          <a:avLst/>
        </a:prstGeom>
      </xdr:spPr>
    </xdr:pic>
    <xdr:clientData/>
  </xdr:twoCellAnchor>
  <xdr:twoCellAnchor editAs="oneCell">
    <xdr:from>
      <xdr:col>7</xdr:col>
      <xdr:colOff>449581</xdr:colOff>
      <xdr:row>105</xdr:row>
      <xdr:rowOff>93186</xdr:rowOff>
    </xdr:from>
    <xdr:to>
      <xdr:col>7</xdr:col>
      <xdr:colOff>1273810</xdr:colOff>
      <xdr:row>105</xdr:row>
      <xdr:rowOff>515590</xdr:rowOff>
    </xdr:to>
    <xdr:pic>
      <xdr:nvPicPr>
        <xdr:cNvPr id="211" name="Imagen 210">
          <a:extLst>
            <a:ext uri="{FF2B5EF4-FFF2-40B4-BE49-F238E27FC236}">
              <a16:creationId xmlns:a16="http://schemas.microsoft.com/office/drawing/2014/main" id="{B3215632-5809-40FA-8361-C41B3FAB1CF9}"/>
            </a:ext>
          </a:extLst>
        </xdr:cNvPr>
        <xdr:cNvPicPr>
          <a:picLocks noChangeAspect="1"/>
        </xdr:cNvPicPr>
      </xdr:nvPicPr>
      <xdr:blipFill>
        <a:blip xmlns:r="http://schemas.openxmlformats.org/officeDocument/2006/relationships" r:embed="rId29"/>
        <a:stretch>
          <a:fillRect/>
        </a:stretch>
      </xdr:blipFill>
      <xdr:spPr>
        <a:xfrm>
          <a:off x="7574281" y="63384906"/>
          <a:ext cx="815339" cy="422404"/>
        </a:xfrm>
        <a:prstGeom prst="rect">
          <a:avLst/>
        </a:prstGeom>
      </xdr:spPr>
    </xdr:pic>
    <xdr:clientData/>
  </xdr:twoCellAnchor>
  <xdr:twoCellAnchor editAs="oneCell">
    <xdr:from>
      <xdr:col>7</xdr:col>
      <xdr:colOff>468285</xdr:colOff>
      <xdr:row>106</xdr:row>
      <xdr:rowOff>56805</xdr:rowOff>
    </xdr:from>
    <xdr:to>
      <xdr:col>7</xdr:col>
      <xdr:colOff>1276639</xdr:colOff>
      <xdr:row>106</xdr:row>
      <xdr:rowOff>456855</xdr:rowOff>
    </xdr:to>
    <xdr:pic>
      <xdr:nvPicPr>
        <xdr:cNvPr id="212" name="Imagen 211">
          <a:extLst>
            <a:ext uri="{FF2B5EF4-FFF2-40B4-BE49-F238E27FC236}">
              <a16:creationId xmlns:a16="http://schemas.microsoft.com/office/drawing/2014/main" id="{5D6D7A57-34D2-4257-A0C2-1CC1C75E0F2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614758" y="70327060"/>
          <a:ext cx="800099" cy="400050"/>
        </a:xfrm>
        <a:prstGeom prst="rect">
          <a:avLst/>
        </a:prstGeom>
      </xdr:spPr>
    </xdr:pic>
    <xdr:clientData/>
  </xdr:twoCellAnchor>
  <xdr:twoCellAnchor editAs="oneCell">
    <xdr:from>
      <xdr:col>7</xdr:col>
      <xdr:colOff>190501</xdr:colOff>
      <xdr:row>107</xdr:row>
      <xdr:rowOff>73388</xdr:rowOff>
    </xdr:from>
    <xdr:to>
      <xdr:col>7</xdr:col>
      <xdr:colOff>1464311</xdr:colOff>
      <xdr:row>107</xdr:row>
      <xdr:rowOff>552878</xdr:rowOff>
    </xdr:to>
    <xdr:pic>
      <xdr:nvPicPr>
        <xdr:cNvPr id="213" name="Imagen 212">
          <a:extLst>
            <a:ext uri="{FF2B5EF4-FFF2-40B4-BE49-F238E27FC236}">
              <a16:creationId xmlns:a16="http://schemas.microsoft.com/office/drawing/2014/main" id="{29844440-886C-482B-9CEA-BA2EC824367A}"/>
            </a:ext>
          </a:extLst>
        </xdr:cNvPr>
        <xdr:cNvPicPr>
          <a:picLocks noChangeAspect="1"/>
        </xdr:cNvPicPr>
      </xdr:nvPicPr>
      <xdr:blipFill>
        <a:blip xmlns:r="http://schemas.openxmlformats.org/officeDocument/2006/relationships" r:embed="rId34"/>
        <a:stretch>
          <a:fillRect/>
        </a:stretch>
      </xdr:blipFill>
      <xdr:spPr>
        <a:xfrm>
          <a:off x="7315201" y="64332848"/>
          <a:ext cx="1264920" cy="464885"/>
        </a:xfrm>
        <a:prstGeom prst="rect">
          <a:avLst/>
        </a:prstGeom>
      </xdr:spPr>
    </xdr:pic>
    <xdr:clientData/>
  </xdr:twoCellAnchor>
  <xdr:twoCellAnchor editAs="oneCell">
    <xdr:from>
      <xdr:col>7</xdr:col>
      <xdr:colOff>306878</xdr:colOff>
      <xdr:row>108</xdr:row>
      <xdr:rowOff>64283</xdr:rowOff>
    </xdr:from>
    <xdr:to>
      <xdr:col>7</xdr:col>
      <xdr:colOff>1409007</xdr:colOff>
      <xdr:row>108</xdr:row>
      <xdr:rowOff>478559</xdr:rowOff>
    </xdr:to>
    <xdr:pic>
      <xdr:nvPicPr>
        <xdr:cNvPr id="214" name="Imagen 213">
          <a:extLst>
            <a:ext uri="{FF2B5EF4-FFF2-40B4-BE49-F238E27FC236}">
              <a16:creationId xmlns:a16="http://schemas.microsoft.com/office/drawing/2014/main" id="{A2B915EB-51A2-4D86-87D8-34A4AABDC8D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453351" y="71442901"/>
          <a:ext cx="1102129" cy="420626"/>
        </a:xfrm>
        <a:prstGeom prst="rect">
          <a:avLst/>
        </a:prstGeom>
      </xdr:spPr>
    </xdr:pic>
    <xdr:clientData/>
  </xdr:twoCellAnchor>
  <xdr:twoCellAnchor editAs="oneCell">
    <xdr:from>
      <xdr:col>7</xdr:col>
      <xdr:colOff>595745</xdr:colOff>
      <xdr:row>110</xdr:row>
      <xdr:rowOff>55418</xdr:rowOff>
    </xdr:from>
    <xdr:to>
      <xdr:col>7</xdr:col>
      <xdr:colOff>1102426</xdr:colOff>
      <xdr:row>110</xdr:row>
      <xdr:rowOff>511464</xdr:rowOff>
    </xdr:to>
    <xdr:pic>
      <xdr:nvPicPr>
        <xdr:cNvPr id="215" name="Imagen 214">
          <a:extLst>
            <a:ext uri="{FF2B5EF4-FFF2-40B4-BE49-F238E27FC236}">
              <a16:creationId xmlns:a16="http://schemas.microsoft.com/office/drawing/2014/main" id="{2F055541-4D0E-41CF-A7C4-00E99ED8B5D5}"/>
            </a:ext>
          </a:extLst>
        </xdr:cNvPr>
        <xdr:cNvPicPr>
          <a:picLocks noChangeAspect="1"/>
        </xdr:cNvPicPr>
      </xdr:nvPicPr>
      <xdr:blipFill>
        <a:blip xmlns:r="http://schemas.openxmlformats.org/officeDocument/2006/relationships" r:embed="rId35"/>
        <a:stretch>
          <a:fillRect/>
        </a:stretch>
      </xdr:blipFill>
      <xdr:spPr>
        <a:xfrm>
          <a:off x="8742218" y="73082727"/>
          <a:ext cx="506681" cy="443346"/>
        </a:xfrm>
        <a:prstGeom prst="rect">
          <a:avLst/>
        </a:prstGeom>
      </xdr:spPr>
    </xdr:pic>
    <xdr:clientData/>
  </xdr:twoCellAnchor>
  <xdr:twoCellAnchor editAs="oneCell">
    <xdr:from>
      <xdr:col>7</xdr:col>
      <xdr:colOff>411481</xdr:colOff>
      <xdr:row>111</xdr:row>
      <xdr:rowOff>84276</xdr:rowOff>
    </xdr:from>
    <xdr:to>
      <xdr:col>7</xdr:col>
      <xdr:colOff>1278899</xdr:colOff>
      <xdr:row>111</xdr:row>
      <xdr:rowOff>549217</xdr:rowOff>
    </xdr:to>
    <xdr:pic>
      <xdr:nvPicPr>
        <xdr:cNvPr id="216" name="Imagen 215">
          <a:extLst>
            <a:ext uri="{FF2B5EF4-FFF2-40B4-BE49-F238E27FC236}">
              <a16:creationId xmlns:a16="http://schemas.microsoft.com/office/drawing/2014/main" id="{49D4F91D-BE0A-42ED-8114-5B90B97C343E}"/>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4439" t="14896" r="7415" b="11614"/>
        <a:stretch/>
      </xdr:blipFill>
      <xdr:spPr>
        <a:xfrm>
          <a:off x="8557954" y="73665767"/>
          <a:ext cx="880118" cy="456051"/>
        </a:xfrm>
        <a:prstGeom prst="rect">
          <a:avLst/>
        </a:prstGeom>
      </xdr:spPr>
    </xdr:pic>
    <xdr:clientData/>
  </xdr:twoCellAnchor>
  <xdr:twoCellAnchor editAs="oneCell">
    <xdr:from>
      <xdr:col>7</xdr:col>
      <xdr:colOff>725285</xdr:colOff>
      <xdr:row>112</xdr:row>
      <xdr:rowOff>69273</xdr:rowOff>
    </xdr:from>
    <xdr:to>
      <xdr:col>7</xdr:col>
      <xdr:colOff>1086600</xdr:colOff>
      <xdr:row>112</xdr:row>
      <xdr:rowOff>438174</xdr:rowOff>
    </xdr:to>
    <xdr:pic>
      <xdr:nvPicPr>
        <xdr:cNvPr id="217" name="Imagen 216">
          <a:extLst>
            <a:ext uri="{FF2B5EF4-FFF2-40B4-BE49-F238E27FC236}">
              <a16:creationId xmlns:a16="http://schemas.microsoft.com/office/drawing/2014/main" id="{1299AE0E-8215-4B0D-AD6E-63599F6D389C}"/>
            </a:ext>
          </a:extLst>
        </xdr:cNvPr>
        <xdr:cNvPicPr>
          <a:picLocks noChangeAspect="1"/>
        </xdr:cNvPicPr>
      </xdr:nvPicPr>
      <xdr:blipFill>
        <a:blip xmlns:r="http://schemas.openxmlformats.org/officeDocument/2006/relationships" r:embed="rId35"/>
        <a:stretch>
          <a:fillRect/>
        </a:stretch>
      </xdr:blipFill>
      <xdr:spPr>
        <a:xfrm>
          <a:off x="8871758" y="74204946"/>
          <a:ext cx="350520" cy="368901"/>
        </a:xfrm>
        <a:prstGeom prst="rect">
          <a:avLst/>
        </a:prstGeom>
      </xdr:spPr>
    </xdr:pic>
    <xdr:clientData/>
  </xdr:twoCellAnchor>
  <xdr:twoCellAnchor editAs="oneCell">
    <xdr:from>
      <xdr:col>7</xdr:col>
      <xdr:colOff>685800</xdr:colOff>
      <xdr:row>113</xdr:row>
      <xdr:rowOff>121920</xdr:rowOff>
    </xdr:from>
    <xdr:to>
      <xdr:col>7</xdr:col>
      <xdr:colOff>1180930</xdr:colOff>
      <xdr:row>113</xdr:row>
      <xdr:rowOff>631190</xdr:rowOff>
    </xdr:to>
    <xdr:pic>
      <xdr:nvPicPr>
        <xdr:cNvPr id="218" name="Imagen 217">
          <a:extLst>
            <a:ext uri="{FF2B5EF4-FFF2-40B4-BE49-F238E27FC236}">
              <a16:creationId xmlns:a16="http://schemas.microsoft.com/office/drawing/2014/main" id="{84B5C19D-ACED-4422-8365-5D5A81C7D5C6}"/>
            </a:ext>
          </a:extLst>
        </xdr:cNvPr>
        <xdr:cNvPicPr>
          <a:picLocks noChangeAspect="1"/>
        </xdr:cNvPicPr>
      </xdr:nvPicPr>
      <xdr:blipFill>
        <a:blip xmlns:r="http://schemas.openxmlformats.org/officeDocument/2006/relationships" r:embed="rId35"/>
        <a:stretch>
          <a:fillRect/>
        </a:stretch>
      </xdr:blipFill>
      <xdr:spPr>
        <a:xfrm>
          <a:off x="7810500" y="67597020"/>
          <a:ext cx="495130" cy="518160"/>
        </a:xfrm>
        <a:prstGeom prst="rect">
          <a:avLst/>
        </a:prstGeom>
      </xdr:spPr>
    </xdr:pic>
    <xdr:clientData/>
  </xdr:twoCellAnchor>
  <xdr:twoCellAnchor editAs="oneCell">
    <xdr:from>
      <xdr:col>7</xdr:col>
      <xdr:colOff>437111</xdr:colOff>
      <xdr:row>114</xdr:row>
      <xdr:rowOff>189808</xdr:rowOff>
    </xdr:from>
    <xdr:to>
      <xdr:col>7</xdr:col>
      <xdr:colOff>1426441</xdr:colOff>
      <xdr:row>114</xdr:row>
      <xdr:rowOff>553152</xdr:rowOff>
    </xdr:to>
    <xdr:pic>
      <xdr:nvPicPr>
        <xdr:cNvPr id="220" name="Imagen 219">
          <a:extLst>
            <a:ext uri="{FF2B5EF4-FFF2-40B4-BE49-F238E27FC236}">
              <a16:creationId xmlns:a16="http://schemas.microsoft.com/office/drawing/2014/main" id="{96C081FC-6112-4917-BD89-360DFC290107}"/>
            </a:ext>
          </a:extLst>
        </xdr:cNvPr>
        <xdr:cNvPicPr>
          <a:picLocks noChangeAspect="1"/>
        </xdr:cNvPicPr>
      </xdr:nvPicPr>
      <xdr:blipFill>
        <a:blip xmlns:r="http://schemas.openxmlformats.org/officeDocument/2006/relationships" r:embed="rId34"/>
        <a:stretch>
          <a:fillRect/>
        </a:stretch>
      </xdr:blipFill>
      <xdr:spPr>
        <a:xfrm>
          <a:off x="8636231" y="102450208"/>
          <a:ext cx="982980" cy="363344"/>
        </a:xfrm>
        <a:prstGeom prst="rect">
          <a:avLst/>
        </a:prstGeom>
      </xdr:spPr>
    </xdr:pic>
    <xdr:clientData/>
  </xdr:twoCellAnchor>
  <xdr:twoCellAnchor editAs="oneCell">
    <xdr:from>
      <xdr:col>7</xdr:col>
      <xdr:colOff>457199</xdr:colOff>
      <xdr:row>115</xdr:row>
      <xdr:rowOff>1188027</xdr:rowOff>
    </xdr:from>
    <xdr:to>
      <xdr:col>7</xdr:col>
      <xdr:colOff>1539766</xdr:colOff>
      <xdr:row>115</xdr:row>
      <xdr:rowOff>1580515</xdr:rowOff>
    </xdr:to>
    <xdr:pic>
      <xdr:nvPicPr>
        <xdr:cNvPr id="221" name="Imagen 220">
          <a:extLst>
            <a:ext uri="{FF2B5EF4-FFF2-40B4-BE49-F238E27FC236}">
              <a16:creationId xmlns:a16="http://schemas.microsoft.com/office/drawing/2014/main" id="{C0C1B2BA-F990-4CA1-88E5-77F9DF36E484}"/>
            </a:ext>
          </a:extLst>
        </xdr:cNvPr>
        <xdr:cNvPicPr>
          <a:picLocks noChangeAspect="1"/>
        </xdr:cNvPicPr>
      </xdr:nvPicPr>
      <xdr:blipFill>
        <a:blip xmlns:r="http://schemas.openxmlformats.org/officeDocument/2006/relationships" r:embed="rId34"/>
        <a:stretch>
          <a:fillRect/>
        </a:stretch>
      </xdr:blipFill>
      <xdr:spPr>
        <a:xfrm>
          <a:off x="8656319" y="104179947"/>
          <a:ext cx="1080027" cy="396933"/>
        </a:xfrm>
        <a:prstGeom prst="rect">
          <a:avLst/>
        </a:prstGeom>
      </xdr:spPr>
    </xdr:pic>
    <xdr:clientData/>
  </xdr:twoCellAnchor>
  <xdr:twoCellAnchor editAs="oneCell">
    <xdr:from>
      <xdr:col>7</xdr:col>
      <xdr:colOff>419101</xdr:colOff>
      <xdr:row>116</xdr:row>
      <xdr:rowOff>96983</xdr:rowOff>
    </xdr:from>
    <xdr:to>
      <xdr:col>7</xdr:col>
      <xdr:colOff>1371601</xdr:colOff>
      <xdr:row>116</xdr:row>
      <xdr:rowOff>473628</xdr:rowOff>
    </xdr:to>
    <xdr:pic>
      <xdr:nvPicPr>
        <xdr:cNvPr id="222" name="Imagen 221">
          <a:extLst>
            <a:ext uri="{FF2B5EF4-FFF2-40B4-BE49-F238E27FC236}">
              <a16:creationId xmlns:a16="http://schemas.microsoft.com/office/drawing/2014/main" id="{362EFB81-B1A2-4110-B895-0E376A561CD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565574" y="77197528"/>
          <a:ext cx="952500" cy="363945"/>
        </a:xfrm>
        <a:prstGeom prst="rect">
          <a:avLst/>
        </a:prstGeom>
      </xdr:spPr>
    </xdr:pic>
    <xdr:clientData/>
  </xdr:twoCellAnchor>
  <xdr:twoCellAnchor editAs="oneCell">
    <xdr:from>
      <xdr:col>7</xdr:col>
      <xdr:colOff>499457</xdr:colOff>
      <xdr:row>117</xdr:row>
      <xdr:rowOff>104603</xdr:rowOff>
    </xdr:from>
    <xdr:to>
      <xdr:col>7</xdr:col>
      <xdr:colOff>1164937</xdr:colOff>
      <xdr:row>117</xdr:row>
      <xdr:rowOff>441153</xdr:rowOff>
    </xdr:to>
    <xdr:pic>
      <xdr:nvPicPr>
        <xdr:cNvPr id="223" name="Imagen 222">
          <a:extLst>
            <a:ext uri="{FF2B5EF4-FFF2-40B4-BE49-F238E27FC236}">
              <a16:creationId xmlns:a16="http://schemas.microsoft.com/office/drawing/2014/main" id="{A99ED062-E128-418F-8650-9F65AF7A2F2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645930" y="77759330"/>
          <a:ext cx="678180" cy="339090"/>
        </a:xfrm>
        <a:prstGeom prst="rect">
          <a:avLst/>
        </a:prstGeom>
      </xdr:spPr>
    </xdr:pic>
    <xdr:clientData/>
  </xdr:twoCellAnchor>
  <xdr:twoCellAnchor editAs="oneCell">
    <xdr:from>
      <xdr:col>7</xdr:col>
      <xdr:colOff>679567</xdr:colOff>
      <xdr:row>118</xdr:row>
      <xdr:rowOff>66841</xdr:rowOff>
    </xdr:from>
    <xdr:to>
      <xdr:col>7</xdr:col>
      <xdr:colOff>1083194</xdr:colOff>
      <xdr:row>118</xdr:row>
      <xdr:rowOff>474466</xdr:rowOff>
    </xdr:to>
    <xdr:pic>
      <xdr:nvPicPr>
        <xdr:cNvPr id="224" name="Imagen 223">
          <a:extLst>
            <a:ext uri="{FF2B5EF4-FFF2-40B4-BE49-F238E27FC236}">
              <a16:creationId xmlns:a16="http://schemas.microsoft.com/office/drawing/2014/main" id="{10A941E1-EF85-49ED-9968-962CB8267DDE}"/>
            </a:ext>
          </a:extLst>
        </xdr:cNvPr>
        <xdr:cNvPicPr>
          <a:picLocks noChangeAspect="1"/>
        </xdr:cNvPicPr>
      </xdr:nvPicPr>
      <xdr:blipFill>
        <a:blip xmlns:r="http://schemas.openxmlformats.org/officeDocument/2006/relationships" r:embed="rId35"/>
        <a:stretch>
          <a:fillRect/>
        </a:stretch>
      </xdr:blipFill>
      <xdr:spPr>
        <a:xfrm>
          <a:off x="8826040" y="78275750"/>
          <a:ext cx="401087" cy="422230"/>
        </a:xfrm>
        <a:prstGeom prst="rect">
          <a:avLst/>
        </a:prstGeom>
      </xdr:spPr>
    </xdr:pic>
    <xdr:clientData/>
  </xdr:twoCellAnchor>
  <xdr:twoCellAnchor editAs="oneCell">
    <xdr:from>
      <xdr:col>7</xdr:col>
      <xdr:colOff>510541</xdr:colOff>
      <xdr:row>119</xdr:row>
      <xdr:rowOff>96982</xdr:rowOff>
    </xdr:from>
    <xdr:to>
      <xdr:col>7</xdr:col>
      <xdr:colOff>1216543</xdr:colOff>
      <xdr:row>119</xdr:row>
      <xdr:rowOff>478559</xdr:rowOff>
    </xdr:to>
    <xdr:pic>
      <xdr:nvPicPr>
        <xdr:cNvPr id="225" name="Imagen 224">
          <a:extLst>
            <a:ext uri="{FF2B5EF4-FFF2-40B4-BE49-F238E27FC236}">
              <a16:creationId xmlns:a16="http://schemas.microsoft.com/office/drawing/2014/main" id="{EF734B9E-E31B-4F28-9D3C-73E5414CE797}"/>
            </a:ext>
          </a:extLst>
        </xdr:cNvPr>
        <xdr:cNvPicPr>
          <a:picLocks noChangeAspect="1"/>
        </xdr:cNvPicPr>
      </xdr:nvPicPr>
      <xdr:blipFill>
        <a:blip xmlns:r="http://schemas.openxmlformats.org/officeDocument/2006/relationships" r:embed="rId29"/>
        <a:stretch>
          <a:fillRect/>
        </a:stretch>
      </xdr:blipFill>
      <xdr:spPr>
        <a:xfrm>
          <a:off x="8657014" y="78860073"/>
          <a:ext cx="706002" cy="387927"/>
        </a:xfrm>
        <a:prstGeom prst="rect">
          <a:avLst/>
        </a:prstGeom>
      </xdr:spPr>
    </xdr:pic>
    <xdr:clientData/>
  </xdr:twoCellAnchor>
  <xdr:twoCellAnchor editAs="oneCell">
    <xdr:from>
      <xdr:col>7</xdr:col>
      <xdr:colOff>214052</xdr:colOff>
      <xdr:row>120</xdr:row>
      <xdr:rowOff>64424</xdr:rowOff>
    </xdr:from>
    <xdr:to>
      <xdr:col>7</xdr:col>
      <xdr:colOff>1466867</xdr:colOff>
      <xdr:row>120</xdr:row>
      <xdr:rowOff>457199</xdr:rowOff>
    </xdr:to>
    <xdr:pic>
      <xdr:nvPicPr>
        <xdr:cNvPr id="226" name="Imagen 225">
          <a:extLst>
            <a:ext uri="{FF2B5EF4-FFF2-40B4-BE49-F238E27FC236}">
              <a16:creationId xmlns:a16="http://schemas.microsoft.com/office/drawing/2014/main" id="{70BC370A-AE15-489F-B805-77B9B92E6173}"/>
            </a:ext>
          </a:extLst>
        </xdr:cNvPr>
        <xdr:cNvPicPr>
          <a:picLocks noChangeAspect="1"/>
        </xdr:cNvPicPr>
      </xdr:nvPicPr>
      <xdr:blipFill>
        <a:blip xmlns:r="http://schemas.openxmlformats.org/officeDocument/2006/relationships" r:embed="rId36"/>
        <a:stretch>
          <a:fillRect/>
        </a:stretch>
      </xdr:blipFill>
      <xdr:spPr>
        <a:xfrm>
          <a:off x="8360525" y="79381697"/>
          <a:ext cx="1242020" cy="392775"/>
        </a:xfrm>
        <a:prstGeom prst="rect">
          <a:avLst/>
        </a:prstGeom>
      </xdr:spPr>
    </xdr:pic>
    <xdr:clientData/>
  </xdr:twoCellAnchor>
  <xdr:twoCellAnchor editAs="oneCell">
    <xdr:from>
      <xdr:col>7</xdr:col>
      <xdr:colOff>678180</xdr:colOff>
      <xdr:row>121</xdr:row>
      <xdr:rowOff>30480</xdr:rowOff>
    </xdr:from>
    <xdr:to>
      <xdr:col>7</xdr:col>
      <xdr:colOff>1010285</xdr:colOff>
      <xdr:row>121</xdr:row>
      <xdr:rowOff>362585</xdr:rowOff>
    </xdr:to>
    <xdr:pic>
      <xdr:nvPicPr>
        <xdr:cNvPr id="227" name="Imagen 226">
          <a:extLst>
            <a:ext uri="{FF2B5EF4-FFF2-40B4-BE49-F238E27FC236}">
              <a16:creationId xmlns:a16="http://schemas.microsoft.com/office/drawing/2014/main" id="{0C0AC6DE-D79E-44FD-9528-83BFA702E35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802880" y="71132700"/>
          <a:ext cx="327660" cy="327660"/>
        </a:xfrm>
        <a:prstGeom prst="rect">
          <a:avLst/>
        </a:prstGeom>
      </xdr:spPr>
    </xdr:pic>
    <xdr:clientData/>
  </xdr:twoCellAnchor>
  <xdr:twoCellAnchor editAs="oneCell">
    <xdr:from>
      <xdr:col>7</xdr:col>
      <xdr:colOff>472439</xdr:colOff>
      <xdr:row>122</xdr:row>
      <xdr:rowOff>8898</xdr:rowOff>
    </xdr:from>
    <xdr:to>
      <xdr:col>7</xdr:col>
      <xdr:colOff>1181588</xdr:colOff>
      <xdr:row>122</xdr:row>
      <xdr:rowOff>361315</xdr:rowOff>
    </xdr:to>
    <xdr:pic>
      <xdr:nvPicPr>
        <xdr:cNvPr id="228" name="Imagen 227">
          <a:extLst>
            <a:ext uri="{FF2B5EF4-FFF2-40B4-BE49-F238E27FC236}">
              <a16:creationId xmlns:a16="http://schemas.microsoft.com/office/drawing/2014/main" id="{D5320B62-FFFD-4C0B-A1A2-8E76A86A1A24}"/>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3968" t="17756" r="8157" b="12992"/>
        <a:stretch/>
      </xdr:blipFill>
      <xdr:spPr>
        <a:xfrm>
          <a:off x="7597139" y="71476878"/>
          <a:ext cx="709149" cy="356862"/>
        </a:xfrm>
        <a:prstGeom prst="rect">
          <a:avLst/>
        </a:prstGeom>
      </xdr:spPr>
    </xdr:pic>
    <xdr:clientData/>
  </xdr:twoCellAnchor>
  <xdr:twoCellAnchor editAs="oneCell">
    <xdr:from>
      <xdr:col>7</xdr:col>
      <xdr:colOff>489759</xdr:colOff>
      <xdr:row>123</xdr:row>
      <xdr:rowOff>55418</xdr:rowOff>
    </xdr:from>
    <xdr:to>
      <xdr:col>7</xdr:col>
      <xdr:colOff>1236518</xdr:colOff>
      <xdr:row>123</xdr:row>
      <xdr:rowOff>511989</xdr:rowOff>
    </xdr:to>
    <xdr:pic>
      <xdr:nvPicPr>
        <xdr:cNvPr id="229" name="Imagen 228">
          <a:extLst>
            <a:ext uri="{FF2B5EF4-FFF2-40B4-BE49-F238E27FC236}">
              <a16:creationId xmlns:a16="http://schemas.microsoft.com/office/drawing/2014/main" id="{ABC97065-2922-4CF3-BE51-63B6E70D2E64}"/>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4087" t="19200" r="7027" b="12800"/>
        <a:stretch/>
      </xdr:blipFill>
      <xdr:spPr>
        <a:xfrm>
          <a:off x="8636232" y="81035236"/>
          <a:ext cx="746759" cy="443871"/>
        </a:xfrm>
        <a:prstGeom prst="rect">
          <a:avLst/>
        </a:prstGeom>
      </xdr:spPr>
    </xdr:pic>
    <xdr:clientData/>
  </xdr:twoCellAnchor>
  <xdr:twoCellAnchor editAs="oneCell">
    <xdr:from>
      <xdr:col>7</xdr:col>
      <xdr:colOff>380307</xdr:colOff>
      <xdr:row>124</xdr:row>
      <xdr:rowOff>77400</xdr:rowOff>
    </xdr:from>
    <xdr:to>
      <xdr:col>7</xdr:col>
      <xdr:colOff>1278455</xdr:colOff>
      <xdr:row>124</xdr:row>
      <xdr:rowOff>517584</xdr:rowOff>
    </xdr:to>
    <xdr:pic>
      <xdr:nvPicPr>
        <xdr:cNvPr id="230" name="Imagen 229">
          <a:extLst>
            <a:ext uri="{FF2B5EF4-FFF2-40B4-BE49-F238E27FC236}">
              <a16:creationId xmlns:a16="http://schemas.microsoft.com/office/drawing/2014/main" id="{DC30F54E-7C5D-4878-B4BA-7E14DE2436A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526780" y="81611400"/>
          <a:ext cx="898148" cy="449074"/>
        </a:xfrm>
        <a:prstGeom prst="rect">
          <a:avLst/>
        </a:prstGeom>
      </xdr:spPr>
    </xdr:pic>
    <xdr:clientData/>
  </xdr:twoCellAnchor>
  <xdr:twoCellAnchor editAs="oneCell">
    <xdr:from>
      <xdr:col>7</xdr:col>
      <xdr:colOff>413558</xdr:colOff>
      <xdr:row>125</xdr:row>
      <xdr:rowOff>277090</xdr:rowOff>
    </xdr:from>
    <xdr:to>
      <xdr:col>7</xdr:col>
      <xdr:colOff>1201810</xdr:colOff>
      <xdr:row>125</xdr:row>
      <xdr:rowOff>667232</xdr:rowOff>
    </xdr:to>
    <xdr:pic>
      <xdr:nvPicPr>
        <xdr:cNvPr id="231" name="Imagen 230">
          <a:extLst>
            <a:ext uri="{FF2B5EF4-FFF2-40B4-BE49-F238E27FC236}">
              <a16:creationId xmlns:a16="http://schemas.microsoft.com/office/drawing/2014/main" id="{78EAF5C0-6D9B-4FC0-8E69-7CF6553CD4B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975667" y="110309890"/>
          <a:ext cx="779997" cy="375537"/>
        </a:xfrm>
        <a:prstGeom prst="rect">
          <a:avLst/>
        </a:prstGeom>
      </xdr:spPr>
    </xdr:pic>
    <xdr:clientData/>
  </xdr:twoCellAnchor>
  <xdr:twoCellAnchor editAs="oneCell">
    <xdr:from>
      <xdr:col>7</xdr:col>
      <xdr:colOff>419100</xdr:colOff>
      <xdr:row>126</xdr:row>
      <xdr:rowOff>222635</xdr:rowOff>
    </xdr:from>
    <xdr:to>
      <xdr:col>7</xdr:col>
      <xdr:colOff>1164590</xdr:colOff>
      <xdr:row>126</xdr:row>
      <xdr:rowOff>587548</xdr:rowOff>
    </xdr:to>
    <xdr:pic>
      <xdr:nvPicPr>
        <xdr:cNvPr id="232" name="Imagen 231">
          <a:extLst>
            <a:ext uri="{FF2B5EF4-FFF2-40B4-BE49-F238E27FC236}">
              <a16:creationId xmlns:a16="http://schemas.microsoft.com/office/drawing/2014/main" id="{6ED5A07C-D1A1-4090-9CCD-FA2575388F82}"/>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9390" r="8827" b="12746"/>
        <a:stretch/>
      </xdr:blipFill>
      <xdr:spPr>
        <a:xfrm>
          <a:off x="8981209" y="110989726"/>
          <a:ext cx="754380" cy="358563"/>
        </a:xfrm>
        <a:prstGeom prst="rect">
          <a:avLst/>
        </a:prstGeom>
      </xdr:spPr>
    </xdr:pic>
    <xdr:clientData/>
  </xdr:twoCellAnchor>
  <xdr:twoCellAnchor editAs="oneCell">
    <xdr:from>
      <xdr:col>7</xdr:col>
      <xdr:colOff>619992</xdr:colOff>
      <xdr:row>127</xdr:row>
      <xdr:rowOff>147552</xdr:rowOff>
    </xdr:from>
    <xdr:to>
      <xdr:col>7</xdr:col>
      <xdr:colOff>972186</xdr:colOff>
      <xdr:row>127</xdr:row>
      <xdr:rowOff>474519</xdr:rowOff>
    </xdr:to>
    <xdr:pic>
      <xdr:nvPicPr>
        <xdr:cNvPr id="233" name="Imagen 232">
          <a:extLst>
            <a:ext uri="{FF2B5EF4-FFF2-40B4-BE49-F238E27FC236}">
              <a16:creationId xmlns:a16="http://schemas.microsoft.com/office/drawing/2014/main" id="{B7496431-44C3-47B8-8B8F-5AF9CE636BB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66465" y="83704316"/>
          <a:ext cx="347749" cy="326967"/>
        </a:xfrm>
        <a:prstGeom prst="rect">
          <a:avLst/>
        </a:prstGeom>
      </xdr:spPr>
    </xdr:pic>
    <xdr:clientData/>
  </xdr:twoCellAnchor>
  <xdr:twoCellAnchor editAs="oneCell">
    <xdr:from>
      <xdr:col>7</xdr:col>
      <xdr:colOff>632461</xdr:colOff>
      <xdr:row>128</xdr:row>
      <xdr:rowOff>182561</xdr:rowOff>
    </xdr:from>
    <xdr:to>
      <xdr:col>7</xdr:col>
      <xdr:colOff>1012191</xdr:colOff>
      <xdr:row>128</xdr:row>
      <xdr:rowOff>591327</xdr:rowOff>
    </xdr:to>
    <xdr:pic>
      <xdr:nvPicPr>
        <xdr:cNvPr id="234" name="Imagen 233">
          <a:extLst>
            <a:ext uri="{FF2B5EF4-FFF2-40B4-BE49-F238E27FC236}">
              <a16:creationId xmlns:a16="http://schemas.microsoft.com/office/drawing/2014/main" id="{5C8EEC06-D7CE-4BD7-8DDB-87EAE36F70A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598825" y="131419743"/>
          <a:ext cx="387350" cy="399241"/>
        </a:xfrm>
        <a:prstGeom prst="rect">
          <a:avLst/>
        </a:prstGeom>
      </xdr:spPr>
    </xdr:pic>
    <xdr:clientData/>
  </xdr:twoCellAnchor>
  <xdr:twoCellAnchor editAs="oneCell">
    <xdr:from>
      <xdr:col>7</xdr:col>
      <xdr:colOff>420485</xdr:colOff>
      <xdr:row>129</xdr:row>
      <xdr:rowOff>470031</xdr:rowOff>
    </xdr:from>
    <xdr:to>
      <xdr:col>7</xdr:col>
      <xdr:colOff>1164705</xdr:colOff>
      <xdr:row>129</xdr:row>
      <xdr:rowOff>854710</xdr:rowOff>
    </xdr:to>
    <xdr:pic>
      <xdr:nvPicPr>
        <xdr:cNvPr id="235" name="Imagen 234">
          <a:extLst>
            <a:ext uri="{FF2B5EF4-FFF2-40B4-BE49-F238E27FC236}">
              <a16:creationId xmlns:a16="http://schemas.microsoft.com/office/drawing/2014/main" id="{695227BA-E03A-43F0-BFB4-47591672EB76}"/>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3939" t="17627" r="8828" b="13627"/>
        <a:stretch/>
      </xdr:blipFill>
      <xdr:spPr>
        <a:xfrm>
          <a:off x="8982594" y="113620104"/>
          <a:ext cx="746760" cy="375789"/>
        </a:xfrm>
        <a:prstGeom prst="rect">
          <a:avLst/>
        </a:prstGeom>
      </xdr:spPr>
    </xdr:pic>
    <xdr:clientData/>
  </xdr:twoCellAnchor>
  <xdr:twoCellAnchor editAs="oneCell">
    <xdr:from>
      <xdr:col>7</xdr:col>
      <xdr:colOff>617220</xdr:colOff>
      <xdr:row>130</xdr:row>
      <xdr:rowOff>226202</xdr:rowOff>
    </xdr:from>
    <xdr:to>
      <xdr:col>7</xdr:col>
      <xdr:colOff>1066799</xdr:colOff>
      <xdr:row>130</xdr:row>
      <xdr:rowOff>669431</xdr:rowOff>
    </xdr:to>
    <xdr:pic>
      <xdr:nvPicPr>
        <xdr:cNvPr id="236" name="Imagen 235">
          <a:extLst>
            <a:ext uri="{FF2B5EF4-FFF2-40B4-BE49-F238E27FC236}">
              <a16:creationId xmlns:a16="http://schemas.microsoft.com/office/drawing/2014/main" id="{D8519FA9-B88A-43B4-A51A-F66D303F971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179329" y="114650893"/>
          <a:ext cx="449579" cy="449579"/>
        </a:xfrm>
        <a:prstGeom prst="rect">
          <a:avLst/>
        </a:prstGeom>
      </xdr:spPr>
    </xdr:pic>
    <xdr:clientData/>
  </xdr:twoCellAnchor>
  <xdr:twoCellAnchor editAs="oneCell">
    <xdr:from>
      <xdr:col>7</xdr:col>
      <xdr:colOff>509153</xdr:colOff>
      <xdr:row>131</xdr:row>
      <xdr:rowOff>174430</xdr:rowOff>
    </xdr:from>
    <xdr:to>
      <xdr:col>7</xdr:col>
      <xdr:colOff>1049382</xdr:colOff>
      <xdr:row>131</xdr:row>
      <xdr:rowOff>745605</xdr:rowOff>
    </xdr:to>
    <xdr:pic>
      <xdr:nvPicPr>
        <xdr:cNvPr id="237" name="Imagen 236">
          <a:extLst>
            <a:ext uri="{FF2B5EF4-FFF2-40B4-BE49-F238E27FC236}">
              <a16:creationId xmlns:a16="http://schemas.microsoft.com/office/drawing/2014/main" id="{7DAAF38C-395E-4ECC-8283-221370FA2B99}"/>
            </a:ext>
          </a:extLst>
        </xdr:cNvPr>
        <xdr:cNvPicPr>
          <a:picLocks noChangeAspect="1"/>
        </xdr:cNvPicPr>
      </xdr:nvPicPr>
      <xdr:blipFill>
        <a:blip xmlns:r="http://schemas.openxmlformats.org/officeDocument/2006/relationships" r:embed="rId35"/>
        <a:stretch>
          <a:fillRect/>
        </a:stretch>
      </xdr:blipFill>
      <xdr:spPr>
        <a:xfrm>
          <a:off x="9071262" y="115693630"/>
          <a:ext cx="540229" cy="573715"/>
        </a:xfrm>
        <a:prstGeom prst="rect">
          <a:avLst/>
        </a:prstGeom>
      </xdr:spPr>
    </xdr:pic>
    <xdr:clientData/>
  </xdr:twoCellAnchor>
  <xdr:twoCellAnchor editAs="oneCell">
    <xdr:from>
      <xdr:col>7</xdr:col>
      <xdr:colOff>435725</xdr:colOff>
      <xdr:row>132</xdr:row>
      <xdr:rowOff>314312</xdr:rowOff>
    </xdr:from>
    <xdr:to>
      <xdr:col>7</xdr:col>
      <xdr:colOff>1126605</xdr:colOff>
      <xdr:row>132</xdr:row>
      <xdr:rowOff>663562</xdr:rowOff>
    </xdr:to>
    <xdr:pic>
      <xdr:nvPicPr>
        <xdr:cNvPr id="238" name="Imagen 237">
          <a:extLst>
            <a:ext uri="{FF2B5EF4-FFF2-40B4-BE49-F238E27FC236}">
              <a16:creationId xmlns:a16="http://schemas.microsoft.com/office/drawing/2014/main" id="{3382115C-38FB-4A48-8584-5C831CC97A95}"/>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997834" y="116747912"/>
          <a:ext cx="693420" cy="346710"/>
        </a:xfrm>
        <a:prstGeom prst="rect">
          <a:avLst/>
        </a:prstGeom>
      </xdr:spPr>
    </xdr:pic>
    <xdr:clientData/>
  </xdr:twoCellAnchor>
  <xdr:twoCellAnchor editAs="oneCell">
    <xdr:from>
      <xdr:col>7</xdr:col>
      <xdr:colOff>423257</xdr:colOff>
      <xdr:row>40</xdr:row>
      <xdr:rowOff>423370</xdr:rowOff>
    </xdr:from>
    <xdr:to>
      <xdr:col>7</xdr:col>
      <xdr:colOff>1351383</xdr:colOff>
      <xdr:row>40</xdr:row>
      <xdr:rowOff>914399</xdr:rowOff>
    </xdr:to>
    <xdr:pic>
      <xdr:nvPicPr>
        <xdr:cNvPr id="239" name="Imagen 238">
          <a:extLst>
            <a:ext uri="{FF2B5EF4-FFF2-40B4-BE49-F238E27FC236}">
              <a16:creationId xmlns:a16="http://schemas.microsoft.com/office/drawing/2014/main" id="{E0DD5D19-C8BF-454D-8242-B9CD2DD6E22B}"/>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8985366" y="33341770"/>
          <a:ext cx="936381" cy="491029"/>
        </a:xfrm>
        <a:prstGeom prst="rect">
          <a:avLst/>
        </a:prstGeom>
      </xdr:spPr>
    </xdr:pic>
    <xdr:clientData/>
  </xdr:twoCellAnchor>
  <xdr:twoCellAnchor editAs="oneCell">
    <xdr:from>
      <xdr:col>7</xdr:col>
      <xdr:colOff>443346</xdr:colOff>
      <xdr:row>133</xdr:row>
      <xdr:rowOff>138636</xdr:rowOff>
    </xdr:from>
    <xdr:to>
      <xdr:col>7</xdr:col>
      <xdr:colOff>1182486</xdr:colOff>
      <xdr:row>133</xdr:row>
      <xdr:rowOff>512042</xdr:rowOff>
    </xdr:to>
    <xdr:pic>
      <xdr:nvPicPr>
        <xdr:cNvPr id="240" name="Imagen 239">
          <a:extLst>
            <a:ext uri="{FF2B5EF4-FFF2-40B4-BE49-F238E27FC236}">
              <a16:creationId xmlns:a16="http://schemas.microsoft.com/office/drawing/2014/main" id="{5333D991-3253-4E6F-8E75-1431D2BE3C8D}"/>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5838" t="19202" r="8328" b="14045"/>
        <a:stretch/>
      </xdr:blipFill>
      <xdr:spPr>
        <a:xfrm>
          <a:off x="7578437" y="77724091"/>
          <a:ext cx="739140" cy="367056"/>
        </a:xfrm>
        <a:prstGeom prst="rect">
          <a:avLst/>
        </a:prstGeom>
      </xdr:spPr>
    </xdr:pic>
    <xdr:clientData/>
  </xdr:twoCellAnchor>
  <xdr:twoCellAnchor editAs="oneCell">
    <xdr:from>
      <xdr:col>7</xdr:col>
      <xdr:colOff>314498</xdr:colOff>
      <xdr:row>134</xdr:row>
      <xdr:rowOff>381693</xdr:rowOff>
    </xdr:from>
    <xdr:to>
      <xdr:col>7</xdr:col>
      <xdr:colOff>1352088</xdr:colOff>
      <xdr:row>134</xdr:row>
      <xdr:rowOff>762972</xdr:rowOff>
    </xdr:to>
    <xdr:pic>
      <xdr:nvPicPr>
        <xdr:cNvPr id="241" name="Imagen 240">
          <a:extLst>
            <a:ext uri="{FF2B5EF4-FFF2-40B4-BE49-F238E27FC236}">
              <a16:creationId xmlns:a16="http://schemas.microsoft.com/office/drawing/2014/main" id="{637ACDB7-96D9-4AB9-AA3B-C2DA4C5639B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280862" y="141126557"/>
          <a:ext cx="1037590" cy="381279"/>
        </a:xfrm>
        <a:prstGeom prst="rect">
          <a:avLst/>
        </a:prstGeom>
      </xdr:spPr>
    </xdr:pic>
    <xdr:clientData/>
  </xdr:twoCellAnchor>
  <xdr:twoCellAnchor editAs="oneCell">
    <xdr:from>
      <xdr:col>7</xdr:col>
      <xdr:colOff>342901</xdr:colOff>
      <xdr:row>135</xdr:row>
      <xdr:rowOff>27342</xdr:rowOff>
    </xdr:from>
    <xdr:to>
      <xdr:col>7</xdr:col>
      <xdr:colOff>1350011</xdr:colOff>
      <xdr:row>135</xdr:row>
      <xdr:rowOff>402926</xdr:rowOff>
    </xdr:to>
    <xdr:pic>
      <xdr:nvPicPr>
        <xdr:cNvPr id="242" name="Imagen 241">
          <a:extLst>
            <a:ext uri="{FF2B5EF4-FFF2-40B4-BE49-F238E27FC236}">
              <a16:creationId xmlns:a16="http://schemas.microsoft.com/office/drawing/2014/main" id="{5699D4E5-2C67-46E2-8D86-9F33D89AA3B5}"/>
            </a:ext>
          </a:extLst>
        </xdr:cNvPr>
        <xdr:cNvPicPr>
          <a:picLocks noChangeAspect="1"/>
        </xdr:cNvPicPr>
      </xdr:nvPicPr>
      <xdr:blipFill>
        <a:blip xmlns:r="http://schemas.openxmlformats.org/officeDocument/2006/relationships" r:embed="rId34"/>
        <a:stretch>
          <a:fillRect/>
        </a:stretch>
      </xdr:blipFill>
      <xdr:spPr>
        <a:xfrm>
          <a:off x="7467601" y="76936002"/>
          <a:ext cx="998220" cy="366867"/>
        </a:xfrm>
        <a:prstGeom prst="rect">
          <a:avLst/>
        </a:prstGeom>
      </xdr:spPr>
    </xdr:pic>
    <xdr:clientData/>
  </xdr:twoCellAnchor>
  <xdr:twoCellAnchor editAs="oneCell">
    <xdr:from>
      <xdr:col>7</xdr:col>
      <xdr:colOff>609601</xdr:colOff>
      <xdr:row>136</xdr:row>
      <xdr:rowOff>100126</xdr:rowOff>
    </xdr:from>
    <xdr:to>
      <xdr:col>7</xdr:col>
      <xdr:colOff>974091</xdr:colOff>
      <xdr:row>136</xdr:row>
      <xdr:rowOff>473506</xdr:rowOff>
    </xdr:to>
    <xdr:pic>
      <xdr:nvPicPr>
        <xdr:cNvPr id="243" name="Imagen 242">
          <a:extLst>
            <a:ext uri="{FF2B5EF4-FFF2-40B4-BE49-F238E27FC236}">
              <a16:creationId xmlns:a16="http://schemas.microsoft.com/office/drawing/2014/main" id="{90A2B440-18C1-4EE7-BE93-64A64AB6554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56074" y="89198708"/>
          <a:ext cx="373380" cy="373380"/>
        </a:xfrm>
        <a:prstGeom prst="rect">
          <a:avLst/>
        </a:prstGeom>
      </xdr:spPr>
    </xdr:pic>
    <xdr:clientData/>
  </xdr:twoCellAnchor>
  <xdr:twoCellAnchor editAs="oneCell">
    <xdr:from>
      <xdr:col>7</xdr:col>
      <xdr:colOff>282632</xdr:colOff>
      <xdr:row>137</xdr:row>
      <xdr:rowOff>340129</xdr:rowOff>
    </xdr:from>
    <xdr:to>
      <xdr:col>7</xdr:col>
      <xdr:colOff>1162107</xdr:colOff>
      <xdr:row>137</xdr:row>
      <xdr:rowOff>744841</xdr:rowOff>
    </xdr:to>
    <xdr:pic>
      <xdr:nvPicPr>
        <xdr:cNvPr id="244" name="Imagen 243">
          <a:extLst>
            <a:ext uri="{FF2B5EF4-FFF2-40B4-BE49-F238E27FC236}">
              <a16:creationId xmlns:a16="http://schemas.microsoft.com/office/drawing/2014/main" id="{0580C250-9C46-4C57-9638-26C24FD893C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844741" y="125640638"/>
          <a:ext cx="868680" cy="404712"/>
        </a:xfrm>
        <a:prstGeom prst="rect">
          <a:avLst/>
        </a:prstGeom>
      </xdr:spPr>
    </xdr:pic>
    <xdr:clientData/>
  </xdr:twoCellAnchor>
  <xdr:twoCellAnchor editAs="oneCell">
    <xdr:from>
      <xdr:col>7</xdr:col>
      <xdr:colOff>556261</xdr:colOff>
      <xdr:row>138</xdr:row>
      <xdr:rowOff>53341</xdr:rowOff>
    </xdr:from>
    <xdr:to>
      <xdr:col>7</xdr:col>
      <xdr:colOff>1007111</xdr:colOff>
      <xdr:row>138</xdr:row>
      <xdr:rowOff>495301</xdr:rowOff>
    </xdr:to>
    <xdr:pic>
      <xdr:nvPicPr>
        <xdr:cNvPr id="245" name="Imagen 244">
          <a:extLst>
            <a:ext uri="{FF2B5EF4-FFF2-40B4-BE49-F238E27FC236}">
              <a16:creationId xmlns:a16="http://schemas.microsoft.com/office/drawing/2014/main" id="{6DC5F942-1E41-4576-8C16-1D1D5EE754E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680961" y="78150721"/>
          <a:ext cx="441960" cy="441960"/>
        </a:xfrm>
        <a:prstGeom prst="rect">
          <a:avLst/>
        </a:prstGeom>
      </xdr:spPr>
    </xdr:pic>
    <xdr:clientData/>
  </xdr:twoCellAnchor>
  <xdr:twoCellAnchor editAs="oneCell">
    <xdr:from>
      <xdr:col>7</xdr:col>
      <xdr:colOff>541021</xdr:colOff>
      <xdr:row>139</xdr:row>
      <xdr:rowOff>324570</xdr:rowOff>
    </xdr:from>
    <xdr:to>
      <xdr:col>7</xdr:col>
      <xdr:colOff>974090</xdr:colOff>
      <xdr:row>139</xdr:row>
      <xdr:rowOff>781134</xdr:rowOff>
    </xdr:to>
    <xdr:pic>
      <xdr:nvPicPr>
        <xdr:cNvPr id="246" name="Imagen 245">
          <a:extLst>
            <a:ext uri="{FF2B5EF4-FFF2-40B4-BE49-F238E27FC236}">
              <a16:creationId xmlns:a16="http://schemas.microsoft.com/office/drawing/2014/main" id="{E33AB632-9D24-48D4-AB28-1CD7C3FFE0B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103130" y="127453879"/>
          <a:ext cx="441959" cy="441959"/>
        </a:xfrm>
        <a:prstGeom prst="rect">
          <a:avLst/>
        </a:prstGeom>
      </xdr:spPr>
    </xdr:pic>
    <xdr:clientData/>
  </xdr:twoCellAnchor>
  <xdr:twoCellAnchor editAs="oneCell">
    <xdr:from>
      <xdr:col>7</xdr:col>
      <xdr:colOff>518161</xdr:colOff>
      <xdr:row>140</xdr:row>
      <xdr:rowOff>53527</xdr:rowOff>
    </xdr:from>
    <xdr:to>
      <xdr:col>7</xdr:col>
      <xdr:colOff>990601</xdr:colOff>
      <xdr:row>140</xdr:row>
      <xdr:rowOff>511811</xdr:rowOff>
    </xdr:to>
    <xdr:pic>
      <xdr:nvPicPr>
        <xdr:cNvPr id="247" name="Imagen 246">
          <a:extLst>
            <a:ext uri="{FF2B5EF4-FFF2-40B4-BE49-F238E27FC236}">
              <a16:creationId xmlns:a16="http://schemas.microsoft.com/office/drawing/2014/main" id="{21B173F6-283A-4667-BA2A-EC49694899FB}"/>
            </a:ext>
          </a:extLst>
        </xdr:cNvPr>
        <xdr:cNvPicPr>
          <a:picLocks noChangeAspect="1"/>
        </xdr:cNvPicPr>
      </xdr:nvPicPr>
      <xdr:blipFill>
        <a:blip xmlns:r="http://schemas.openxmlformats.org/officeDocument/2006/relationships" r:embed="rId37"/>
        <a:stretch>
          <a:fillRect/>
        </a:stretch>
      </xdr:blipFill>
      <xdr:spPr>
        <a:xfrm>
          <a:off x="7642861" y="79248187"/>
          <a:ext cx="472440" cy="449394"/>
        </a:xfrm>
        <a:prstGeom prst="rect">
          <a:avLst/>
        </a:prstGeom>
      </xdr:spPr>
    </xdr:pic>
    <xdr:clientData/>
  </xdr:twoCellAnchor>
  <xdr:twoCellAnchor editAs="oneCell">
    <xdr:from>
      <xdr:col>7</xdr:col>
      <xdr:colOff>590205</xdr:colOff>
      <xdr:row>141</xdr:row>
      <xdr:rowOff>136215</xdr:rowOff>
    </xdr:from>
    <xdr:to>
      <xdr:col>7</xdr:col>
      <xdr:colOff>970569</xdr:colOff>
      <xdr:row>141</xdr:row>
      <xdr:rowOff>512227</xdr:rowOff>
    </xdr:to>
    <xdr:pic>
      <xdr:nvPicPr>
        <xdr:cNvPr id="248" name="Imagen 247">
          <a:extLst>
            <a:ext uri="{FF2B5EF4-FFF2-40B4-BE49-F238E27FC236}">
              <a16:creationId xmlns:a16="http://schemas.microsoft.com/office/drawing/2014/main" id="{4E4E389E-A37C-4443-8725-6F4D59D9BAE1}"/>
            </a:ext>
          </a:extLst>
        </xdr:cNvPr>
        <xdr:cNvPicPr>
          <a:picLocks noChangeAspect="1"/>
        </xdr:cNvPicPr>
      </xdr:nvPicPr>
      <xdr:blipFill>
        <a:blip xmlns:r="http://schemas.openxmlformats.org/officeDocument/2006/relationships" r:embed="rId37"/>
        <a:stretch>
          <a:fillRect/>
        </a:stretch>
      </xdr:blipFill>
      <xdr:spPr>
        <a:xfrm>
          <a:off x="8736678" y="92005706"/>
          <a:ext cx="388619" cy="369662"/>
        </a:xfrm>
        <a:prstGeom prst="rect">
          <a:avLst/>
        </a:prstGeom>
      </xdr:spPr>
    </xdr:pic>
    <xdr:clientData/>
  </xdr:twoCellAnchor>
  <xdr:twoCellAnchor editAs="oneCell">
    <xdr:from>
      <xdr:col>7</xdr:col>
      <xdr:colOff>441268</xdr:colOff>
      <xdr:row>142</xdr:row>
      <xdr:rowOff>60941</xdr:rowOff>
    </xdr:from>
    <xdr:to>
      <xdr:col>7</xdr:col>
      <xdr:colOff>1200093</xdr:colOff>
      <xdr:row>142</xdr:row>
      <xdr:rowOff>437358</xdr:rowOff>
    </xdr:to>
    <xdr:pic>
      <xdr:nvPicPr>
        <xdr:cNvPr id="249" name="Imagen 248">
          <a:extLst>
            <a:ext uri="{FF2B5EF4-FFF2-40B4-BE49-F238E27FC236}">
              <a16:creationId xmlns:a16="http://schemas.microsoft.com/office/drawing/2014/main" id="{F2C8C422-A1A4-4867-8A89-63C848E04620}"/>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2604" t="17333" r="7548" b="11295"/>
        <a:stretch/>
      </xdr:blipFill>
      <xdr:spPr>
        <a:xfrm>
          <a:off x="8587741" y="92484614"/>
          <a:ext cx="769620" cy="380862"/>
        </a:xfrm>
        <a:prstGeom prst="rect">
          <a:avLst/>
        </a:prstGeom>
      </xdr:spPr>
    </xdr:pic>
    <xdr:clientData/>
  </xdr:twoCellAnchor>
  <xdr:twoCellAnchor editAs="oneCell">
    <xdr:from>
      <xdr:col>7</xdr:col>
      <xdr:colOff>331123</xdr:colOff>
      <xdr:row>143</xdr:row>
      <xdr:rowOff>86251</xdr:rowOff>
    </xdr:from>
    <xdr:to>
      <xdr:col>7</xdr:col>
      <xdr:colOff>1354743</xdr:colOff>
      <xdr:row>143</xdr:row>
      <xdr:rowOff>477106</xdr:rowOff>
    </xdr:to>
    <xdr:pic>
      <xdr:nvPicPr>
        <xdr:cNvPr id="250" name="Imagen 249">
          <a:extLst>
            <a:ext uri="{FF2B5EF4-FFF2-40B4-BE49-F238E27FC236}">
              <a16:creationId xmlns:a16="http://schemas.microsoft.com/office/drawing/2014/main" id="{E652FCAF-4F5C-4CB4-9364-8DD3571B6FCD}"/>
            </a:ext>
          </a:extLst>
        </xdr:cNvPr>
        <xdr:cNvPicPr>
          <a:picLocks noChangeAspect="1"/>
        </xdr:cNvPicPr>
      </xdr:nvPicPr>
      <xdr:blipFill>
        <a:blip xmlns:r="http://schemas.openxmlformats.org/officeDocument/2006/relationships" r:embed="rId34"/>
        <a:stretch>
          <a:fillRect/>
        </a:stretch>
      </xdr:blipFill>
      <xdr:spPr>
        <a:xfrm>
          <a:off x="8477596" y="93064106"/>
          <a:ext cx="1036320" cy="386410"/>
        </a:xfrm>
        <a:prstGeom prst="rect">
          <a:avLst/>
        </a:prstGeom>
      </xdr:spPr>
    </xdr:pic>
    <xdr:clientData/>
  </xdr:twoCellAnchor>
  <xdr:twoCellAnchor editAs="oneCell">
    <xdr:from>
      <xdr:col>7</xdr:col>
      <xdr:colOff>594360</xdr:colOff>
      <xdr:row>144</xdr:row>
      <xdr:rowOff>91575</xdr:rowOff>
    </xdr:from>
    <xdr:to>
      <xdr:col>7</xdr:col>
      <xdr:colOff>970915</xdr:colOff>
      <xdr:row>144</xdr:row>
      <xdr:rowOff>441289</xdr:rowOff>
    </xdr:to>
    <xdr:pic>
      <xdr:nvPicPr>
        <xdr:cNvPr id="251" name="Imagen 250">
          <a:extLst>
            <a:ext uri="{FF2B5EF4-FFF2-40B4-BE49-F238E27FC236}">
              <a16:creationId xmlns:a16="http://schemas.microsoft.com/office/drawing/2014/main" id="{A1975FE8-13B0-47E8-A90E-3F71923F0D16}"/>
            </a:ext>
          </a:extLst>
        </xdr:cNvPr>
        <xdr:cNvPicPr>
          <a:picLocks noChangeAspect="1"/>
        </xdr:cNvPicPr>
      </xdr:nvPicPr>
      <xdr:blipFill>
        <a:blip xmlns:r="http://schemas.openxmlformats.org/officeDocument/2006/relationships" r:embed="rId37"/>
        <a:stretch>
          <a:fillRect/>
        </a:stretch>
      </xdr:blipFill>
      <xdr:spPr>
        <a:xfrm>
          <a:off x="8740833" y="93623611"/>
          <a:ext cx="381000" cy="362414"/>
        </a:xfrm>
        <a:prstGeom prst="rect">
          <a:avLst/>
        </a:prstGeom>
      </xdr:spPr>
    </xdr:pic>
    <xdr:clientData/>
  </xdr:twoCellAnchor>
  <xdr:twoCellAnchor editAs="oneCell">
    <xdr:from>
      <xdr:col>7</xdr:col>
      <xdr:colOff>590897</xdr:colOff>
      <xdr:row>145</xdr:row>
      <xdr:rowOff>66183</xdr:rowOff>
    </xdr:from>
    <xdr:to>
      <xdr:col>7</xdr:col>
      <xdr:colOff>933162</xdr:colOff>
      <xdr:row>145</xdr:row>
      <xdr:rowOff>416703</xdr:rowOff>
    </xdr:to>
    <xdr:pic>
      <xdr:nvPicPr>
        <xdr:cNvPr id="252" name="Imagen 251">
          <a:extLst>
            <a:ext uri="{FF2B5EF4-FFF2-40B4-BE49-F238E27FC236}">
              <a16:creationId xmlns:a16="http://schemas.microsoft.com/office/drawing/2014/main" id="{E2CA0EF6-F944-42C7-BE28-7FD7DFC97BD9}"/>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37370" y="94152401"/>
          <a:ext cx="350520" cy="350520"/>
        </a:xfrm>
        <a:prstGeom prst="rect">
          <a:avLst/>
        </a:prstGeom>
      </xdr:spPr>
    </xdr:pic>
    <xdr:clientData/>
  </xdr:twoCellAnchor>
  <xdr:twoCellAnchor editAs="oneCell">
    <xdr:from>
      <xdr:col>7</xdr:col>
      <xdr:colOff>624841</xdr:colOff>
      <xdr:row>146</xdr:row>
      <xdr:rowOff>24619</xdr:rowOff>
    </xdr:from>
    <xdr:to>
      <xdr:col>7</xdr:col>
      <xdr:colOff>970916</xdr:colOff>
      <xdr:row>146</xdr:row>
      <xdr:rowOff>360534</xdr:rowOff>
    </xdr:to>
    <xdr:pic>
      <xdr:nvPicPr>
        <xdr:cNvPr id="253" name="Imagen 252">
          <a:extLst>
            <a:ext uri="{FF2B5EF4-FFF2-40B4-BE49-F238E27FC236}">
              <a16:creationId xmlns:a16="http://schemas.microsoft.com/office/drawing/2014/main" id="{2A188DD5-DA64-4A41-90DD-7A9CBDC56DEA}"/>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749541" y="81749119"/>
          <a:ext cx="350520" cy="350520"/>
        </a:xfrm>
        <a:prstGeom prst="rect">
          <a:avLst/>
        </a:prstGeom>
      </xdr:spPr>
    </xdr:pic>
    <xdr:clientData/>
  </xdr:twoCellAnchor>
  <xdr:twoCellAnchor editAs="oneCell">
    <xdr:from>
      <xdr:col>7</xdr:col>
      <xdr:colOff>373381</xdr:colOff>
      <xdr:row>147</xdr:row>
      <xdr:rowOff>251460</xdr:rowOff>
    </xdr:from>
    <xdr:to>
      <xdr:col>7</xdr:col>
      <xdr:colOff>1273811</xdr:colOff>
      <xdr:row>147</xdr:row>
      <xdr:rowOff>704965</xdr:rowOff>
    </xdr:to>
    <xdr:pic>
      <xdr:nvPicPr>
        <xdr:cNvPr id="254" name="Imagen 253">
          <a:extLst>
            <a:ext uri="{FF2B5EF4-FFF2-40B4-BE49-F238E27FC236}">
              <a16:creationId xmlns:a16="http://schemas.microsoft.com/office/drawing/2014/main" id="{70ACF1A6-D723-4D6E-90B1-A628E0C50F9E}"/>
            </a:ext>
          </a:extLst>
        </xdr:cNvPr>
        <xdr:cNvPicPr>
          <a:picLocks noChangeAspect="1"/>
        </xdr:cNvPicPr>
      </xdr:nvPicPr>
      <xdr:blipFill>
        <a:blip xmlns:r="http://schemas.openxmlformats.org/officeDocument/2006/relationships" r:embed="rId29"/>
        <a:stretch>
          <a:fillRect/>
        </a:stretch>
      </xdr:blipFill>
      <xdr:spPr>
        <a:xfrm>
          <a:off x="7498081" y="82372200"/>
          <a:ext cx="891540" cy="445250"/>
        </a:xfrm>
        <a:prstGeom prst="rect">
          <a:avLst/>
        </a:prstGeom>
      </xdr:spPr>
    </xdr:pic>
    <xdr:clientData/>
  </xdr:twoCellAnchor>
  <xdr:twoCellAnchor editAs="oneCell">
    <xdr:from>
      <xdr:col>7</xdr:col>
      <xdr:colOff>597131</xdr:colOff>
      <xdr:row>148</xdr:row>
      <xdr:rowOff>89074</xdr:rowOff>
    </xdr:from>
    <xdr:to>
      <xdr:col>7</xdr:col>
      <xdr:colOff>971146</xdr:colOff>
      <xdr:row>148</xdr:row>
      <xdr:rowOff>495769</xdr:rowOff>
    </xdr:to>
    <xdr:pic>
      <xdr:nvPicPr>
        <xdr:cNvPr id="255" name="Imagen 254">
          <a:extLst>
            <a:ext uri="{FF2B5EF4-FFF2-40B4-BE49-F238E27FC236}">
              <a16:creationId xmlns:a16="http://schemas.microsoft.com/office/drawing/2014/main" id="{4638BA09-B6DF-4443-9D6A-1C400BCEF2EC}"/>
            </a:ext>
          </a:extLst>
        </xdr:cNvPr>
        <xdr:cNvPicPr>
          <a:picLocks noChangeAspect="1"/>
        </xdr:cNvPicPr>
      </xdr:nvPicPr>
      <xdr:blipFill>
        <a:blip xmlns:r="http://schemas.openxmlformats.org/officeDocument/2006/relationships" r:embed="rId35"/>
        <a:stretch>
          <a:fillRect/>
        </a:stretch>
      </xdr:blipFill>
      <xdr:spPr>
        <a:xfrm>
          <a:off x="8743604" y="96198056"/>
          <a:ext cx="388620" cy="406695"/>
        </a:xfrm>
        <a:prstGeom prst="rect">
          <a:avLst/>
        </a:prstGeom>
      </xdr:spPr>
    </xdr:pic>
    <xdr:clientData/>
  </xdr:twoCellAnchor>
  <xdr:twoCellAnchor editAs="oneCell">
    <xdr:from>
      <xdr:col>7</xdr:col>
      <xdr:colOff>449580</xdr:colOff>
      <xdr:row>37</xdr:row>
      <xdr:rowOff>142718</xdr:rowOff>
    </xdr:from>
    <xdr:to>
      <xdr:col>7</xdr:col>
      <xdr:colOff>1161415</xdr:colOff>
      <xdr:row>37</xdr:row>
      <xdr:rowOff>516430</xdr:rowOff>
    </xdr:to>
    <xdr:pic>
      <xdr:nvPicPr>
        <xdr:cNvPr id="256" name="Imagen 255">
          <a:extLst>
            <a:ext uri="{FF2B5EF4-FFF2-40B4-BE49-F238E27FC236}">
              <a16:creationId xmlns:a16="http://schemas.microsoft.com/office/drawing/2014/main" id="{2B86BC5C-D1D1-45C2-AF3A-7B0755D46FB4}"/>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7584671" y="85140354"/>
          <a:ext cx="716280" cy="373712"/>
        </a:xfrm>
        <a:prstGeom prst="rect">
          <a:avLst/>
        </a:prstGeom>
      </xdr:spPr>
    </xdr:pic>
    <xdr:clientData/>
  </xdr:twoCellAnchor>
  <xdr:twoCellAnchor editAs="oneCell">
    <xdr:from>
      <xdr:col>7</xdr:col>
      <xdr:colOff>617221</xdr:colOff>
      <xdr:row>149</xdr:row>
      <xdr:rowOff>134070</xdr:rowOff>
    </xdr:from>
    <xdr:to>
      <xdr:col>7</xdr:col>
      <xdr:colOff>1009016</xdr:colOff>
      <xdr:row>149</xdr:row>
      <xdr:rowOff>530310</xdr:rowOff>
    </xdr:to>
    <xdr:pic>
      <xdr:nvPicPr>
        <xdr:cNvPr id="257" name="Imagen 256">
          <a:extLst>
            <a:ext uri="{FF2B5EF4-FFF2-40B4-BE49-F238E27FC236}">
              <a16:creationId xmlns:a16="http://schemas.microsoft.com/office/drawing/2014/main" id="{7787681D-7180-49A2-85E8-88ED5776CEE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63694" y="97351415"/>
          <a:ext cx="396240" cy="396240"/>
        </a:xfrm>
        <a:prstGeom prst="rect">
          <a:avLst/>
        </a:prstGeom>
      </xdr:spPr>
    </xdr:pic>
    <xdr:clientData/>
  </xdr:twoCellAnchor>
  <xdr:twoCellAnchor editAs="oneCell">
    <xdr:from>
      <xdr:col>7</xdr:col>
      <xdr:colOff>420487</xdr:colOff>
      <xdr:row>52</xdr:row>
      <xdr:rowOff>203316</xdr:rowOff>
    </xdr:from>
    <xdr:to>
      <xdr:col>7</xdr:col>
      <xdr:colOff>1350241</xdr:colOff>
      <xdr:row>52</xdr:row>
      <xdr:rowOff>665018</xdr:rowOff>
    </xdr:to>
    <xdr:pic>
      <xdr:nvPicPr>
        <xdr:cNvPr id="258" name="Imagen 257">
          <a:extLst>
            <a:ext uri="{FF2B5EF4-FFF2-40B4-BE49-F238E27FC236}">
              <a16:creationId xmlns:a16="http://schemas.microsoft.com/office/drawing/2014/main" id="{195EA22A-DD54-409B-BCAC-C30E6E4B717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8982596" y="46228116"/>
          <a:ext cx="923404" cy="461702"/>
        </a:xfrm>
        <a:prstGeom prst="rect">
          <a:avLst/>
        </a:prstGeom>
      </xdr:spPr>
    </xdr:pic>
    <xdr:clientData/>
  </xdr:twoCellAnchor>
  <xdr:twoCellAnchor editAs="oneCell">
    <xdr:from>
      <xdr:col>7</xdr:col>
      <xdr:colOff>632460</xdr:colOff>
      <xdr:row>150</xdr:row>
      <xdr:rowOff>72631</xdr:rowOff>
    </xdr:from>
    <xdr:to>
      <xdr:col>7</xdr:col>
      <xdr:colOff>1010284</xdr:colOff>
      <xdr:row>150</xdr:row>
      <xdr:rowOff>437755</xdr:rowOff>
    </xdr:to>
    <xdr:pic>
      <xdr:nvPicPr>
        <xdr:cNvPr id="259" name="Imagen 258">
          <a:extLst>
            <a:ext uri="{FF2B5EF4-FFF2-40B4-BE49-F238E27FC236}">
              <a16:creationId xmlns:a16="http://schemas.microsoft.com/office/drawing/2014/main" id="{EC958C69-8F7D-4A2B-85D4-EA81A60CB78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778933" y="98578449"/>
          <a:ext cx="373379" cy="373379"/>
        </a:xfrm>
        <a:prstGeom prst="rect">
          <a:avLst/>
        </a:prstGeom>
      </xdr:spPr>
    </xdr:pic>
    <xdr:clientData/>
  </xdr:twoCellAnchor>
  <xdr:twoCellAnchor editAs="oneCell">
    <xdr:from>
      <xdr:col>7</xdr:col>
      <xdr:colOff>632461</xdr:colOff>
      <xdr:row>151</xdr:row>
      <xdr:rowOff>73803</xdr:rowOff>
    </xdr:from>
    <xdr:to>
      <xdr:col>7</xdr:col>
      <xdr:colOff>990601</xdr:colOff>
      <xdr:row>151</xdr:row>
      <xdr:rowOff>434483</xdr:rowOff>
    </xdr:to>
    <xdr:pic>
      <xdr:nvPicPr>
        <xdr:cNvPr id="260" name="Imagen 259">
          <a:extLst>
            <a:ext uri="{FF2B5EF4-FFF2-40B4-BE49-F238E27FC236}">
              <a16:creationId xmlns:a16="http://schemas.microsoft.com/office/drawing/2014/main" id="{EEEC5F40-E6F3-459B-8C37-8D05EBBD589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78934" y="99133803"/>
          <a:ext cx="358140" cy="358140"/>
        </a:xfrm>
        <a:prstGeom prst="rect">
          <a:avLst/>
        </a:prstGeom>
      </xdr:spPr>
    </xdr:pic>
    <xdr:clientData/>
  </xdr:twoCellAnchor>
  <xdr:twoCellAnchor editAs="oneCell">
    <xdr:from>
      <xdr:col>7</xdr:col>
      <xdr:colOff>632461</xdr:colOff>
      <xdr:row>152</xdr:row>
      <xdr:rowOff>66182</xdr:rowOff>
    </xdr:from>
    <xdr:to>
      <xdr:col>7</xdr:col>
      <xdr:colOff>990601</xdr:colOff>
      <xdr:row>152</xdr:row>
      <xdr:rowOff>438927</xdr:rowOff>
    </xdr:to>
    <xdr:pic>
      <xdr:nvPicPr>
        <xdr:cNvPr id="261" name="Imagen 260">
          <a:extLst>
            <a:ext uri="{FF2B5EF4-FFF2-40B4-BE49-F238E27FC236}">
              <a16:creationId xmlns:a16="http://schemas.microsoft.com/office/drawing/2014/main" id="{A3EDE99A-265F-4908-913A-9D7D0CE288A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78934" y="99680364"/>
          <a:ext cx="358140" cy="358140"/>
        </a:xfrm>
        <a:prstGeom prst="rect">
          <a:avLst/>
        </a:prstGeom>
      </xdr:spPr>
    </xdr:pic>
    <xdr:clientData/>
  </xdr:twoCellAnchor>
  <xdr:twoCellAnchor editAs="oneCell">
    <xdr:from>
      <xdr:col>7</xdr:col>
      <xdr:colOff>610987</xdr:colOff>
      <xdr:row>153</xdr:row>
      <xdr:rowOff>93892</xdr:rowOff>
    </xdr:from>
    <xdr:to>
      <xdr:col>7</xdr:col>
      <xdr:colOff>969127</xdr:colOff>
      <xdr:row>153</xdr:row>
      <xdr:rowOff>437427</xdr:rowOff>
    </xdr:to>
    <xdr:pic>
      <xdr:nvPicPr>
        <xdr:cNvPr id="262" name="Imagen 261">
          <a:extLst>
            <a:ext uri="{FF2B5EF4-FFF2-40B4-BE49-F238E27FC236}">
              <a16:creationId xmlns:a16="http://schemas.microsoft.com/office/drawing/2014/main" id="{9ED8D3F9-83F9-4B5F-A3DC-50308767ABD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757460" y="100262256"/>
          <a:ext cx="358140" cy="358140"/>
        </a:xfrm>
        <a:prstGeom prst="rect">
          <a:avLst/>
        </a:prstGeom>
      </xdr:spPr>
    </xdr:pic>
    <xdr:clientData/>
  </xdr:twoCellAnchor>
  <xdr:twoCellAnchor editAs="oneCell">
    <xdr:from>
      <xdr:col>7</xdr:col>
      <xdr:colOff>457200</xdr:colOff>
      <xdr:row>154</xdr:row>
      <xdr:rowOff>34263</xdr:rowOff>
    </xdr:from>
    <xdr:to>
      <xdr:col>7</xdr:col>
      <xdr:colOff>1164590</xdr:colOff>
      <xdr:row>154</xdr:row>
      <xdr:rowOff>402386</xdr:rowOff>
    </xdr:to>
    <xdr:pic>
      <xdr:nvPicPr>
        <xdr:cNvPr id="263" name="Imagen 262">
          <a:extLst>
            <a:ext uri="{FF2B5EF4-FFF2-40B4-BE49-F238E27FC236}">
              <a16:creationId xmlns:a16="http://schemas.microsoft.com/office/drawing/2014/main" id="{2046284F-A949-4A4E-8809-1E3C4A9CD472}"/>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15294" r="6896" b="9254"/>
        <a:stretch/>
      </xdr:blipFill>
      <xdr:spPr>
        <a:xfrm>
          <a:off x="7581900" y="86361243"/>
          <a:ext cx="716280" cy="370663"/>
        </a:xfrm>
        <a:prstGeom prst="rect">
          <a:avLst/>
        </a:prstGeom>
      </xdr:spPr>
    </xdr:pic>
    <xdr:clientData/>
  </xdr:twoCellAnchor>
  <xdr:twoCellAnchor editAs="oneCell">
    <xdr:from>
      <xdr:col>7</xdr:col>
      <xdr:colOff>464821</xdr:colOff>
      <xdr:row>155</xdr:row>
      <xdr:rowOff>32239</xdr:rowOff>
    </xdr:from>
    <xdr:to>
      <xdr:col>7</xdr:col>
      <xdr:colOff>1161416</xdr:colOff>
      <xdr:row>155</xdr:row>
      <xdr:rowOff>382759</xdr:rowOff>
    </xdr:to>
    <xdr:pic>
      <xdr:nvPicPr>
        <xdr:cNvPr id="264" name="Imagen 263">
          <a:extLst>
            <a:ext uri="{FF2B5EF4-FFF2-40B4-BE49-F238E27FC236}">
              <a16:creationId xmlns:a16="http://schemas.microsoft.com/office/drawing/2014/main" id="{B358AA95-354C-4BD8-AC78-F5EF41C71C7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89521" y="86770699"/>
          <a:ext cx="701040" cy="350520"/>
        </a:xfrm>
        <a:prstGeom prst="rect">
          <a:avLst/>
        </a:prstGeom>
      </xdr:spPr>
    </xdr:pic>
    <xdr:clientData/>
  </xdr:twoCellAnchor>
  <xdr:twoCellAnchor editAs="oneCell">
    <xdr:from>
      <xdr:col>7</xdr:col>
      <xdr:colOff>676795</xdr:colOff>
      <xdr:row>156</xdr:row>
      <xdr:rowOff>251544</xdr:rowOff>
    </xdr:from>
    <xdr:to>
      <xdr:col>7</xdr:col>
      <xdr:colOff>1122219</xdr:colOff>
      <xdr:row>156</xdr:row>
      <xdr:rowOff>703080</xdr:rowOff>
    </xdr:to>
    <xdr:pic>
      <xdr:nvPicPr>
        <xdr:cNvPr id="265" name="Imagen 264">
          <a:extLst>
            <a:ext uri="{FF2B5EF4-FFF2-40B4-BE49-F238E27FC236}">
              <a16:creationId xmlns:a16="http://schemas.microsoft.com/office/drawing/2014/main" id="{D01DCA11-D00B-4F6F-9CC8-56AAE422B8BE}"/>
            </a:ext>
          </a:extLst>
        </xdr:cNvPr>
        <xdr:cNvPicPr>
          <a:picLocks noChangeAspect="1"/>
        </xdr:cNvPicPr>
      </xdr:nvPicPr>
      <xdr:blipFill>
        <a:blip xmlns:r="http://schemas.openxmlformats.org/officeDocument/2006/relationships" r:embed="rId35"/>
        <a:stretch>
          <a:fillRect/>
        </a:stretch>
      </xdr:blipFill>
      <xdr:spPr>
        <a:xfrm>
          <a:off x="9238904" y="104119071"/>
          <a:ext cx="445424" cy="466141"/>
        </a:xfrm>
        <a:prstGeom prst="rect">
          <a:avLst/>
        </a:prstGeom>
      </xdr:spPr>
    </xdr:pic>
    <xdr:clientData/>
  </xdr:twoCellAnchor>
  <xdr:twoCellAnchor editAs="oneCell">
    <xdr:from>
      <xdr:col>7</xdr:col>
      <xdr:colOff>446116</xdr:colOff>
      <xdr:row>157</xdr:row>
      <xdr:rowOff>370611</xdr:rowOff>
    </xdr:from>
    <xdr:to>
      <xdr:col>7</xdr:col>
      <xdr:colOff>1350241</xdr:colOff>
      <xdr:row>157</xdr:row>
      <xdr:rowOff>859697</xdr:rowOff>
    </xdr:to>
    <xdr:pic>
      <xdr:nvPicPr>
        <xdr:cNvPr id="266" name="Imagen 265">
          <a:extLst>
            <a:ext uri="{FF2B5EF4-FFF2-40B4-BE49-F238E27FC236}">
              <a16:creationId xmlns:a16="http://schemas.microsoft.com/office/drawing/2014/main" id="{6BF03E8A-748C-4919-83EF-2E8284C014A8}"/>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3907" t="15295" r="8848" b="10273"/>
        <a:stretch/>
      </xdr:blipFill>
      <xdr:spPr>
        <a:xfrm>
          <a:off x="8592589" y="103115920"/>
          <a:ext cx="897775" cy="489086"/>
        </a:xfrm>
        <a:prstGeom prst="rect">
          <a:avLst/>
        </a:prstGeom>
      </xdr:spPr>
    </xdr:pic>
    <xdr:clientData/>
  </xdr:twoCellAnchor>
  <xdr:twoCellAnchor editAs="oneCell">
    <xdr:from>
      <xdr:col>7</xdr:col>
      <xdr:colOff>471054</xdr:colOff>
      <xdr:row>45</xdr:row>
      <xdr:rowOff>249381</xdr:rowOff>
    </xdr:from>
    <xdr:to>
      <xdr:col>7</xdr:col>
      <xdr:colOff>1278844</xdr:colOff>
      <xdr:row>45</xdr:row>
      <xdr:rowOff>705984</xdr:rowOff>
    </xdr:to>
    <xdr:pic>
      <xdr:nvPicPr>
        <xdr:cNvPr id="143" name="Imagen 142">
          <a:extLst>
            <a:ext uri="{FF2B5EF4-FFF2-40B4-BE49-F238E27FC236}">
              <a16:creationId xmlns:a16="http://schemas.microsoft.com/office/drawing/2014/main" id="{F547AAB7-41B2-4E09-BF57-E776F2ECEB00}"/>
            </a:ext>
          </a:extLst>
        </xdr:cNvPr>
        <xdr:cNvPicPr>
          <a:picLocks noChangeAspect="1"/>
        </xdr:cNvPicPr>
      </xdr:nvPicPr>
      <xdr:blipFill>
        <a:blip xmlns:r="http://schemas.openxmlformats.org/officeDocument/2006/relationships" r:embed="rId38"/>
        <a:stretch>
          <a:fillRect/>
        </a:stretch>
      </xdr:blipFill>
      <xdr:spPr>
        <a:xfrm>
          <a:off x="8617527" y="33292472"/>
          <a:ext cx="807790" cy="441998"/>
        </a:xfrm>
        <a:prstGeom prst="rect">
          <a:avLst/>
        </a:prstGeom>
      </xdr:spPr>
    </xdr:pic>
    <xdr:clientData/>
  </xdr:twoCellAnchor>
  <xdr:twoCellAnchor editAs="oneCell">
    <xdr:from>
      <xdr:col>7</xdr:col>
      <xdr:colOff>138545</xdr:colOff>
      <xdr:row>48</xdr:row>
      <xdr:rowOff>626278</xdr:rowOff>
    </xdr:from>
    <xdr:to>
      <xdr:col>7</xdr:col>
      <xdr:colOff>1692794</xdr:colOff>
      <xdr:row>48</xdr:row>
      <xdr:rowOff>1049215</xdr:rowOff>
    </xdr:to>
    <xdr:pic>
      <xdr:nvPicPr>
        <xdr:cNvPr id="152" name="Imagen 151">
          <a:extLst>
            <a:ext uri="{FF2B5EF4-FFF2-40B4-BE49-F238E27FC236}">
              <a16:creationId xmlns:a16="http://schemas.microsoft.com/office/drawing/2014/main" id="{14511630-B191-4ED4-81BA-623EBBDB9ADF}"/>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700654" y="42259187"/>
          <a:ext cx="1551709" cy="408332"/>
        </a:xfrm>
        <a:prstGeom prst="rect">
          <a:avLst/>
        </a:prstGeom>
      </xdr:spPr>
    </xdr:pic>
    <xdr:clientData/>
  </xdr:twoCellAnchor>
  <xdr:twoCellAnchor editAs="oneCell">
    <xdr:from>
      <xdr:col>7</xdr:col>
      <xdr:colOff>429491</xdr:colOff>
      <xdr:row>50</xdr:row>
      <xdr:rowOff>221673</xdr:rowOff>
    </xdr:from>
    <xdr:to>
      <xdr:col>7</xdr:col>
      <xdr:colOff>1352146</xdr:colOff>
      <xdr:row>50</xdr:row>
      <xdr:rowOff>726351</xdr:rowOff>
    </xdr:to>
    <xdr:pic>
      <xdr:nvPicPr>
        <xdr:cNvPr id="162" name="Imagen 161">
          <a:extLst>
            <a:ext uri="{FF2B5EF4-FFF2-40B4-BE49-F238E27FC236}">
              <a16:creationId xmlns:a16="http://schemas.microsoft.com/office/drawing/2014/main" id="{99EA1151-35FE-4822-8699-C55FB98CA8D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575964" y="36936218"/>
          <a:ext cx="937260" cy="504678"/>
        </a:xfrm>
        <a:prstGeom prst="rect">
          <a:avLst/>
        </a:prstGeom>
      </xdr:spPr>
    </xdr:pic>
    <xdr:clientData/>
  </xdr:twoCellAnchor>
  <xdr:twoCellAnchor editAs="oneCell">
    <xdr:from>
      <xdr:col>7</xdr:col>
      <xdr:colOff>180109</xdr:colOff>
      <xdr:row>54</xdr:row>
      <xdr:rowOff>623454</xdr:rowOff>
    </xdr:from>
    <xdr:to>
      <xdr:col>7</xdr:col>
      <xdr:colOff>1597403</xdr:colOff>
      <xdr:row>54</xdr:row>
      <xdr:rowOff>1088158</xdr:rowOff>
    </xdr:to>
    <xdr:pic>
      <xdr:nvPicPr>
        <xdr:cNvPr id="219" name="Imagen 218">
          <a:extLst>
            <a:ext uri="{FF2B5EF4-FFF2-40B4-BE49-F238E27FC236}">
              <a16:creationId xmlns:a16="http://schemas.microsoft.com/office/drawing/2014/main" id="{B03EE42D-2FA5-4C7B-BD29-23323CC430D3}"/>
            </a:ext>
          </a:extLst>
        </xdr:cNvPr>
        <xdr:cNvPicPr>
          <a:picLocks noChangeAspect="1"/>
        </xdr:cNvPicPr>
      </xdr:nvPicPr>
      <xdr:blipFill>
        <a:blip xmlns:r="http://schemas.openxmlformats.org/officeDocument/2006/relationships" r:embed="rId34"/>
        <a:stretch>
          <a:fillRect/>
        </a:stretch>
      </xdr:blipFill>
      <xdr:spPr>
        <a:xfrm>
          <a:off x="8742218" y="46717527"/>
          <a:ext cx="1417294" cy="471054"/>
        </a:xfrm>
        <a:prstGeom prst="rect">
          <a:avLst/>
        </a:prstGeom>
      </xdr:spPr>
    </xdr:pic>
    <xdr:clientData/>
  </xdr:twoCellAnchor>
  <xdr:twoCellAnchor editAs="oneCell">
    <xdr:from>
      <xdr:col>7</xdr:col>
      <xdr:colOff>249382</xdr:colOff>
      <xdr:row>31</xdr:row>
      <xdr:rowOff>360219</xdr:rowOff>
    </xdr:from>
    <xdr:to>
      <xdr:col>7</xdr:col>
      <xdr:colOff>1540749</xdr:colOff>
      <xdr:row>31</xdr:row>
      <xdr:rowOff>798770</xdr:rowOff>
    </xdr:to>
    <xdr:pic>
      <xdr:nvPicPr>
        <xdr:cNvPr id="23" name="Imagen 22">
          <a:extLst>
            <a:ext uri="{FF2B5EF4-FFF2-40B4-BE49-F238E27FC236}">
              <a16:creationId xmlns:a16="http://schemas.microsoft.com/office/drawing/2014/main" id="{C3368725-AAFA-49D9-AD3A-2805C29FBC2E}"/>
            </a:ext>
          </a:extLst>
        </xdr:cNvPr>
        <xdr:cNvPicPr>
          <a:picLocks noChangeAspect="1"/>
        </xdr:cNvPicPr>
      </xdr:nvPicPr>
      <xdr:blipFill>
        <a:blip xmlns:r="http://schemas.openxmlformats.org/officeDocument/2006/relationships" r:embed="rId39"/>
        <a:stretch>
          <a:fillRect/>
        </a:stretch>
      </xdr:blipFill>
      <xdr:spPr>
        <a:xfrm>
          <a:off x="8811491" y="23705128"/>
          <a:ext cx="1278667" cy="438551"/>
        </a:xfrm>
        <a:prstGeom prst="rect">
          <a:avLst/>
        </a:prstGeom>
      </xdr:spPr>
    </xdr:pic>
    <xdr:clientData/>
  </xdr:twoCellAnchor>
  <xdr:twoCellAnchor editAs="oneCell">
    <xdr:from>
      <xdr:col>7</xdr:col>
      <xdr:colOff>886693</xdr:colOff>
      <xdr:row>32</xdr:row>
      <xdr:rowOff>290943</xdr:rowOff>
    </xdr:from>
    <xdr:to>
      <xdr:col>7</xdr:col>
      <xdr:colOff>1274622</xdr:colOff>
      <xdr:row>32</xdr:row>
      <xdr:rowOff>669982</xdr:rowOff>
    </xdr:to>
    <xdr:pic>
      <xdr:nvPicPr>
        <xdr:cNvPr id="24" name="Imagen 23">
          <a:extLst>
            <a:ext uri="{FF2B5EF4-FFF2-40B4-BE49-F238E27FC236}">
              <a16:creationId xmlns:a16="http://schemas.microsoft.com/office/drawing/2014/main" id="{BED98743-4706-4525-8F9E-448F5DC75E1D}"/>
            </a:ext>
          </a:extLst>
        </xdr:cNvPr>
        <xdr:cNvPicPr>
          <a:picLocks noChangeAspect="1"/>
        </xdr:cNvPicPr>
      </xdr:nvPicPr>
      <xdr:blipFill>
        <a:blip xmlns:r="http://schemas.openxmlformats.org/officeDocument/2006/relationships" r:embed="rId40"/>
        <a:stretch>
          <a:fillRect/>
        </a:stretch>
      </xdr:blipFill>
      <xdr:spPr>
        <a:xfrm>
          <a:off x="9448802" y="26337488"/>
          <a:ext cx="387929" cy="387929"/>
        </a:xfrm>
        <a:prstGeom prst="rect">
          <a:avLst/>
        </a:prstGeom>
      </xdr:spPr>
    </xdr:pic>
    <xdr:clientData/>
  </xdr:twoCellAnchor>
  <xdr:twoCellAnchor editAs="oneCell">
    <xdr:from>
      <xdr:col>7</xdr:col>
      <xdr:colOff>152401</xdr:colOff>
      <xdr:row>41</xdr:row>
      <xdr:rowOff>103747</xdr:rowOff>
    </xdr:from>
    <xdr:to>
      <xdr:col>7</xdr:col>
      <xdr:colOff>1578265</xdr:colOff>
      <xdr:row>41</xdr:row>
      <xdr:rowOff>591660</xdr:rowOff>
    </xdr:to>
    <xdr:pic>
      <xdr:nvPicPr>
        <xdr:cNvPr id="25" name="Imagen 24">
          <a:extLst>
            <a:ext uri="{FF2B5EF4-FFF2-40B4-BE49-F238E27FC236}">
              <a16:creationId xmlns:a16="http://schemas.microsoft.com/office/drawing/2014/main" id="{77912C8A-1883-4408-80FB-3E86B2720D80}"/>
            </a:ext>
          </a:extLst>
        </xdr:cNvPr>
        <xdr:cNvPicPr>
          <a:picLocks noChangeAspect="1"/>
        </xdr:cNvPicPr>
      </xdr:nvPicPr>
      <xdr:blipFill>
        <a:blip xmlns:r="http://schemas.openxmlformats.org/officeDocument/2006/relationships" r:embed="rId41"/>
        <a:stretch>
          <a:fillRect/>
        </a:stretch>
      </xdr:blipFill>
      <xdr:spPr>
        <a:xfrm>
          <a:off x="8714510" y="34490729"/>
          <a:ext cx="1413164" cy="487913"/>
        </a:xfrm>
        <a:prstGeom prst="rect">
          <a:avLst/>
        </a:prstGeom>
      </xdr:spPr>
    </xdr:pic>
    <xdr:clientData/>
  </xdr:twoCellAnchor>
  <xdr:twoCellAnchor editAs="oneCell">
    <xdr:from>
      <xdr:col>7</xdr:col>
      <xdr:colOff>602674</xdr:colOff>
      <xdr:row>53</xdr:row>
      <xdr:rowOff>342902</xdr:rowOff>
    </xdr:from>
    <xdr:to>
      <xdr:col>7</xdr:col>
      <xdr:colOff>1163782</xdr:colOff>
      <xdr:row>53</xdr:row>
      <xdr:rowOff>897660</xdr:rowOff>
    </xdr:to>
    <xdr:pic>
      <xdr:nvPicPr>
        <xdr:cNvPr id="267" name="Imagen 266">
          <a:extLst>
            <a:ext uri="{FF2B5EF4-FFF2-40B4-BE49-F238E27FC236}">
              <a16:creationId xmlns:a16="http://schemas.microsoft.com/office/drawing/2014/main" id="{73298FBB-A076-484D-B314-306E68C9026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164783" y="47282102"/>
          <a:ext cx="561108" cy="561108"/>
        </a:xfrm>
        <a:prstGeom prst="rect">
          <a:avLst/>
        </a:prstGeom>
      </xdr:spPr>
    </xdr:pic>
    <xdr:clientData/>
  </xdr:twoCellAnchor>
  <xdr:twoCellAnchor editAs="oneCell">
    <xdr:from>
      <xdr:col>7</xdr:col>
      <xdr:colOff>213360</xdr:colOff>
      <xdr:row>202</xdr:row>
      <xdr:rowOff>15240</xdr:rowOff>
    </xdr:from>
    <xdr:to>
      <xdr:col>7</xdr:col>
      <xdr:colOff>1678766</xdr:colOff>
      <xdr:row>202</xdr:row>
      <xdr:rowOff>513715</xdr:rowOff>
    </xdr:to>
    <xdr:pic>
      <xdr:nvPicPr>
        <xdr:cNvPr id="27" name="Imagen 26">
          <a:extLst>
            <a:ext uri="{FF2B5EF4-FFF2-40B4-BE49-F238E27FC236}">
              <a16:creationId xmlns:a16="http://schemas.microsoft.com/office/drawing/2014/main" id="{FA816451-261D-401D-0B63-374B0FE55F74}"/>
            </a:ext>
          </a:extLst>
        </xdr:cNvPr>
        <xdr:cNvPicPr>
          <a:picLocks noChangeAspect="1"/>
        </xdr:cNvPicPr>
      </xdr:nvPicPr>
      <xdr:blipFill>
        <a:blip xmlns:r="http://schemas.openxmlformats.org/officeDocument/2006/relationships" r:embed="rId42"/>
        <a:stretch>
          <a:fillRect/>
        </a:stretch>
      </xdr:blipFill>
      <xdr:spPr>
        <a:xfrm>
          <a:off x="8412480" y="172090080"/>
          <a:ext cx="1465406" cy="502920"/>
        </a:xfrm>
        <a:prstGeom prst="rect">
          <a:avLst/>
        </a:prstGeom>
      </xdr:spPr>
    </xdr:pic>
    <xdr:clientData/>
  </xdr:twoCellAnchor>
  <xdr:twoCellAnchor editAs="oneCell">
    <xdr:from>
      <xdr:col>7</xdr:col>
      <xdr:colOff>397817</xdr:colOff>
      <xdr:row>204</xdr:row>
      <xdr:rowOff>170180</xdr:rowOff>
    </xdr:from>
    <xdr:to>
      <xdr:col>7</xdr:col>
      <xdr:colOff>931378</xdr:colOff>
      <xdr:row>204</xdr:row>
      <xdr:rowOff>707217</xdr:rowOff>
    </xdr:to>
    <xdr:pic>
      <xdr:nvPicPr>
        <xdr:cNvPr id="295" name="Imagen 25">
          <a:extLst>
            <a:ext uri="{FF2B5EF4-FFF2-40B4-BE49-F238E27FC236}">
              <a16:creationId xmlns:a16="http://schemas.microsoft.com/office/drawing/2014/main" id="{40562A2A-DAB9-EBF4-7E5E-4D064EB11E49}"/>
            </a:ext>
          </a:extLst>
        </xdr:cNvPr>
        <xdr:cNvPicPr>
          <a:picLocks noChangeAspect="1"/>
        </xdr:cNvPicPr>
      </xdr:nvPicPr>
      <xdr:blipFill>
        <a:blip xmlns:r="http://schemas.openxmlformats.org/officeDocument/2006/relationships" r:embed="rId43"/>
        <a:stretch>
          <a:fillRect/>
        </a:stretch>
      </xdr:blipFill>
      <xdr:spPr>
        <a:xfrm>
          <a:off x="8367067" y="198274305"/>
          <a:ext cx="524036" cy="542752"/>
        </a:xfrm>
        <a:prstGeom prst="rect">
          <a:avLst/>
        </a:prstGeom>
      </xdr:spPr>
    </xdr:pic>
    <xdr:clientData/>
  </xdr:twoCellAnchor>
  <xdr:twoCellAnchor editAs="oneCell">
    <xdr:from>
      <xdr:col>7</xdr:col>
      <xdr:colOff>946457</xdr:colOff>
      <xdr:row>204</xdr:row>
      <xdr:rowOff>185420</xdr:rowOff>
    </xdr:from>
    <xdr:to>
      <xdr:col>7</xdr:col>
      <xdr:colOff>1465413</xdr:colOff>
      <xdr:row>204</xdr:row>
      <xdr:rowOff>739602</xdr:rowOff>
    </xdr:to>
    <xdr:pic>
      <xdr:nvPicPr>
        <xdr:cNvPr id="296" name="Imagen 27">
          <a:extLst>
            <a:ext uri="{FF2B5EF4-FFF2-40B4-BE49-F238E27FC236}">
              <a16:creationId xmlns:a16="http://schemas.microsoft.com/office/drawing/2014/main" id="{C24F5632-08E3-F80C-A330-CC594ABBEE5A}"/>
            </a:ext>
          </a:extLst>
        </xdr:cNvPr>
        <xdr:cNvPicPr>
          <a:picLocks noChangeAspect="1"/>
        </xdr:cNvPicPr>
      </xdr:nvPicPr>
      <xdr:blipFill>
        <a:blip xmlns:r="http://schemas.openxmlformats.org/officeDocument/2006/relationships" r:embed="rId44"/>
        <a:stretch>
          <a:fillRect/>
        </a:stretch>
      </xdr:blipFill>
      <xdr:spPr>
        <a:xfrm>
          <a:off x="8915707" y="198289545"/>
          <a:ext cx="530386" cy="542752"/>
        </a:xfrm>
        <a:prstGeom prst="rect">
          <a:avLst/>
        </a:prstGeom>
      </xdr:spPr>
    </xdr:pic>
    <xdr:clientData/>
  </xdr:twoCellAnchor>
  <xdr:twoCellAnchor editAs="oneCell">
    <xdr:from>
      <xdr:col>7</xdr:col>
      <xdr:colOff>594361</xdr:colOff>
      <xdr:row>222</xdr:row>
      <xdr:rowOff>119842</xdr:rowOff>
    </xdr:from>
    <xdr:to>
      <xdr:col>7</xdr:col>
      <xdr:colOff>1235440</xdr:colOff>
      <xdr:row>222</xdr:row>
      <xdr:rowOff>781685</xdr:rowOff>
    </xdr:to>
    <xdr:pic>
      <xdr:nvPicPr>
        <xdr:cNvPr id="29" name="Imagen 28">
          <a:extLst>
            <a:ext uri="{FF2B5EF4-FFF2-40B4-BE49-F238E27FC236}">
              <a16:creationId xmlns:a16="http://schemas.microsoft.com/office/drawing/2014/main" id="{63DAD725-B3B8-0D1F-CAC5-C9ECCDE7C593}"/>
            </a:ext>
          </a:extLst>
        </xdr:cNvPr>
        <xdr:cNvPicPr>
          <a:picLocks noChangeAspect="1"/>
        </xdr:cNvPicPr>
      </xdr:nvPicPr>
      <xdr:blipFill>
        <a:blip xmlns:r="http://schemas.openxmlformats.org/officeDocument/2006/relationships" r:embed="rId25"/>
        <a:stretch>
          <a:fillRect/>
        </a:stretch>
      </xdr:blipFill>
      <xdr:spPr>
        <a:xfrm>
          <a:off x="8793481" y="197234002"/>
          <a:ext cx="634729" cy="657398"/>
        </a:xfrm>
        <a:prstGeom prst="rect">
          <a:avLst/>
        </a:prstGeom>
      </xdr:spPr>
    </xdr:pic>
    <xdr:clientData/>
  </xdr:twoCellAnchor>
  <xdr:twoCellAnchor editAs="oneCell">
    <xdr:from>
      <xdr:col>7</xdr:col>
      <xdr:colOff>290369</xdr:colOff>
      <xdr:row>162</xdr:row>
      <xdr:rowOff>292966</xdr:rowOff>
    </xdr:from>
    <xdr:to>
      <xdr:col>7</xdr:col>
      <xdr:colOff>1502005</xdr:colOff>
      <xdr:row>162</xdr:row>
      <xdr:rowOff>856846</xdr:rowOff>
    </xdr:to>
    <xdr:pic>
      <xdr:nvPicPr>
        <xdr:cNvPr id="30" name="Imagen 29">
          <a:extLst>
            <a:ext uri="{FF2B5EF4-FFF2-40B4-BE49-F238E27FC236}">
              <a16:creationId xmlns:a16="http://schemas.microsoft.com/office/drawing/2014/main" id="{CC592C6A-DFC4-4F45-3EE9-C00BB21CCF38}"/>
            </a:ext>
          </a:extLst>
        </xdr:cNvPr>
        <xdr:cNvPicPr>
          <a:picLocks noChangeAspect="1"/>
        </xdr:cNvPicPr>
      </xdr:nvPicPr>
      <xdr:blipFill>
        <a:blip xmlns:r="http://schemas.openxmlformats.org/officeDocument/2006/relationships" r:embed="rId45"/>
        <a:stretch>
          <a:fillRect/>
        </a:stretch>
      </xdr:blipFill>
      <xdr:spPr>
        <a:xfrm>
          <a:off x="8256733" y="168694966"/>
          <a:ext cx="1205921" cy="571500"/>
        </a:xfrm>
        <a:prstGeom prst="rect">
          <a:avLst/>
        </a:prstGeom>
      </xdr:spPr>
    </xdr:pic>
    <xdr:clientData/>
  </xdr:twoCellAnchor>
  <xdr:twoCellAnchor editAs="oneCell">
    <xdr:from>
      <xdr:col>7</xdr:col>
      <xdr:colOff>419100</xdr:colOff>
      <xdr:row>163</xdr:row>
      <xdr:rowOff>158750</xdr:rowOff>
    </xdr:from>
    <xdr:to>
      <xdr:col>7</xdr:col>
      <xdr:colOff>1425055</xdr:colOff>
      <xdr:row>163</xdr:row>
      <xdr:rowOff>742950</xdr:rowOff>
    </xdr:to>
    <xdr:pic>
      <xdr:nvPicPr>
        <xdr:cNvPr id="31" name="Imagen 30">
          <a:extLst>
            <a:ext uri="{FF2B5EF4-FFF2-40B4-BE49-F238E27FC236}">
              <a16:creationId xmlns:a16="http://schemas.microsoft.com/office/drawing/2014/main" id="{AFAE0137-6B62-8925-127E-C6BD1776CDE0}"/>
            </a:ext>
          </a:extLst>
        </xdr:cNvPr>
        <xdr:cNvPicPr>
          <a:picLocks noChangeAspect="1"/>
        </xdr:cNvPicPr>
      </xdr:nvPicPr>
      <xdr:blipFill>
        <a:blip xmlns:r="http://schemas.openxmlformats.org/officeDocument/2006/relationships" r:embed="rId46"/>
        <a:stretch>
          <a:fillRect/>
        </a:stretch>
      </xdr:blipFill>
      <xdr:spPr>
        <a:xfrm>
          <a:off x="8753475" y="155416250"/>
          <a:ext cx="997065" cy="584200"/>
        </a:xfrm>
        <a:prstGeom prst="rect">
          <a:avLst/>
        </a:prstGeom>
      </xdr:spPr>
    </xdr:pic>
    <xdr:clientData/>
  </xdr:twoCellAnchor>
  <xdr:twoCellAnchor editAs="oneCell">
    <xdr:from>
      <xdr:col>7</xdr:col>
      <xdr:colOff>63500</xdr:colOff>
      <xdr:row>178</xdr:row>
      <xdr:rowOff>193675</xdr:rowOff>
    </xdr:from>
    <xdr:to>
      <xdr:col>7</xdr:col>
      <xdr:colOff>1694409</xdr:colOff>
      <xdr:row>178</xdr:row>
      <xdr:rowOff>817245</xdr:rowOff>
    </xdr:to>
    <xdr:pic>
      <xdr:nvPicPr>
        <xdr:cNvPr id="33" name="Imagen 32">
          <a:extLst>
            <a:ext uri="{FF2B5EF4-FFF2-40B4-BE49-F238E27FC236}">
              <a16:creationId xmlns:a16="http://schemas.microsoft.com/office/drawing/2014/main" id="{37FB47C2-A730-7D07-A62E-16BDC9D15309}"/>
            </a:ext>
          </a:extLst>
        </xdr:cNvPr>
        <xdr:cNvPicPr>
          <a:picLocks noChangeAspect="1"/>
        </xdr:cNvPicPr>
      </xdr:nvPicPr>
      <xdr:blipFill>
        <a:blip xmlns:r="http://schemas.openxmlformats.org/officeDocument/2006/relationships" r:embed="rId47"/>
        <a:stretch>
          <a:fillRect/>
        </a:stretch>
      </xdr:blipFill>
      <xdr:spPr>
        <a:xfrm>
          <a:off x="8397875" y="156371925"/>
          <a:ext cx="1642339" cy="628650"/>
        </a:xfrm>
        <a:prstGeom prst="rect">
          <a:avLst/>
        </a:prstGeom>
      </xdr:spPr>
    </xdr:pic>
    <xdr:clientData/>
  </xdr:twoCellAnchor>
  <xdr:twoCellAnchor editAs="oneCell">
    <xdr:from>
      <xdr:col>7</xdr:col>
      <xdr:colOff>60902</xdr:colOff>
      <xdr:row>179</xdr:row>
      <xdr:rowOff>522721</xdr:rowOff>
    </xdr:from>
    <xdr:to>
      <xdr:col>7</xdr:col>
      <xdr:colOff>1694409</xdr:colOff>
      <xdr:row>179</xdr:row>
      <xdr:rowOff>1124066</xdr:rowOff>
    </xdr:to>
    <xdr:pic>
      <xdr:nvPicPr>
        <xdr:cNvPr id="34" name="Imagen 33">
          <a:extLst>
            <a:ext uri="{FF2B5EF4-FFF2-40B4-BE49-F238E27FC236}">
              <a16:creationId xmlns:a16="http://schemas.microsoft.com/office/drawing/2014/main" id="{603FECCE-55B9-6DD2-E4BF-F5D78C387231}"/>
            </a:ext>
          </a:extLst>
        </xdr:cNvPr>
        <xdr:cNvPicPr>
          <a:picLocks noChangeAspect="1"/>
        </xdr:cNvPicPr>
      </xdr:nvPicPr>
      <xdr:blipFill>
        <a:blip xmlns:r="http://schemas.openxmlformats.org/officeDocument/2006/relationships" r:embed="rId48"/>
        <a:stretch>
          <a:fillRect/>
        </a:stretch>
      </xdr:blipFill>
      <xdr:spPr>
        <a:xfrm>
          <a:off x="8027266" y="187178085"/>
          <a:ext cx="1639222" cy="593725"/>
        </a:xfrm>
        <a:prstGeom prst="rect">
          <a:avLst/>
        </a:prstGeom>
      </xdr:spPr>
    </xdr:pic>
    <xdr:clientData/>
  </xdr:twoCellAnchor>
  <xdr:twoCellAnchor editAs="oneCell">
    <xdr:from>
      <xdr:col>7</xdr:col>
      <xdr:colOff>111125</xdr:colOff>
      <xdr:row>165</xdr:row>
      <xdr:rowOff>333375</xdr:rowOff>
    </xdr:from>
    <xdr:to>
      <xdr:col>7</xdr:col>
      <xdr:colOff>1732357</xdr:colOff>
      <xdr:row>165</xdr:row>
      <xdr:rowOff>914400</xdr:rowOff>
    </xdr:to>
    <xdr:pic>
      <xdr:nvPicPr>
        <xdr:cNvPr id="35" name="Imagen 34">
          <a:extLst>
            <a:ext uri="{FF2B5EF4-FFF2-40B4-BE49-F238E27FC236}">
              <a16:creationId xmlns:a16="http://schemas.microsoft.com/office/drawing/2014/main" id="{2D718586-4D34-A4F7-F891-329D1BD2A9AC}"/>
            </a:ext>
          </a:extLst>
        </xdr:cNvPr>
        <xdr:cNvPicPr>
          <a:picLocks noChangeAspect="1"/>
        </xdr:cNvPicPr>
      </xdr:nvPicPr>
      <xdr:blipFill>
        <a:blip xmlns:r="http://schemas.openxmlformats.org/officeDocument/2006/relationships" r:embed="rId49"/>
        <a:stretch>
          <a:fillRect/>
        </a:stretch>
      </xdr:blipFill>
      <xdr:spPr>
        <a:xfrm>
          <a:off x="8112125" y="171196000"/>
          <a:ext cx="1621232" cy="581025"/>
        </a:xfrm>
        <a:prstGeom prst="rect">
          <a:avLst/>
        </a:prstGeom>
      </xdr:spPr>
    </xdr:pic>
    <xdr:clientData/>
  </xdr:twoCellAnchor>
  <xdr:twoCellAnchor editAs="oneCell">
    <xdr:from>
      <xdr:col>7</xdr:col>
      <xdr:colOff>396875</xdr:colOff>
      <xdr:row>167</xdr:row>
      <xdr:rowOff>174625</xdr:rowOff>
    </xdr:from>
    <xdr:to>
      <xdr:col>7</xdr:col>
      <xdr:colOff>1425575</xdr:colOff>
      <xdr:row>167</xdr:row>
      <xdr:rowOff>781747</xdr:rowOff>
    </xdr:to>
    <xdr:pic>
      <xdr:nvPicPr>
        <xdr:cNvPr id="37" name="Imagen 36">
          <a:extLst>
            <a:ext uri="{FF2B5EF4-FFF2-40B4-BE49-F238E27FC236}">
              <a16:creationId xmlns:a16="http://schemas.microsoft.com/office/drawing/2014/main" id="{47DE04D5-71F7-164B-5E4A-1C81CB21B06F}"/>
            </a:ext>
          </a:extLst>
        </xdr:cNvPr>
        <xdr:cNvPicPr>
          <a:picLocks noChangeAspect="1"/>
        </xdr:cNvPicPr>
      </xdr:nvPicPr>
      <xdr:blipFill>
        <a:blip xmlns:r="http://schemas.openxmlformats.org/officeDocument/2006/relationships" r:embed="rId50"/>
        <a:stretch>
          <a:fillRect/>
        </a:stretch>
      </xdr:blipFill>
      <xdr:spPr>
        <a:xfrm>
          <a:off x="8397875" y="173513750"/>
          <a:ext cx="1019175" cy="607122"/>
        </a:xfrm>
        <a:prstGeom prst="rect">
          <a:avLst/>
        </a:prstGeom>
      </xdr:spPr>
    </xdr:pic>
    <xdr:clientData/>
  </xdr:twoCellAnchor>
  <xdr:twoCellAnchor editAs="oneCell">
    <xdr:from>
      <xdr:col>7</xdr:col>
      <xdr:colOff>278246</xdr:colOff>
      <xdr:row>169</xdr:row>
      <xdr:rowOff>243031</xdr:rowOff>
    </xdr:from>
    <xdr:to>
      <xdr:col>7</xdr:col>
      <xdr:colOff>1427394</xdr:colOff>
      <xdr:row>169</xdr:row>
      <xdr:rowOff>860292</xdr:rowOff>
    </xdr:to>
    <xdr:pic>
      <xdr:nvPicPr>
        <xdr:cNvPr id="128" name="Imagen 38">
          <a:extLst>
            <a:ext uri="{FF2B5EF4-FFF2-40B4-BE49-F238E27FC236}">
              <a16:creationId xmlns:a16="http://schemas.microsoft.com/office/drawing/2014/main" id="{601C6EAE-5F5D-D309-641A-D27B36204FD7}"/>
            </a:ext>
          </a:extLst>
        </xdr:cNvPr>
        <xdr:cNvPicPr>
          <a:picLocks noChangeAspect="1"/>
        </xdr:cNvPicPr>
      </xdr:nvPicPr>
      <xdr:blipFill>
        <a:blip xmlns:r="http://schemas.openxmlformats.org/officeDocument/2006/relationships" r:embed="rId51"/>
        <a:stretch>
          <a:fillRect/>
        </a:stretch>
      </xdr:blipFill>
      <xdr:spPr>
        <a:xfrm>
          <a:off x="8244610" y="176680667"/>
          <a:ext cx="1160578" cy="609641"/>
        </a:xfrm>
        <a:prstGeom prst="rect">
          <a:avLst/>
        </a:prstGeom>
      </xdr:spPr>
    </xdr:pic>
    <xdr:clientData/>
  </xdr:twoCellAnchor>
  <xdr:twoCellAnchor editAs="oneCell">
    <xdr:from>
      <xdr:col>7</xdr:col>
      <xdr:colOff>155574</xdr:colOff>
      <xdr:row>172</xdr:row>
      <xdr:rowOff>139700</xdr:rowOff>
    </xdr:from>
    <xdr:to>
      <xdr:col>7</xdr:col>
      <xdr:colOff>1640125</xdr:colOff>
      <xdr:row>172</xdr:row>
      <xdr:rowOff>703580</xdr:rowOff>
    </xdr:to>
    <xdr:pic>
      <xdr:nvPicPr>
        <xdr:cNvPr id="134" name="Imagen 40">
          <a:extLst>
            <a:ext uri="{FF2B5EF4-FFF2-40B4-BE49-F238E27FC236}">
              <a16:creationId xmlns:a16="http://schemas.microsoft.com/office/drawing/2014/main" id="{A75513A7-879F-DAC6-949C-F5244865C5C8}"/>
            </a:ext>
          </a:extLst>
        </xdr:cNvPr>
        <xdr:cNvPicPr>
          <a:picLocks noChangeAspect="1"/>
        </xdr:cNvPicPr>
      </xdr:nvPicPr>
      <xdr:blipFill>
        <a:blip xmlns:r="http://schemas.openxmlformats.org/officeDocument/2006/relationships" r:embed="rId52"/>
        <a:stretch>
          <a:fillRect/>
        </a:stretch>
      </xdr:blipFill>
      <xdr:spPr>
        <a:xfrm>
          <a:off x="8489949" y="188480700"/>
          <a:ext cx="1484551" cy="571500"/>
        </a:xfrm>
        <a:prstGeom prst="rect">
          <a:avLst/>
        </a:prstGeom>
      </xdr:spPr>
    </xdr:pic>
    <xdr:clientData/>
  </xdr:twoCellAnchor>
  <xdr:twoCellAnchor editAs="oneCell">
    <xdr:from>
      <xdr:col>7</xdr:col>
      <xdr:colOff>301625</xdr:colOff>
      <xdr:row>173</xdr:row>
      <xdr:rowOff>130175</xdr:rowOff>
    </xdr:from>
    <xdr:to>
      <xdr:col>7</xdr:col>
      <xdr:colOff>1505954</xdr:colOff>
      <xdr:row>173</xdr:row>
      <xdr:rowOff>743646</xdr:rowOff>
    </xdr:to>
    <xdr:pic>
      <xdr:nvPicPr>
        <xdr:cNvPr id="139" name="Imagen 41">
          <a:extLst>
            <a:ext uri="{FF2B5EF4-FFF2-40B4-BE49-F238E27FC236}">
              <a16:creationId xmlns:a16="http://schemas.microsoft.com/office/drawing/2014/main" id="{B16E000F-E108-CCFB-8EA1-3536227AA02F}"/>
            </a:ext>
          </a:extLst>
        </xdr:cNvPr>
        <xdr:cNvPicPr>
          <a:picLocks noChangeAspect="1"/>
        </xdr:cNvPicPr>
      </xdr:nvPicPr>
      <xdr:blipFill>
        <a:blip xmlns:r="http://schemas.openxmlformats.org/officeDocument/2006/relationships" r:embed="rId53"/>
        <a:stretch>
          <a:fillRect/>
        </a:stretch>
      </xdr:blipFill>
      <xdr:spPr>
        <a:xfrm>
          <a:off x="8302625" y="179057300"/>
          <a:ext cx="1192899" cy="605851"/>
        </a:xfrm>
        <a:prstGeom prst="rect">
          <a:avLst/>
        </a:prstGeom>
      </xdr:spPr>
    </xdr:pic>
    <xdr:clientData/>
  </xdr:twoCellAnchor>
  <xdr:twoCellAnchor editAs="oneCell">
    <xdr:from>
      <xdr:col>7</xdr:col>
      <xdr:colOff>171450</xdr:colOff>
      <xdr:row>174</xdr:row>
      <xdr:rowOff>177800</xdr:rowOff>
    </xdr:from>
    <xdr:to>
      <xdr:col>7</xdr:col>
      <xdr:colOff>1579879</xdr:colOff>
      <xdr:row>174</xdr:row>
      <xdr:rowOff>741680</xdr:rowOff>
    </xdr:to>
    <xdr:pic>
      <xdr:nvPicPr>
        <xdr:cNvPr id="172" name="Imagen 42">
          <a:extLst>
            <a:ext uri="{FF2B5EF4-FFF2-40B4-BE49-F238E27FC236}">
              <a16:creationId xmlns:a16="http://schemas.microsoft.com/office/drawing/2014/main" id="{E96E6135-4ED8-9464-7E4A-770D7113A9BF}"/>
            </a:ext>
          </a:extLst>
        </xdr:cNvPr>
        <xdr:cNvPicPr>
          <a:picLocks noChangeAspect="1"/>
        </xdr:cNvPicPr>
      </xdr:nvPicPr>
      <xdr:blipFill>
        <a:blip xmlns:r="http://schemas.openxmlformats.org/officeDocument/2006/relationships" r:embed="rId54"/>
        <a:stretch>
          <a:fillRect/>
        </a:stretch>
      </xdr:blipFill>
      <xdr:spPr>
        <a:xfrm>
          <a:off x="8172450" y="179946300"/>
          <a:ext cx="1416049" cy="571500"/>
        </a:xfrm>
        <a:prstGeom prst="rect">
          <a:avLst/>
        </a:prstGeom>
      </xdr:spPr>
    </xdr:pic>
    <xdr:clientData/>
  </xdr:twoCellAnchor>
  <xdr:twoCellAnchor editAs="oneCell">
    <xdr:from>
      <xdr:col>7</xdr:col>
      <xdr:colOff>333375</xdr:colOff>
      <xdr:row>175</xdr:row>
      <xdr:rowOff>222249</xdr:rowOff>
    </xdr:from>
    <xdr:to>
      <xdr:col>7</xdr:col>
      <xdr:colOff>1412628</xdr:colOff>
      <xdr:row>175</xdr:row>
      <xdr:rowOff>841374</xdr:rowOff>
    </xdr:to>
    <xdr:pic>
      <xdr:nvPicPr>
        <xdr:cNvPr id="269" name="Imagen 31">
          <a:extLst>
            <a:ext uri="{FF2B5EF4-FFF2-40B4-BE49-F238E27FC236}">
              <a16:creationId xmlns:a16="http://schemas.microsoft.com/office/drawing/2014/main" id="{04714DD0-1F4B-A555-C472-7C4965A4FC40}"/>
            </a:ext>
          </a:extLst>
        </xdr:cNvPr>
        <xdr:cNvPicPr>
          <a:picLocks noChangeAspect="1"/>
        </xdr:cNvPicPr>
      </xdr:nvPicPr>
      <xdr:blipFill>
        <a:blip xmlns:r="http://schemas.openxmlformats.org/officeDocument/2006/relationships" r:embed="rId55"/>
        <a:stretch>
          <a:fillRect/>
        </a:stretch>
      </xdr:blipFill>
      <xdr:spPr>
        <a:xfrm>
          <a:off x="8334375" y="180943249"/>
          <a:ext cx="1081158" cy="619125"/>
        </a:xfrm>
        <a:prstGeom prst="rect">
          <a:avLst/>
        </a:prstGeom>
      </xdr:spPr>
    </xdr:pic>
    <xdr:clientData/>
  </xdr:twoCellAnchor>
  <xdr:twoCellAnchor editAs="oneCell">
    <xdr:from>
      <xdr:col>7</xdr:col>
      <xdr:colOff>15876</xdr:colOff>
      <xdr:row>176</xdr:row>
      <xdr:rowOff>587375</xdr:rowOff>
    </xdr:from>
    <xdr:to>
      <xdr:col>7</xdr:col>
      <xdr:colOff>1755222</xdr:colOff>
      <xdr:row>176</xdr:row>
      <xdr:rowOff>1008380</xdr:rowOff>
    </xdr:to>
    <xdr:pic>
      <xdr:nvPicPr>
        <xdr:cNvPr id="275" name="Imagen 43">
          <a:extLst>
            <a:ext uri="{FF2B5EF4-FFF2-40B4-BE49-F238E27FC236}">
              <a16:creationId xmlns:a16="http://schemas.microsoft.com/office/drawing/2014/main" id="{11CF6CDE-442E-07FA-601E-1FBC0CB1F37C}"/>
            </a:ext>
          </a:extLst>
        </xdr:cNvPr>
        <xdr:cNvPicPr>
          <a:picLocks noChangeAspect="1"/>
        </xdr:cNvPicPr>
      </xdr:nvPicPr>
      <xdr:blipFill>
        <a:blip xmlns:r="http://schemas.openxmlformats.org/officeDocument/2006/relationships" r:embed="rId56"/>
        <a:stretch>
          <a:fillRect/>
        </a:stretch>
      </xdr:blipFill>
      <xdr:spPr>
        <a:xfrm>
          <a:off x="8016876" y="182260875"/>
          <a:ext cx="1739346" cy="428625"/>
        </a:xfrm>
        <a:prstGeom prst="rect">
          <a:avLst/>
        </a:prstGeom>
      </xdr:spPr>
    </xdr:pic>
    <xdr:clientData/>
  </xdr:twoCellAnchor>
  <xdr:twoCellAnchor editAs="oneCell">
    <xdr:from>
      <xdr:col>7</xdr:col>
      <xdr:colOff>328757</xdr:colOff>
      <xdr:row>164</xdr:row>
      <xdr:rowOff>417945</xdr:rowOff>
    </xdr:from>
    <xdr:to>
      <xdr:col>7</xdr:col>
      <xdr:colOff>1464620</xdr:colOff>
      <xdr:row>164</xdr:row>
      <xdr:rowOff>1044055</xdr:rowOff>
    </xdr:to>
    <xdr:pic>
      <xdr:nvPicPr>
        <xdr:cNvPr id="288" name="Imagen 44">
          <a:extLst>
            <a:ext uri="{FF2B5EF4-FFF2-40B4-BE49-F238E27FC236}">
              <a16:creationId xmlns:a16="http://schemas.microsoft.com/office/drawing/2014/main" id="{4FF8FEDA-F111-06B3-F1C9-68BFDE201583}"/>
            </a:ext>
          </a:extLst>
        </xdr:cNvPr>
        <xdr:cNvPicPr>
          <a:picLocks noChangeAspect="1"/>
        </xdr:cNvPicPr>
      </xdr:nvPicPr>
      <xdr:blipFill>
        <a:blip xmlns:r="http://schemas.openxmlformats.org/officeDocument/2006/relationships" r:embed="rId57"/>
        <a:stretch>
          <a:fillRect/>
        </a:stretch>
      </xdr:blipFill>
      <xdr:spPr>
        <a:xfrm>
          <a:off x="8295121" y="170915445"/>
          <a:ext cx="1130148" cy="624205"/>
        </a:xfrm>
        <a:prstGeom prst="rect">
          <a:avLst/>
        </a:prstGeom>
      </xdr:spPr>
    </xdr:pic>
    <xdr:clientData/>
  </xdr:twoCellAnchor>
  <xdr:twoCellAnchor editAs="oneCell">
    <xdr:from>
      <xdr:col>7</xdr:col>
      <xdr:colOff>330200</xdr:colOff>
      <xdr:row>177</xdr:row>
      <xdr:rowOff>72736</xdr:rowOff>
    </xdr:from>
    <xdr:to>
      <xdr:col>7</xdr:col>
      <xdr:colOff>1524000</xdr:colOff>
      <xdr:row>177</xdr:row>
      <xdr:rowOff>701687</xdr:rowOff>
    </xdr:to>
    <xdr:pic>
      <xdr:nvPicPr>
        <xdr:cNvPr id="28" name="Imagen 27">
          <a:extLst>
            <a:ext uri="{FF2B5EF4-FFF2-40B4-BE49-F238E27FC236}">
              <a16:creationId xmlns:a16="http://schemas.microsoft.com/office/drawing/2014/main" id="{5034CEFF-0BB3-0F01-0E99-B2C8EBDEFF3A}"/>
            </a:ext>
          </a:extLst>
        </xdr:cNvPr>
        <xdr:cNvPicPr>
          <a:picLocks noChangeAspect="1"/>
        </xdr:cNvPicPr>
      </xdr:nvPicPr>
      <xdr:blipFill>
        <a:blip xmlns:r="http://schemas.openxmlformats.org/officeDocument/2006/relationships" r:embed="rId58"/>
        <a:stretch>
          <a:fillRect/>
        </a:stretch>
      </xdr:blipFill>
      <xdr:spPr>
        <a:xfrm>
          <a:off x="8521700" y="160499136"/>
          <a:ext cx="1193800" cy="627046"/>
        </a:xfrm>
        <a:prstGeom prst="rect">
          <a:avLst/>
        </a:prstGeom>
      </xdr:spPr>
    </xdr:pic>
    <xdr:clientData/>
  </xdr:twoCellAnchor>
  <xdr:twoCellAnchor editAs="oneCell">
    <xdr:from>
      <xdr:col>7</xdr:col>
      <xdr:colOff>47625</xdr:colOff>
      <xdr:row>166</xdr:row>
      <xdr:rowOff>269875</xdr:rowOff>
    </xdr:from>
    <xdr:to>
      <xdr:col>7</xdr:col>
      <xdr:colOff>1717534</xdr:colOff>
      <xdr:row>166</xdr:row>
      <xdr:rowOff>914400</xdr:rowOff>
    </xdr:to>
    <xdr:pic>
      <xdr:nvPicPr>
        <xdr:cNvPr id="186" name="Imagen 185">
          <a:extLst>
            <a:ext uri="{FF2B5EF4-FFF2-40B4-BE49-F238E27FC236}">
              <a16:creationId xmlns:a16="http://schemas.microsoft.com/office/drawing/2014/main" id="{57DC0BAD-BD36-408E-A661-D605D4DC68C8}"/>
            </a:ext>
          </a:extLst>
        </xdr:cNvPr>
        <xdr:cNvPicPr>
          <a:picLocks noChangeAspect="1"/>
        </xdr:cNvPicPr>
      </xdr:nvPicPr>
      <xdr:blipFill rotWithShape="1">
        <a:blip xmlns:r="http://schemas.openxmlformats.org/officeDocument/2006/relationships" r:embed="rId59"/>
        <a:srcRect t="4695"/>
        <a:stretch/>
      </xdr:blipFill>
      <xdr:spPr>
        <a:xfrm>
          <a:off x="8048625" y="172466000"/>
          <a:ext cx="1671814" cy="644525"/>
        </a:xfrm>
        <a:prstGeom prst="rect">
          <a:avLst/>
        </a:prstGeom>
      </xdr:spPr>
    </xdr:pic>
    <xdr:clientData/>
  </xdr:twoCellAnchor>
  <xdr:twoCellAnchor editAs="oneCell">
    <xdr:from>
      <xdr:col>7</xdr:col>
      <xdr:colOff>47625</xdr:colOff>
      <xdr:row>170</xdr:row>
      <xdr:rowOff>575830</xdr:rowOff>
    </xdr:from>
    <xdr:to>
      <xdr:col>7</xdr:col>
      <xdr:colOff>1695450</xdr:colOff>
      <xdr:row>170</xdr:row>
      <xdr:rowOff>1199641</xdr:rowOff>
    </xdr:to>
    <xdr:pic>
      <xdr:nvPicPr>
        <xdr:cNvPr id="268" name="Imagen 39">
          <a:extLst>
            <a:ext uri="{FF2B5EF4-FFF2-40B4-BE49-F238E27FC236}">
              <a16:creationId xmlns:a16="http://schemas.microsoft.com/office/drawing/2014/main" id="{6C34E131-8768-4B5D-83B9-48BCC5A011A0}"/>
            </a:ext>
          </a:extLst>
        </xdr:cNvPr>
        <xdr:cNvPicPr>
          <a:picLocks noChangeAspect="1"/>
        </xdr:cNvPicPr>
      </xdr:nvPicPr>
      <xdr:blipFill>
        <a:blip xmlns:r="http://schemas.openxmlformats.org/officeDocument/2006/relationships" r:embed="rId60"/>
        <a:stretch>
          <a:fillRect/>
        </a:stretch>
      </xdr:blipFill>
      <xdr:spPr>
        <a:xfrm>
          <a:off x="8013989" y="178156466"/>
          <a:ext cx="1647825" cy="623811"/>
        </a:xfrm>
        <a:prstGeom prst="rect">
          <a:avLst/>
        </a:prstGeom>
      </xdr:spPr>
    </xdr:pic>
    <xdr:clientData/>
  </xdr:twoCellAnchor>
  <xdr:twoCellAnchor editAs="oneCell">
    <xdr:from>
      <xdr:col>7</xdr:col>
      <xdr:colOff>588818</xdr:colOff>
      <xdr:row>171</xdr:row>
      <xdr:rowOff>103909</xdr:rowOff>
    </xdr:from>
    <xdr:to>
      <xdr:col>7</xdr:col>
      <xdr:colOff>1196859</xdr:colOff>
      <xdr:row>171</xdr:row>
      <xdr:rowOff>687173</xdr:rowOff>
    </xdr:to>
    <xdr:pic>
      <xdr:nvPicPr>
        <xdr:cNvPr id="26" name="Imagen 25">
          <a:extLst>
            <a:ext uri="{FF2B5EF4-FFF2-40B4-BE49-F238E27FC236}">
              <a16:creationId xmlns:a16="http://schemas.microsoft.com/office/drawing/2014/main" id="{C66E76A0-CE12-5BC3-2634-A3919BB04A4F}"/>
            </a:ext>
          </a:extLst>
        </xdr:cNvPr>
        <xdr:cNvPicPr>
          <a:picLocks noChangeAspect="1"/>
        </xdr:cNvPicPr>
      </xdr:nvPicPr>
      <xdr:blipFill>
        <a:blip xmlns:r="http://schemas.openxmlformats.org/officeDocument/2006/relationships" r:embed="rId61"/>
        <a:stretch>
          <a:fillRect/>
        </a:stretch>
      </xdr:blipFill>
      <xdr:spPr>
        <a:xfrm>
          <a:off x="8555182" y="179589545"/>
          <a:ext cx="606136" cy="583264"/>
        </a:xfrm>
        <a:prstGeom prst="rect">
          <a:avLst/>
        </a:prstGeom>
      </xdr:spPr>
    </xdr:pic>
    <xdr:clientData/>
  </xdr:twoCellAnchor>
  <xdr:twoCellAnchor editAs="oneCell">
    <xdr:from>
      <xdr:col>7</xdr:col>
      <xdr:colOff>554182</xdr:colOff>
      <xdr:row>168</xdr:row>
      <xdr:rowOff>161833</xdr:rowOff>
    </xdr:from>
    <xdr:to>
      <xdr:col>7</xdr:col>
      <xdr:colOff>1196860</xdr:colOff>
      <xdr:row>168</xdr:row>
      <xdr:rowOff>802606</xdr:rowOff>
    </xdr:to>
    <xdr:pic>
      <xdr:nvPicPr>
        <xdr:cNvPr id="32" name="Imagen 31">
          <a:extLst>
            <a:ext uri="{FF2B5EF4-FFF2-40B4-BE49-F238E27FC236}">
              <a16:creationId xmlns:a16="http://schemas.microsoft.com/office/drawing/2014/main" id="{4A54C976-ABC2-76ED-F616-536C117F4DD3}"/>
            </a:ext>
          </a:extLst>
        </xdr:cNvPr>
        <xdr:cNvPicPr>
          <a:picLocks noChangeAspect="1"/>
        </xdr:cNvPicPr>
      </xdr:nvPicPr>
      <xdr:blipFill>
        <a:blip xmlns:r="http://schemas.openxmlformats.org/officeDocument/2006/relationships" r:embed="rId62"/>
        <a:stretch>
          <a:fillRect/>
        </a:stretch>
      </xdr:blipFill>
      <xdr:spPr>
        <a:xfrm>
          <a:off x="8520546" y="175646969"/>
          <a:ext cx="640773" cy="640773"/>
        </a:xfrm>
        <a:prstGeom prst="rect">
          <a:avLst/>
        </a:prstGeom>
      </xdr:spPr>
    </xdr:pic>
    <xdr:clientData/>
  </xdr:twoCellAnchor>
  <xdr:twoCellAnchor editAs="oneCell">
    <xdr:from>
      <xdr:col>7</xdr:col>
      <xdr:colOff>415636</xdr:colOff>
      <xdr:row>24</xdr:row>
      <xdr:rowOff>103909</xdr:rowOff>
    </xdr:from>
    <xdr:to>
      <xdr:col>7</xdr:col>
      <xdr:colOff>1384124</xdr:colOff>
      <xdr:row>24</xdr:row>
      <xdr:rowOff>624881</xdr:rowOff>
    </xdr:to>
    <xdr:pic>
      <xdr:nvPicPr>
        <xdr:cNvPr id="38" name="Imagen 37">
          <a:extLst>
            <a:ext uri="{FF2B5EF4-FFF2-40B4-BE49-F238E27FC236}">
              <a16:creationId xmlns:a16="http://schemas.microsoft.com/office/drawing/2014/main" id="{F4BE4C3F-FE5A-4220-8060-F3E36F76C57B}"/>
            </a:ext>
          </a:extLst>
        </xdr:cNvPr>
        <xdr:cNvPicPr>
          <a:picLocks noChangeAspect="1"/>
        </xdr:cNvPicPr>
      </xdr:nvPicPr>
      <xdr:blipFill>
        <a:blip xmlns:r="http://schemas.openxmlformats.org/officeDocument/2006/relationships" r:embed="rId11"/>
        <a:stretch>
          <a:fillRect/>
        </a:stretch>
      </xdr:blipFill>
      <xdr:spPr>
        <a:xfrm>
          <a:off x="8382000" y="28090091"/>
          <a:ext cx="968488" cy="520972"/>
        </a:xfrm>
        <a:prstGeom prst="rect">
          <a:avLst/>
        </a:prstGeom>
      </xdr:spPr>
    </xdr:pic>
    <xdr:clientData/>
  </xdr:twoCellAnchor>
  <xdr:twoCellAnchor editAs="oneCell">
    <xdr:from>
      <xdr:col>7</xdr:col>
      <xdr:colOff>450273</xdr:colOff>
      <xdr:row>25</xdr:row>
      <xdr:rowOff>346364</xdr:rowOff>
    </xdr:from>
    <xdr:to>
      <xdr:col>7</xdr:col>
      <xdr:colOff>1418761</xdr:colOff>
      <xdr:row>25</xdr:row>
      <xdr:rowOff>867336</xdr:rowOff>
    </xdr:to>
    <xdr:pic>
      <xdr:nvPicPr>
        <xdr:cNvPr id="39" name="Imagen 38">
          <a:extLst>
            <a:ext uri="{FF2B5EF4-FFF2-40B4-BE49-F238E27FC236}">
              <a16:creationId xmlns:a16="http://schemas.microsoft.com/office/drawing/2014/main" id="{6325273C-004E-4DD7-B14E-4F6CEAB90AED}"/>
            </a:ext>
          </a:extLst>
        </xdr:cNvPr>
        <xdr:cNvPicPr>
          <a:picLocks noChangeAspect="1"/>
        </xdr:cNvPicPr>
      </xdr:nvPicPr>
      <xdr:blipFill>
        <a:blip xmlns:r="http://schemas.openxmlformats.org/officeDocument/2006/relationships" r:embed="rId11"/>
        <a:stretch>
          <a:fillRect/>
        </a:stretch>
      </xdr:blipFill>
      <xdr:spPr>
        <a:xfrm>
          <a:off x="8416637" y="29250409"/>
          <a:ext cx="968488" cy="520972"/>
        </a:xfrm>
        <a:prstGeom prst="rect">
          <a:avLst/>
        </a:prstGeom>
      </xdr:spPr>
    </xdr:pic>
    <xdr:clientData/>
  </xdr:twoCellAnchor>
  <xdr:twoCellAnchor editAs="oneCell">
    <xdr:from>
      <xdr:col>7</xdr:col>
      <xdr:colOff>606136</xdr:colOff>
      <xdr:row>26</xdr:row>
      <xdr:rowOff>119991</xdr:rowOff>
    </xdr:from>
    <xdr:to>
      <xdr:col>7</xdr:col>
      <xdr:colOff>1125681</xdr:colOff>
      <xdr:row>26</xdr:row>
      <xdr:rowOff>658091</xdr:rowOff>
    </xdr:to>
    <xdr:pic>
      <xdr:nvPicPr>
        <xdr:cNvPr id="40" name="Imagen 39">
          <a:extLst>
            <a:ext uri="{FF2B5EF4-FFF2-40B4-BE49-F238E27FC236}">
              <a16:creationId xmlns:a16="http://schemas.microsoft.com/office/drawing/2014/main" id="{43995744-BA28-9376-B833-3460F4193784}"/>
            </a:ext>
          </a:extLst>
        </xdr:cNvPr>
        <xdr:cNvPicPr>
          <a:picLocks noChangeAspect="1"/>
        </xdr:cNvPicPr>
      </xdr:nvPicPr>
      <xdr:blipFill>
        <a:blip xmlns:r="http://schemas.openxmlformats.org/officeDocument/2006/relationships" r:embed="rId44"/>
        <a:stretch>
          <a:fillRect/>
        </a:stretch>
      </xdr:blipFill>
      <xdr:spPr>
        <a:xfrm>
          <a:off x="8572500" y="29560900"/>
          <a:ext cx="519545" cy="538100"/>
        </a:xfrm>
        <a:prstGeom prst="rect">
          <a:avLst/>
        </a:prstGeom>
      </xdr:spPr>
    </xdr:pic>
    <xdr:clientData/>
  </xdr:twoCellAnchor>
  <xdr:twoCellAnchor editAs="oneCell">
    <xdr:from>
      <xdr:col>7</xdr:col>
      <xdr:colOff>207818</xdr:colOff>
      <xdr:row>27</xdr:row>
      <xdr:rowOff>190501</xdr:rowOff>
    </xdr:from>
    <xdr:to>
      <xdr:col>7</xdr:col>
      <xdr:colOff>1514513</xdr:colOff>
      <xdr:row>27</xdr:row>
      <xdr:rowOff>623455</xdr:rowOff>
    </xdr:to>
    <xdr:pic>
      <xdr:nvPicPr>
        <xdr:cNvPr id="36" name="Imagen 35">
          <a:extLst>
            <a:ext uri="{FF2B5EF4-FFF2-40B4-BE49-F238E27FC236}">
              <a16:creationId xmlns:a16="http://schemas.microsoft.com/office/drawing/2014/main" id="{775ACDA4-4822-4EE8-8090-6975C8D44BF2}"/>
            </a:ext>
          </a:extLst>
        </xdr:cNvPr>
        <xdr:cNvPicPr>
          <a:picLocks noChangeAspect="1"/>
        </xdr:cNvPicPr>
      </xdr:nvPicPr>
      <xdr:blipFill>
        <a:blip xmlns:r="http://schemas.openxmlformats.org/officeDocument/2006/relationships" r:embed="rId12"/>
        <a:stretch>
          <a:fillRect/>
        </a:stretch>
      </xdr:blipFill>
      <xdr:spPr>
        <a:xfrm>
          <a:off x="8174182" y="31242001"/>
          <a:ext cx="1306695" cy="432954"/>
        </a:xfrm>
        <a:prstGeom prst="rect">
          <a:avLst/>
        </a:prstGeom>
      </xdr:spPr>
    </xdr:pic>
    <xdr:clientData/>
  </xdr:twoCellAnchor>
  <xdr:twoCellAnchor editAs="oneCell">
    <xdr:from>
      <xdr:col>7</xdr:col>
      <xdr:colOff>173182</xdr:colOff>
      <xdr:row>224</xdr:row>
      <xdr:rowOff>79865</xdr:rowOff>
    </xdr:from>
    <xdr:to>
      <xdr:col>7</xdr:col>
      <xdr:colOff>1610591</xdr:colOff>
      <xdr:row>224</xdr:row>
      <xdr:rowOff>586309</xdr:rowOff>
    </xdr:to>
    <xdr:pic>
      <xdr:nvPicPr>
        <xdr:cNvPr id="42" name="Imagen 41">
          <a:extLst>
            <a:ext uri="{FF2B5EF4-FFF2-40B4-BE49-F238E27FC236}">
              <a16:creationId xmlns:a16="http://schemas.microsoft.com/office/drawing/2014/main" id="{9BC36A3F-95E7-DEA5-98EB-9DF819360B81}"/>
            </a:ext>
          </a:extLst>
        </xdr:cNvPr>
        <xdr:cNvPicPr>
          <a:picLocks noChangeAspect="1"/>
        </xdr:cNvPicPr>
      </xdr:nvPicPr>
      <xdr:blipFill>
        <a:blip xmlns:r="http://schemas.openxmlformats.org/officeDocument/2006/relationships" r:embed="rId63"/>
        <a:stretch>
          <a:fillRect/>
        </a:stretch>
      </xdr:blipFill>
      <xdr:spPr>
        <a:xfrm>
          <a:off x="8347364" y="223605638"/>
          <a:ext cx="1437409" cy="506444"/>
        </a:xfrm>
        <a:prstGeom prst="rect">
          <a:avLst/>
        </a:prstGeom>
      </xdr:spPr>
    </xdr:pic>
    <xdr:clientData/>
  </xdr:twoCellAnchor>
  <xdr:twoCellAnchor editAs="oneCell">
    <xdr:from>
      <xdr:col>7</xdr:col>
      <xdr:colOff>311727</xdr:colOff>
      <xdr:row>225</xdr:row>
      <xdr:rowOff>103909</xdr:rowOff>
    </xdr:from>
    <xdr:to>
      <xdr:col>7</xdr:col>
      <xdr:colOff>1331044</xdr:colOff>
      <xdr:row>225</xdr:row>
      <xdr:rowOff>656436</xdr:rowOff>
    </xdr:to>
    <xdr:pic>
      <xdr:nvPicPr>
        <xdr:cNvPr id="41" name="Imagen 40">
          <a:extLst>
            <a:ext uri="{FF2B5EF4-FFF2-40B4-BE49-F238E27FC236}">
              <a16:creationId xmlns:a16="http://schemas.microsoft.com/office/drawing/2014/main" id="{239092D2-92ED-8971-D03E-B61B738D2720}"/>
            </a:ext>
          </a:extLst>
        </xdr:cNvPr>
        <xdr:cNvPicPr>
          <a:picLocks noChangeAspect="1"/>
        </xdr:cNvPicPr>
      </xdr:nvPicPr>
      <xdr:blipFill>
        <a:blip xmlns:r="http://schemas.openxmlformats.org/officeDocument/2006/relationships" r:embed="rId64"/>
        <a:stretch>
          <a:fillRect/>
        </a:stretch>
      </xdr:blipFill>
      <xdr:spPr>
        <a:xfrm>
          <a:off x="8485909" y="224270454"/>
          <a:ext cx="1019317" cy="552527"/>
        </a:xfrm>
        <a:prstGeom prst="rect">
          <a:avLst/>
        </a:prstGeom>
      </xdr:spPr>
    </xdr:pic>
    <xdr:clientData/>
  </xdr:twoCellAnchor>
  <xdr:twoCellAnchor editAs="oneCell">
    <xdr:from>
      <xdr:col>7</xdr:col>
      <xdr:colOff>132051</xdr:colOff>
      <xdr:row>226</xdr:row>
      <xdr:rowOff>368012</xdr:rowOff>
    </xdr:from>
    <xdr:to>
      <xdr:col>7</xdr:col>
      <xdr:colOff>1569460</xdr:colOff>
      <xdr:row>226</xdr:row>
      <xdr:rowOff>874456</xdr:rowOff>
    </xdr:to>
    <xdr:pic>
      <xdr:nvPicPr>
        <xdr:cNvPr id="43" name="Imagen 42">
          <a:extLst>
            <a:ext uri="{FF2B5EF4-FFF2-40B4-BE49-F238E27FC236}">
              <a16:creationId xmlns:a16="http://schemas.microsoft.com/office/drawing/2014/main" id="{21A5E2EB-686C-4326-9D2D-03EFA96F6EAF}"/>
            </a:ext>
          </a:extLst>
        </xdr:cNvPr>
        <xdr:cNvPicPr>
          <a:picLocks noChangeAspect="1"/>
        </xdr:cNvPicPr>
      </xdr:nvPicPr>
      <xdr:blipFill>
        <a:blip xmlns:r="http://schemas.openxmlformats.org/officeDocument/2006/relationships" r:embed="rId63"/>
        <a:stretch>
          <a:fillRect/>
        </a:stretch>
      </xdr:blipFill>
      <xdr:spPr>
        <a:xfrm>
          <a:off x="8275926" y="225229450"/>
          <a:ext cx="1437409" cy="506444"/>
        </a:xfrm>
        <a:prstGeom prst="rect">
          <a:avLst/>
        </a:prstGeom>
      </xdr:spPr>
    </xdr:pic>
    <xdr:clientData/>
  </xdr:twoCellAnchor>
  <xdr:twoCellAnchor editAs="oneCell">
    <xdr:from>
      <xdr:col>7</xdr:col>
      <xdr:colOff>316056</xdr:colOff>
      <xdr:row>227</xdr:row>
      <xdr:rowOff>279256</xdr:rowOff>
    </xdr:from>
    <xdr:to>
      <xdr:col>7</xdr:col>
      <xdr:colOff>1292368</xdr:colOff>
      <xdr:row>227</xdr:row>
      <xdr:rowOff>730804</xdr:rowOff>
    </xdr:to>
    <xdr:pic>
      <xdr:nvPicPr>
        <xdr:cNvPr id="45" name="Imagen 44">
          <a:extLst>
            <a:ext uri="{FF2B5EF4-FFF2-40B4-BE49-F238E27FC236}">
              <a16:creationId xmlns:a16="http://schemas.microsoft.com/office/drawing/2014/main" id="{56248D64-74BF-2973-2A04-1F7BE3C9BD45}"/>
            </a:ext>
          </a:extLst>
        </xdr:cNvPr>
        <xdr:cNvPicPr>
          <a:picLocks noChangeAspect="1"/>
        </xdr:cNvPicPr>
      </xdr:nvPicPr>
      <xdr:blipFill rotWithShape="1">
        <a:blip xmlns:r="http://schemas.openxmlformats.org/officeDocument/2006/relationships" r:embed="rId65"/>
        <a:srcRect t="5474"/>
        <a:stretch/>
      </xdr:blipFill>
      <xdr:spPr>
        <a:xfrm>
          <a:off x="8490238" y="226368120"/>
          <a:ext cx="976312" cy="451548"/>
        </a:xfrm>
        <a:prstGeom prst="rect">
          <a:avLst/>
        </a:prstGeom>
      </xdr:spPr>
    </xdr:pic>
    <xdr:clientData/>
  </xdr:twoCellAnchor>
  <xdr:twoCellAnchor editAs="oneCell">
    <xdr:from>
      <xdr:col>7</xdr:col>
      <xdr:colOff>452437</xdr:colOff>
      <xdr:row>228</xdr:row>
      <xdr:rowOff>261938</xdr:rowOff>
    </xdr:from>
    <xdr:to>
      <xdr:col>7</xdr:col>
      <xdr:colOff>1428749</xdr:colOff>
      <xdr:row>228</xdr:row>
      <xdr:rowOff>713486</xdr:rowOff>
    </xdr:to>
    <xdr:pic>
      <xdr:nvPicPr>
        <xdr:cNvPr id="46" name="Imagen 45">
          <a:extLst>
            <a:ext uri="{FF2B5EF4-FFF2-40B4-BE49-F238E27FC236}">
              <a16:creationId xmlns:a16="http://schemas.microsoft.com/office/drawing/2014/main" id="{B76628DF-E2E9-4258-AFD0-B257E0E023E4}"/>
            </a:ext>
          </a:extLst>
        </xdr:cNvPr>
        <xdr:cNvPicPr>
          <a:picLocks noChangeAspect="1"/>
        </xdr:cNvPicPr>
      </xdr:nvPicPr>
      <xdr:blipFill rotWithShape="1">
        <a:blip xmlns:r="http://schemas.openxmlformats.org/officeDocument/2006/relationships" r:embed="rId65"/>
        <a:srcRect t="5474"/>
        <a:stretch/>
      </xdr:blipFill>
      <xdr:spPr>
        <a:xfrm>
          <a:off x="8596312" y="227076001"/>
          <a:ext cx="976312" cy="451548"/>
        </a:xfrm>
        <a:prstGeom prst="rect">
          <a:avLst/>
        </a:prstGeom>
      </xdr:spPr>
    </xdr:pic>
    <xdr:clientData/>
  </xdr:twoCellAnchor>
  <xdr:twoCellAnchor editAs="oneCell">
    <xdr:from>
      <xdr:col>7</xdr:col>
      <xdr:colOff>166687</xdr:colOff>
      <xdr:row>229</xdr:row>
      <xdr:rowOff>166687</xdr:rowOff>
    </xdr:from>
    <xdr:to>
      <xdr:col>7</xdr:col>
      <xdr:colOff>1523999</xdr:colOff>
      <xdr:row>229</xdr:row>
      <xdr:rowOff>636925</xdr:rowOff>
    </xdr:to>
    <xdr:pic>
      <xdr:nvPicPr>
        <xdr:cNvPr id="47" name="Imagen 46">
          <a:extLst>
            <a:ext uri="{FF2B5EF4-FFF2-40B4-BE49-F238E27FC236}">
              <a16:creationId xmlns:a16="http://schemas.microsoft.com/office/drawing/2014/main" id="{FD2A8B3D-4FD8-8AA8-9AF0-B81446BCE1D6}"/>
            </a:ext>
          </a:extLst>
        </xdr:cNvPr>
        <xdr:cNvPicPr>
          <a:picLocks noChangeAspect="1"/>
        </xdr:cNvPicPr>
      </xdr:nvPicPr>
      <xdr:blipFill rotWithShape="1">
        <a:blip xmlns:r="http://schemas.openxmlformats.org/officeDocument/2006/relationships" r:embed="rId66"/>
        <a:srcRect t="1799"/>
        <a:stretch/>
      </xdr:blipFill>
      <xdr:spPr>
        <a:xfrm>
          <a:off x="8310562" y="228123750"/>
          <a:ext cx="1357312" cy="470238"/>
        </a:xfrm>
        <a:prstGeom prst="rect">
          <a:avLst/>
        </a:prstGeom>
      </xdr:spPr>
    </xdr:pic>
    <xdr:clientData/>
  </xdr:twoCellAnchor>
  <xdr:twoCellAnchor editAs="oneCell">
    <xdr:from>
      <xdr:col>7</xdr:col>
      <xdr:colOff>142875</xdr:colOff>
      <xdr:row>230</xdr:row>
      <xdr:rowOff>166687</xdr:rowOff>
    </xdr:from>
    <xdr:to>
      <xdr:col>7</xdr:col>
      <xdr:colOff>1580284</xdr:colOff>
      <xdr:row>230</xdr:row>
      <xdr:rowOff>673131</xdr:rowOff>
    </xdr:to>
    <xdr:pic>
      <xdr:nvPicPr>
        <xdr:cNvPr id="48" name="Imagen 47">
          <a:extLst>
            <a:ext uri="{FF2B5EF4-FFF2-40B4-BE49-F238E27FC236}">
              <a16:creationId xmlns:a16="http://schemas.microsoft.com/office/drawing/2014/main" id="{4365D591-AB9F-44F3-8137-2025694FCD46}"/>
            </a:ext>
          </a:extLst>
        </xdr:cNvPr>
        <xdr:cNvPicPr>
          <a:picLocks noChangeAspect="1"/>
        </xdr:cNvPicPr>
      </xdr:nvPicPr>
      <xdr:blipFill>
        <a:blip xmlns:r="http://schemas.openxmlformats.org/officeDocument/2006/relationships" r:embed="rId63"/>
        <a:stretch>
          <a:fillRect/>
        </a:stretch>
      </xdr:blipFill>
      <xdr:spPr>
        <a:xfrm>
          <a:off x="8286750" y="228933375"/>
          <a:ext cx="1437409" cy="506444"/>
        </a:xfrm>
        <a:prstGeom prst="rect">
          <a:avLst/>
        </a:prstGeom>
      </xdr:spPr>
    </xdr:pic>
    <xdr:clientData/>
  </xdr:twoCellAnchor>
  <xdr:twoCellAnchor editAs="oneCell">
    <xdr:from>
      <xdr:col>7</xdr:col>
      <xdr:colOff>357188</xdr:colOff>
      <xdr:row>231</xdr:row>
      <xdr:rowOff>142875</xdr:rowOff>
    </xdr:from>
    <xdr:to>
      <xdr:col>7</xdr:col>
      <xdr:colOff>1500188</xdr:colOff>
      <xdr:row>231</xdr:row>
      <xdr:rowOff>714375</xdr:rowOff>
    </xdr:to>
    <xdr:pic>
      <xdr:nvPicPr>
        <xdr:cNvPr id="51" name="Imagen 50">
          <a:extLst>
            <a:ext uri="{FF2B5EF4-FFF2-40B4-BE49-F238E27FC236}">
              <a16:creationId xmlns:a16="http://schemas.microsoft.com/office/drawing/2014/main" id="{45BC9462-467A-4EFF-ADBC-014BF80E8AD3}"/>
            </a:ext>
          </a:extLst>
        </xdr:cNvPr>
        <xdr:cNvPicPr>
          <a:picLocks noChangeAspect="1"/>
        </xdr:cNvPicPr>
      </xdr:nvPicPr>
      <xdr:blipFill>
        <a:blip xmlns:r="http://schemas.openxmlformats.org/officeDocument/2006/relationships" r:embed="rId67"/>
        <a:stretch>
          <a:fillRect/>
        </a:stretch>
      </xdr:blipFill>
      <xdr:spPr>
        <a:xfrm>
          <a:off x="8501063" y="229719188"/>
          <a:ext cx="1143000" cy="571500"/>
        </a:xfrm>
        <a:prstGeom prst="rect">
          <a:avLst/>
        </a:prstGeom>
      </xdr:spPr>
    </xdr:pic>
    <xdr:clientData/>
  </xdr:twoCellAnchor>
  <xdr:twoCellAnchor editAs="oneCell">
    <xdr:from>
      <xdr:col>7</xdr:col>
      <xdr:colOff>571500</xdr:colOff>
      <xdr:row>232</xdr:row>
      <xdr:rowOff>119062</xdr:rowOff>
    </xdr:from>
    <xdr:to>
      <xdr:col>7</xdr:col>
      <xdr:colOff>1105061</xdr:colOff>
      <xdr:row>232</xdr:row>
      <xdr:rowOff>656099</xdr:rowOff>
    </xdr:to>
    <xdr:pic>
      <xdr:nvPicPr>
        <xdr:cNvPr id="52" name="Imagen 25">
          <a:extLst>
            <a:ext uri="{FF2B5EF4-FFF2-40B4-BE49-F238E27FC236}">
              <a16:creationId xmlns:a16="http://schemas.microsoft.com/office/drawing/2014/main" id="{3367BCB5-1841-46CA-8296-8C3CA31958D8}"/>
            </a:ext>
          </a:extLst>
        </xdr:cNvPr>
        <xdr:cNvPicPr>
          <a:picLocks noChangeAspect="1"/>
        </xdr:cNvPicPr>
      </xdr:nvPicPr>
      <xdr:blipFill>
        <a:blip xmlns:r="http://schemas.openxmlformats.org/officeDocument/2006/relationships" r:embed="rId43"/>
        <a:stretch>
          <a:fillRect/>
        </a:stretch>
      </xdr:blipFill>
      <xdr:spPr>
        <a:xfrm>
          <a:off x="8715375" y="230505000"/>
          <a:ext cx="533561" cy="537037"/>
        </a:xfrm>
        <a:prstGeom prst="rect">
          <a:avLst/>
        </a:prstGeom>
      </xdr:spPr>
    </xdr:pic>
    <xdr:clientData/>
  </xdr:twoCellAnchor>
  <xdr:twoCellAnchor editAs="oneCell">
    <xdr:from>
      <xdr:col>7</xdr:col>
      <xdr:colOff>309563</xdr:colOff>
      <xdr:row>233</xdr:row>
      <xdr:rowOff>95250</xdr:rowOff>
    </xdr:from>
    <xdr:to>
      <xdr:col>7</xdr:col>
      <xdr:colOff>1445426</xdr:colOff>
      <xdr:row>233</xdr:row>
      <xdr:rowOff>721360</xdr:rowOff>
    </xdr:to>
    <xdr:pic>
      <xdr:nvPicPr>
        <xdr:cNvPr id="53" name="Imagen 44">
          <a:extLst>
            <a:ext uri="{FF2B5EF4-FFF2-40B4-BE49-F238E27FC236}">
              <a16:creationId xmlns:a16="http://schemas.microsoft.com/office/drawing/2014/main" id="{ADD702DF-1CC2-47D8-B18E-D93FF89F5C2D}"/>
            </a:ext>
          </a:extLst>
        </xdr:cNvPr>
        <xdr:cNvPicPr>
          <a:picLocks noChangeAspect="1"/>
        </xdr:cNvPicPr>
      </xdr:nvPicPr>
      <xdr:blipFill>
        <a:blip xmlns:r="http://schemas.openxmlformats.org/officeDocument/2006/relationships" r:embed="rId57"/>
        <a:stretch>
          <a:fillRect/>
        </a:stretch>
      </xdr:blipFill>
      <xdr:spPr>
        <a:xfrm>
          <a:off x="8453438" y="231290813"/>
          <a:ext cx="1135863" cy="626110"/>
        </a:xfrm>
        <a:prstGeom prst="rect">
          <a:avLst/>
        </a:prstGeom>
      </xdr:spPr>
    </xdr:pic>
    <xdr:clientData/>
  </xdr:twoCellAnchor>
  <xdr:twoCellAnchor editAs="oneCell">
    <xdr:from>
      <xdr:col>7</xdr:col>
      <xdr:colOff>238126</xdr:colOff>
      <xdr:row>234</xdr:row>
      <xdr:rowOff>119062</xdr:rowOff>
    </xdr:from>
    <xdr:to>
      <xdr:col>7</xdr:col>
      <xdr:colOff>1476376</xdr:colOff>
      <xdr:row>234</xdr:row>
      <xdr:rowOff>766490</xdr:rowOff>
    </xdr:to>
    <xdr:pic>
      <xdr:nvPicPr>
        <xdr:cNvPr id="54" name="Imagen 53">
          <a:extLst>
            <a:ext uri="{FF2B5EF4-FFF2-40B4-BE49-F238E27FC236}">
              <a16:creationId xmlns:a16="http://schemas.microsoft.com/office/drawing/2014/main" id="{5A723FD4-51B3-6CE0-C175-6A0452E669D9}"/>
            </a:ext>
          </a:extLst>
        </xdr:cNvPr>
        <xdr:cNvPicPr>
          <a:picLocks noChangeAspect="1"/>
        </xdr:cNvPicPr>
      </xdr:nvPicPr>
      <xdr:blipFill>
        <a:blip xmlns:r="http://schemas.openxmlformats.org/officeDocument/2006/relationships" r:embed="rId68"/>
        <a:stretch>
          <a:fillRect/>
        </a:stretch>
      </xdr:blipFill>
      <xdr:spPr>
        <a:xfrm>
          <a:off x="8382001" y="232124250"/>
          <a:ext cx="1238250" cy="647428"/>
        </a:xfrm>
        <a:prstGeom prst="rect">
          <a:avLst/>
        </a:prstGeom>
      </xdr:spPr>
    </xdr:pic>
    <xdr:clientData/>
  </xdr:twoCellAnchor>
  <xdr:twoCellAnchor editAs="oneCell">
    <xdr:from>
      <xdr:col>7</xdr:col>
      <xdr:colOff>162032</xdr:colOff>
      <xdr:row>235</xdr:row>
      <xdr:rowOff>166687</xdr:rowOff>
    </xdr:from>
    <xdr:to>
      <xdr:col>7</xdr:col>
      <xdr:colOff>1613339</xdr:colOff>
      <xdr:row>235</xdr:row>
      <xdr:rowOff>666749</xdr:rowOff>
    </xdr:to>
    <xdr:pic>
      <xdr:nvPicPr>
        <xdr:cNvPr id="55" name="Imagen 54">
          <a:extLst>
            <a:ext uri="{FF2B5EF4-FFF2-40B4-BE49-F238E27FC236}">
              <a16:creationId xmlns:a16="http://schemas.microsoft.com/office/drawing/2014/main" id="{53B67341-05EB-F023-0B03-230A349655A6}"/>
            </a:ext>
          </a:extLst>
        </xdr:cNvPr>
        <xdr:cNvPicPr>
          <a:picLocks noChangeAspect="1"/>
        </xdr:cNvPicPr>
      </xdr:nvPicPr>
      <xdr:blipFill>
        <a:blip xmlns:r="http://schemas.openxmlformats.org/officeDocument/2006/relationships" r:embed="rId69"/>
        <a:stretch>
          <a:fillRect/>
        </a:stretch>
      </xdr:blipFill>
      <xdr:spPr>
        <a:xfrm>
          <a:off x="8305907" y="232981500"/>
          <a:ext cx="1451307" cy="500062"/>
        </a:xfrm>
        <a:prstGeom prst="rect">
          <a:avLst/>
        </a:prstGeom>
      </xdr:spPr>
    </xdr:pic>
    <xdr:clientData/>
  </xdr:twoCellAnchor>
  <xdr:twoCellAnchor editAs="oneCell">
    <xdr:from>
      <xdr:col>7</xdr:col>
      <xdr:colOff>261938</xdr:colOff>
      <xdr:row>236</xdr:row>
      <xdr:rowOff>95250</xdr:rowOff>
    </xdr:from>
    <xdr:to>
      <xdr:col>7</xdr:col>
      <xdr:colOff>1500188</xdr:colOff>
      <xdr:row>236</xdr:row>
      <xdr:rowOff>742678</xdr:rowOff>
    </xdr:to>
    <xdr:pic>
      <xdr:nvPicPr>
        <xdr:cNvPr id="56" name="Imagen 55">
          <a:extLst>
            <a:ext uri="{FF2B5EF4-FFF2-40B4-BE49-F238E27FC236}">
              <a16:creationId xmlns:a16="http://schemas.microsoft.com/office/drawing/2014/main" id="{88F4690D-B60B-4EB1-902C-A98BFA1DB06E}"/>
            </a:ext>
          </a:extLst>
        </xdr:cNvPr>
        <xdr:cNvPicPr>
          <a:picLocks noChangeAspect="1"/>
        </xdr:cNvPicPr>
      </xdr:nvPicPr>
      <xdr:blipFill>
        <a:blip xmlns:r="http://schemas.openxmlformats.org/officeDocument/2006/relationships" r:embed="rId68"/>
        <a:stretch>
          <a:fillRect/>
        </a:stretch>
      </xdr:blipFill>
      <xdr:spPr>
        <a:xfrm>
          <a:off x="8405813" y="233719688"/>
          <a:ext cx="1238250" cy="647428"/>
        </a:xfrm>
        <a:prstGeom prst="rect">
          <a:avLst/>
        </a:prstGeom>
      </xdr:spPr>
    </xdr:pic>
    <xdr:clientData/>
  </xdr:twoCellAnchor>
  <xdr:twoCellAnchor editAs="oneCell">
    <xdr:from>
      <xdr:col>7</xdr:col>
      <xdr:colOff>309561</xdr:colOff>
      <xdr:row>237</xdr:row>
      <xdr:rowOff>151804</xdr:rowOff>
    </xdr:from>
    <xdr:to>
      <xdr:col>7</xdr:col>
      <xdr:colOff>1523998</xdr:colOff>
      <xdr:row>237</xdr:row>
      <xdr:rowOff>713486</xdr:rowOff>
    </xdr:to>
    <xdr:pic>
      <xdr:nvPicPr>
        <xdr:cNvPr id="57" name="Imagen 56">
          <a:extLst>
            <a:ext uri="{FF2B5EF4-FFF2-40B4-BE49-F238E27FC236}">
              <a16:creationId xmlns:a16="http://schemas.microsoft.com/office/drawing/2014/main" id="{B1890E40-D494-4F8E-9722-0DDF15F3B07A}"/>
            </a:ext>
          </a:extLst>
        </xdr:cNvPr>
        <xdr:cNvPicPr>
          <a:picLocks noChangeAspect="1"/>
        </xdr:cNvPicPr>
      </xdr:nvPicPr>
      <xdr:blipFill rotWithShape="1">
        <a:blip xmlns:r="http://schemas.openxmlformats.org/officeDocument/2006/relationships" r:embed="rId65"/>
        <a:srcRect t="5474"/>
        <a:stretch/>
      </xdr:blipFill>
      <xdr:spPr>
        <a:xfrm>
          <a:off x="8453436" y="234585867"/>
          <a:ext cx="1214437" cy="561682"/>
        </a:xfrm>
        <a:prstGeom prst="rect">
          <a:avLst/>
        </a:prstGeom>
      </xdr:spPr>
    </xdr:pic>
    <xdr:clientData/>
  </xdr:twoCellAnchor>
  <xdr:twoCellAnchor editAs="oneCell">
    <xdr:from>
      <xdr:col>7</xdr:col>
      <xdr:colOff>333375</xdr:colOff>
      <xdr:row>238</xdr:row>
      <xdr:rowOff>119062</xdr:rowOff>
    </xdr:from>
    <xdr:to>
      <xdr:col>7</xdr:col>
      <xdr:colOff>1476375</xdr:colOff>
      <xdr:row>238</xdr:row>
      <xdr:rowOff>690562</xdr:rowOff>
    </xdr:to>
    <xdr:pic>
      <xdr:nvPicPr>
        <xdr:cNvPr id="58" name="Imagen 57">
          <a:extLst>
            <a:ext uri="{FF2B5EF4-FFF2-40B4-BE49-F238E27FC236}">
              <a16:creationId xmlns:a16="http://schemas.microsoft.com/office/drawing/2014/main" id="{3AA6DDD2-2992-4000-8F1E-1563521299ED}"/>
            </a:ext>
          </a:extLst>
        </xdr:cNvPr>
        <xdr:cNvPicPr>
          <a:picLocks noChangeAspect="1"/>
        </xdr:cNvPicPr>
      </xdr:nvPicPr>
      <xdr:blipFill>
        <a:blip xmlns:r="http://schemas.openxmlformats.org/officeDocument/2006/relationships" r:embed="rId67"/>
        <a:stretch>
          <a:fillRect/>
        </a:stretch>
      </xdr:blipFill>
      <xdr:spPr>
        <a:xfrm>
          <a:off x="8477250" y="235362750"/>
          <a:ext cx="1143000" cy="571500"/>
        </a:xfrm>
        <a:prstGeom prst="rect">
          <a:avLst/>
        </a:prstGeom>
      </xdr:spPr>
    </xdr:pic>
    <xdr:clientData/>
  </xdr:twoCellAnchor>
  <xdr:twoCellAnchor editAs="oneCell">
    <xdr:from>
      <xdr:col>7</xdr:col>
      <xdr:colOff>166687</xdr:colOff>
      <xdr:row>239</xdr:row>
      <xdr:rowOff>119063</xdr:rowOff>
    </xdr:from>
    <xdr:to>
      <xdr:col>7</xdr:col>
      <xdr:colOff>1604096</xdr:colOff>
      <xdr:row>239</xdr:row>
      <xdr:rowOff>625507</xdr:rowOff>
    </xdr:to>
    <xdr:pic>
      <xdr:nvPicPr>
        <xdr:cNvPr id="59" name="Imagen 58">
          <a:extLst>
            <a:ext uri="{FF2B5EF4-FFF2-40B4-BE49-F238E27FC236}">
              <a16:creationId xmlns:a16="http://schemas.microsoft.com/office/drawing/2014/main" id="{C59D54E0-F663-4465-8779-EA8D9068DDD1}"/>
            </a:ext>
          </a:extLst>
        </xdr:cNvPr>
        <xdr:cNvPicPr>
          <a:picLocks noChangeAspect="1"/>
        </xdr:cNvPicPr>
      </xdr:nvPicPr>
      <xdr:blipFill>
        <a:blip xmlns:r="http://schemas.openxmlformats.org/officeDocument/2006/relationships" r:embed="rId63"/>
        <a:stretch>
          <a:fillRect/>
        </a:stretch>
      </xdr:blipFill>
      <xdr:spPr>
        <a:xfrm>
          <a:off x="8310562" y="236172376"/>
          <a:ext cx="1437409" cy="506444"/>
        </a:xfrm>
        <a:prstGeom prst="rect">
          <a:avLst/>
        </a:prstGeom>
      </xdr:spPr>
    </xdr:pic>
    <xdr:clientData/>
  </xdr:twoCellAnchor>
  <xdr:twoCellAnchor editAs="oneCell">
    <xdr:from>
      <xdr:col>7</xdr:col>
      <xdr:colOff>690562</xdr:colOff>
      <xdr:row>240</xdr:row>
      <xdr:rowOff>144812</xdr:rowOff>
    </xdr:from>
    <xdr:to>
      <xdr:col>7</xdr:col>
      <xdr:colOff>1214437</xdr:colOff>
      <xdr:row>240</xdr:row>
      <xdr:rowOff>685655</xdr:rowOff>
    </xdr:to>
    <xdr:pic>
      <xdr:nvPicPr>
        <xdr:cNvPr id="60" name="Imagen 59">
          <a:extLst>
            <a:ext uri="{FF2B5EF4-FFF2-40B4-BE49-F238E27FC236}">
              <a16:creationId xmlns:a16="http://schemas.microsoft.com/office/drawing/2014/main" id="{A403ACB6-2F4A-4A61-AF9C-23CC8F3B6843}"/>
            </a:ext>
          </a:extLst>
        </xdr:cNvPr>
        <xdr:cNvPicPr>
          <a:picLocks noChangeAspect="1"/>
        </xdr:cNvPicPr>
      </xdr:nvPicPr>
      <xdr:blipFill>
        <a:blip xmlns:r="http://schemas.openxmlformats.org/officeDocument/2006/relationships" r:embed="rId25"/>
        <a:stretch>
          <a:fillRect/>
        </a:stretch>
      </xdr:blipFill>
      <xdr:spPr>
        <a:xfrm>
          <a:off x="8834437" y="237007750"/>
          <a:ext cx="523875" cy="540843"/>
        </a:xfrm>
        <a:prstGeom prst="rect">
          <a:avLst/>
        </a:prstGeom>
      </xdr:spPr>
    </xdr:pic>
    <xdr:clientData/>
  </xdr:twoCellAnchor>
  <xdr:twoCellAnchor editAs="oneCell">
    <xdr:from>
      <xdr:col>7</xdr:col>
      <xdr:colOff>642937</xdr:colOff>
      <xdr:row>241</xdr:row>
      <xdr:rowOff>166688</xdr:rowOff>
    </xdr:from>
    <xdr:to>
      <xdr:col>7</xdr:col>
      <xdr:colOff>1166812</xdr:colOff>
      <xdr:row>241</xdr:row>
      <xdr:rowOff>707531</xdr:rowOff>
    </xdr:to>
    <xdr:pic>
      <xdr:nvPicPr>
        <xdr:cNvPr id="61" name="Imagen 60">
          <a:extLst>
            <a:ext uri="{FF2B5EF4-FFF2-40B4-BE49-F238E27FC236}">
              <a16:creationId xmlns:a16="http://schemas.microsoft.com/office/drawing/2014/main" id="{87F00B13-61EC-42B4-9FB5-0A476F3D3274}"/>
            </a:ext>
          </a:extLst>
        </xdr:cNvPr>
        <xdr:cNvPicPr>
          <a:picLocks noChangeAspect="1"/>
        </xdr:cNvPicPr>
      </xdr:nvPicPr>
      <xdr:blipFill>
        <a:blip xmlns:r="http://schemas.openxmlformats.org/officeDocument/2006/relationships" r:embed="rId25"/>
        <a:stretch>
          <a:fillRect/>
        </a:stretch>
      </xdr:blipFill>
      <xdr:spPr>
        <a:xfrm>
          <a:off x="8786812" y="237839251"/>
          <a:ext cx="523875" cy="540843"/>
        </a:xfrm>
        <a:prstGeom prst="rect">
          <a:avLst/>
        </a:prstGeom>
      </xdr:spPr>
    </xdr:pic>
    <xdr:clientData/>
  </xdr:twoCellAnchor>
  <xdr:twoCellAnchor editAs="oneCell">
    <xdr:from>
      <xdr:col>7</xdr:col>
      <xdr:colOff>714375</xdr:colOff>
      <xdr:row>242</xdr:row>
      <xdr:rowOff>142875</xdr:rowOff>
    </xdr:from>
    <xdr:to>
      <xdr:col>7</xdr:col>
      <xdr:colOff>1238250</xdr:colOff>
      <xdr:row>242</xdr:row>
      <xdr:rowOff>683718</xdr:rowOff>
    </xdr:to>
    <xdr:pic>
      <xdr:nvPicPr>
        <xdr:cNvPr id="62" name="Imagen 61">
          <a:extLst>
            <a:ext uri="{FF2B5EF4-FFF2-40B4-BE49-F238E27FC236}">
              <a16:creationId xmlns:a16="http://schemas.microsoft.com/office/drawing/2014/main" id="{F15D8579-B7B5-45D3-8BD1-C0ADB0FF67AD}"/>
            </a:ext>
          </a:extLst>
        </xdr:cNvPr>
        <xdr:cNvPicPr>
          <a:picLocks noChangeAspect="1"/>
        </xdr:cNvPicPr>
      </xdr:nvPicPr>
      <xdr:blipFill>
        <a:blip xmlns:r="http://schemas.openxmlformats.org/officeDocument/2006/relationships" r:embed="rId25"/>
        <a:stretch>
          <a:fillRect/>
        </a:stretch>
      </xdr:blipFill>
      <xdr:spPr>
        <a:xfrm>
          <a:off x="8858250" y="238625063"/>
          <a:ext cx="523875" cy="540843"/>
        </a:xfrm>
        <a:prstGeom prst="rect">
          <a:avLst/>
        </a:prstGeom>
      </xdr:spPr>
    </xdr:pic>
    <xdr:clientData/>
  </xdr:twoCellAnchor>
  <xdr:twoCellAnchor editAs="oneCell">
    <xdr:from>
      <xdr:col>7</xdr:col>
      <xdr:colOff>285750</xdr:colOff>
      <xdr:row>243</xdr:row>
      <xdr:rowOff>95250</xdr:rowOff>
    </xdr:from>
    <xdr:to>
      <xdr:col>7</xdr:col>
      <xdr:colOff>1428750</xdr:colOff>
      <xdr:row>243</xdr:row>
      <xdr:rowOff>666750</xdr:rowOff>
    </xdr:to>
    <xdr:pic>
      <xdr:nvPicPr>
        <xdr:cNvPr id="63" name="Imagen 62">
          <a:extLst>
            <a:ext uri="{FF2B5EF4-FFF2-40B4-BE49-F238E27FC236}">
              <a16:creationId xmlns:a16="http://schemas.microsoft.com/office/drawing/2014/main" id="{81561F6C-D00D-451B-89A1-3A18881BC638}"/>
            </a:ext>
          </a:extLst>
        </xdr:cNvPr>
        <xdr:cNvPicPr>
          <a:picLocks noChangeAspect="1"/>
        </xdr:cNvPicPr>
      </xdr:nvPicPr>
      <xdr:blipFill>
        <a:blip xmlns:r="http://schemas.openxmlformats.org/officeDocument/2006/relationships" r:embed="rId67"/>
        <a:stretch>
          <a:fillRect/>
        </a:stretch>
      </xdr:blipFill>
      <xdr:spPr>
        <a:xfrm>
          <a:off x="8429625" y="239387063"/>
          <a:ext cx="1143000" cy="571500"/>
        </a:xfrm>
        <a:prstGeom prst="rect">
          <a:avLst/>
        </a:prstGeom>
      </xdr:spPr>
    </xdr:pic>
    <xdr:clientData/>
  </xdr:twoCellAnchor>
  <xdr:twoCellAnchor editAs="oneCell">
    <xdr:from>
      <xdr:col>7</xdr:col>
      <xdr:colOff>357188</xdr:colOff>
      <xdr:row>244</xdr:row>
      <xdr:rowOff>95250</xdr:rowOff>
    </xdr:from>
    <xdr:to>
      <xdr:col>7</xdr:col>
      <xdr:colOff>1493051</xdr:colOff>
      <xdr:row>244</xdr:row>
      <xdr:rowOff>721360</xdr:rowOff>
    </xdr:to>
    <xdr:pic>
      <xdr:nvPicPr>
        <xdr:cNvPr id="129" name="Imagen 44">
          <a:extLst>
            <a:ext uri="{FF2B5EF4-FFF2-40B4-BE49-F238E27FC236}">
              <a16:creationId xmlns:a16="http://schemas.microsoft.com/office/drawing/2014/main" id="{6C0C5F43-A29A-4DDD-B8F6-4F5821311887}"/>
            </a:ext>
          </a:extLst>
        </xdr:cNvPr>
        <xdr:cNvPicPr>
          <a:picLocks noChangeAspect="1"/>
        </xdr:cNvPicPr>
      </xdr:nvPicPr>
      <xdr:blipFill>
        <a:blip xmlns:r="http://schemas.openxmlformats.org/officeDocument/2006/relationships" r:embed="rId57"/>
        <a:stretch>
          <a:fillRect/>
        </a:stretch>
      </xdr:blipFill>
      <xdr:spPr>
        <a:xfrm>
          <a:off x="8501063" y="240196688"/>
          <a:ext cx="1135863" cy="626110"/>
        </a:xfrm>
        <a:prstGeom prst="rect">
          <a:avLst/>
        </a:prstGeom>
      </xdr:spPr>
    </xdr:pic>
    <xdr:clientData/>
  </xdr:twoCellAnchor>
  <xdr:twoCellAnchor editAs="oneCell">
    <xdr:from>
      <xdr:col>7</xdr:col>
      <xdr:colOff>404813</xdr:colOff>
      <xdr:row>245</xdr:row>
      <xdr:rowOff>71438</xdr:rowOff>
    </xdr:from>
    <xdr:to>
      <xdr:col>7</xdr:col>
      <xdr:colOff>1540676</xdr:colOff>
      <xdr:row>245</xdr:row>
      <xdr:rowOff>697548</xdr:rowOff>
    </xdr:to>
    <xdr:pic>
      <xdr:nvPicPr>
        <xdr:cNvPr id="130" name="Imagen 44">
          <a:extLst>
            <a:ext uri="{FF2B5EF4-FFF2-40B4-BE49-F238E27FC236}">
              <a16:creationId xmlns:a16="http://schemas.microsoft.com/office/drawing/2014/main" id="{D2E3189F-8236-47BD-89A0-8911091698B9}"/>
            </a:ext>
          </a:extLst>
        </xdr:cNvPr>
        <xdr:cNvPicPr>
          <a:picLocks noChangeAspect="1"/>
        </xdr:cNvPicPr>
      </xdr:nvPicPr>
      <xdr:blipFill>
        <a:blip xmlns:r="http://schemas.openxmlformats.org/officeDocument/2006/relationships" r:embed="rId57"/>
        <a:stretch>
          <a:fillRect/>
        </a:stretch>
      </xdr:blipFill>
      <xdr:spPr>
        <a:xfrm>
          <a:off x="8548688" y="240982501"/>
          <a:ext cx="1135863" cy="626110"/>
        </a:xfrm>
        <a:prstGeom prst="rect">
          <a:avLst/>
        </a:prstGeom>
      </xdr:spPr>
    </xdr:pic>
    <xdr:clientData/>
  </xdr:twoCellAnchor>
  <xdr:twoCellAnchor editAs="oneCell">
    <xdr:from>
      <xdr:col>7</xdr:col>
      <xdr:colOff>166688</xdr:colOff>
      <xdr:row>246</xdr:row>
      <xdr:rowOff>119063</xdr:rowOff>
    </xdr:from>
    <xdr:to>
      <xdr:col>7</xdr:col>
      <xdr:colOff>1604097</xdr:colOff>
      <xdr:row>246</xdr:row>
      <xdr:rowOff>625507</xdr:rowOff>
    </xdr:to>
    <xdr:pic>
      <xdr:nvPicPr>
        <xdr:cNvPr id="131" name="Imagen 130">
          <a:extLst>
            <a:ext uri="{FF2B5EF4-FFF2-40B4-BE49-F238E27FC236}">
              <a16:creationId xmlns:a16="http://schemas.microsoft.com/office/drawing/2014/main" id="{AD2FDAA7-AD88-4399-B7B1-E14034976F96}"/>
            </a:ext>
          </a:extLst>
        </xdr:cNvPr>
        <xdr:cNvPicPr>
          <a:picLocks noChangeAspect="1"/>
        </xdr:cNvPicPr>
      </xdr:nvPicPr>
      <xdr:blipFill>
        <a:blip xmlns:r="http://schemas.openxmlformats.org/officeDocument/2006/relationships" r:embed="rId63"/>
        <a:stretch>
          <a:fillRect/>
        </a:stretch>
      </xdr:blipFill>
      <xdr:spPr>
        <a:xfrm>
          <a:off x="8310563" y="241839751"/>
          <a:ext cx="1437409" cy="506444"/>
        </a:xfrm>
        <a:prstGeom prst="rect">
          <a:avLst/>
        </a:prstGeom>
      </xdr:spPr>
    </xdr:pic>
    <xdr:clientData/>
  </xdr:twoCellAnchor>
  <xdr:twoCellAnchor editAs="oneCell">
    <xdr:from>
      <xdr:col>7</xdr:col>
      <xdr:colOff>357187</xdr:colOff>
      <xdr:row>247</xdr:row>
      <xdr:rowOff>95250</xdr:rowOff>
    </xdr:from>
    <xdr:to>
      <xdr:col>7</xdr:col>
      <xdr:colOff>1493050</xdr:colOff>
      <xdr:row>247</xdr:row>
      <xdr:rowOff>721360</xdr:rowOff>
    </xdr:to>
    <xdr:pic>
      <xdr:nvPicPr>
        <xdr:cNvPr id="132" name="Imagen 44">
          <a:extLst>
            <a:ext uri="{FF2B5EF4-FFF2-40B4-BE49-F238E27FC236}">
              <a16:creationId xmlns:a16="http://schemas.microsoft.com/office/drawing/2014/main" id="{05322BA2-BE59-4DA3-B73A-1B91DCA38DDF}"/>
            </a:ext>
          </a:extLst>
        </xdr:cNvPr>
        <xdr:cNvPicPr>
          <a:picLocks noChangeAspect="1"/>
        </xdr:cNvPicPr>
      </xdr:nvPicPr>
      <xdr:blipFill>
        <a:blip xmlns:r="http://schemas.openxmlformats.org/officeDocument/2006/relationships" r:embed="rId57"/>
        <a:stretch>
          <a:fillRect/>
        </a:stretch>
      </xdr:blipFill>
      <xdr:spPr>
        <a:xfrm>
          <a:off x="8501062" y="242625563"/>
          <a:ext cx="1135863" cy="626110"/>
        </a:xfrm>
        <a:prstGeom prst="rect">
          <a:avLst/>
        </a:prstGeom>
      </xdr:spPr>
    </xdr:pic>
    <xdr:clientData/>
  </xdr:twoCellAnchor>
  <xdr:twoCellAnchor editAs="oneCell">
    <xdr:from>
      <xdr:col>7</xdr:col>
      <xdr:colOff>619125</xdr:colOff>
      <xdr:row>248</xdr:row>
      <xdr:rowOff>95250</xdr:rowOff>
    </xdr:from>
    <xdr:to>
      <xdr:col>7</xdr:col>
      <xdr:colOff>1242835</xdr:colOff>
      <xdr:row>248</xdr:row>
      <xdr:rowOff>750496</xdr:rowOff>
    </xdr:to>
    <xdr:pic>
      <xdr:nvPicPr>
        <xdr:cNvPr id="133" name="Imagen 132">
          <a:extLst>
            <a:ext uri="{FF2B5EF4-FFF2-40B4-BE49-F238E27FC236}">
              <a16:creationId xmlns:a16="http://schemas.microsoft.com/office/drawing/2014/main" id="{34015340-F6E1-D8CE-E26E-5623CA55D633}"/>
            </a:ext>
          </a:extLst>
        </xdr:cNvPr>
        <xdr:cNvPicPr>
          <a:picLocks noChangeAspect="1"/>
        </xdr:cNvPicPr>
      </xdr:nvPicPr>
      <xdr:blipFill>
        <a:blip xmlns:r="http://schemas.openxmlformats.org/officeDocument/2006/relationships" r:embed="rId70"/>
        <a:stretch>
          <a:fillRect/>
        </a:stretch>
      </xdr:blipFill>
      <xdr:spPr>
        <a:xfrm>
          <a:off x="8763000" y="243435188"/>
          <a:ext cx="623710" cy="655246"/>
        </a:xfrm>
        <a:prstGeom prst="rect">
          <a:avLst/>
        </a:prstGeom>
      </xdr:spPr>
    </xdr:pic>
    <xdr:clientData/>
  </xdr:twoCellAnchor>
  <xdr:twoCellAnchor editAs="oneCell">
    <xdr:from>
      <xdr:col>7</xdr:col>
      <xdr:colOff>285750</xdr:colOff>
      <xdr:row>249</xdr:row>
      <xdr:rowOff>142875</xdr:rowOff>
    </xdr:from>
    <xdr:to>
      <xdr:col>7</xdr:col>
      <xdr:colOff>1428750</xdr:colOff>
      <xdr:row>249</xdr:row>
      <xdr:rowOff>714375</xdr:rowOff>
    </xdr:to>
    <xdr:pic>
      <xdr:nvPicPr>
        <xdr:cNvPr id="135" name="Imagen 134">
          <a:extLst>
            <a:ext uri="{FF2B5EF4-FFF2-40B4-BE49-F238E27FC236}">
              <a16:creationId xmlns:a16="http://schemas.microsoft.com/office/drawing/2014/main" id="{C3BED020-F2FF-4ED5-BCF8-975D7DC521F9}"/>
            </a:ext>
          </a:extLst>
        </xdr:cNvPr>
        <xdr:cNvPicPr>
          <a:picLocks noChangeAspect="1"/>
        </xdr:cNvPicPr>
      </xdr:nvPicPr>
      <xdr:blipFill>
        <a:blip xmlns:r="http://schemas.openxmlformats.org/officeDocument/2006/relationships" r:embed="rId67"/>
        <a:stretch>
          <a:fillRect/>
        </a:stretch>
      </xdr:blipFill>
      <xdr:spPr>
        <a:xfrm>
          <a:off x="8429625" y="244292438"/>
          <a:ext cx="1143000" cy="571500"/>
        </a:xfrm>
        <a:prstGeom prst="rect">
          <a:avLst/>
        </a:prstGeom>
      </xdr:spPr>
    </xdr:pic>
    <xdr:clientData/>
  </xdr:twoCellAnchor>
  <xdr:twoCellAnchor editAs="oneCell">
    <xdr:from>
      <xdr:col>7</xdr:col>
      <xdr:colOff>285750</xdr:colOff>
      <xdr:row>251</xdr:row>
      <xdr:rowOff>95250</xdr:rowOff>
    </xdr:from>
    <xdr:to>
      <xdr:col>7</xdr:col>
      <xdr:colOff>1428750</xdr:colOff>
      <xdr:row>251</xdr:row>
      <xdr:rowOff>666750</xdr:rowOff>
    </xdr:to>
    <xdr:pic>
      <xdr:nvPicPr>
        <xdr:cNvPr id="136" name="Imagen 135">
          <a:extLst>
            <a:ext uri="{FF2B5EF4-FFF2-40B4-BE49-F238E27FC236}">
              <a16:creationId xmlns:a16="http://schemas.microsoft.com/office/drawing/2014/main" id="{D7E71F34-F7FC-49C6-8462-7E203B142777}"/>
            </a:ext>
          </a:extLst>
        </xdr:cNvPr>
        <xdr:cNvPicPr>
          <a:picLocks noChangeAspect="1"/>
        </xdr:cNvPicPr>
      </xdr:nvPicPr>
      <xdr:blipFill>
        <a:blip xmlns:r="http://schemas.openxmlformats.org/officeDocument/2006/relationships" r:embed="rId67"/>
        <a:stretch>
          <a:fillRect/>
        </a:stretch>
      </xdr:blipFill>
      <xdr:spPr>
        <a:xfrm>
          <a:off x="8429625" y="245864063"/>
          <a:ext cx="1143000" cy="571500"/>
        </a:xfrm>
        <a:prstGeom prst="rect">
          <a:avLst/>
        </a:prstGeom>
      </xdr:spPr>
    </xdr:pic>
    <xdr:clientData/>
  </xdr:twoCellAnchor>
  <xdr:twoCellAnchor editAs="oneCell">
    <xdr:from>
      <xdr:col>7</xdr:col>
      <xdr:colOff>238125</xdr:colOff>
      <xdr:row>252</xdr:row>
      <xdr:rowOff>119063</xdr:rowOff>
    </xdr:from>
    <xdr:to>
      <xdr:col>7</xdr:col>
      <xdr:colOff>1381125</xdr:colOff>
      <xdr:row>252</xdr:row>
      <xdr:rowOff>690563</xdr:rowOff>
    </xdr:to>
    <xdr:pic>
      <xdr:nvPicPr>
        <xdr:cNvPr id="137" name="Imagen 136">
          <a:extLst>
            <a:ext uri="{FF2B5EF4-FFF2-40B4-BE49-F238E27FC236}">
              <a16:creationId xmlns:a16="http://schemas.microsoft.com/office/drawing/2014/main" id="{E18D3748-7062-43DD-B6EB-B217A3622916}"/>
            </a:ext>
          </a:extLst>
        </xdr:cNvPr>
        <xdr:cNvPicPr>
          <a:picLocks noChangeAspect="1"/>
        </xdr:cNvPicPr>
      </xdr:nvPicPr>
      <xdr:blipFill>
        <a:blip xmlns:r="http://schemas.openxmlformats.org/officeDocument/2006/relationships" r:embed="rId67"/>
        <a:stretch>
          <a:fillRect/>
        </a:stretch>
      </xdr:blipFill>
      <xdr:spPr>
        <a:xfrm>
          <a:off x="8382000" y="246697501"/>
          <a:ext cx="1143000" cy="571500"/>
        </a:xfrm>
        <a:prstGeom prst="rect">
          <a:avLst/>
        </a:prstGeom>
      </xdr:spPr>
    </xdr:pic>
    <xdr:clientData/>
  </xdr:twoCellAnchor>
  <xdr:twoCellAnchor editAs="oneCell">
    <xdr:from>
      <xdr:col>7</xdr:col>
      <xdr:colOff>642938</xdr:colOff>
      <xdr:row>253</xdr:row>
      <xdr:rowOff>71437</xdr:rowOff>
    </xdr:from>
    <xdr:to>
      <xdr:col>7</xdr:col>
      <xdr:colOff>1266648</xdr:colOff>
      <xdr:row>253</xdr:row>
      <xdr:rowOff>726683</xdr:rowOff>
    </xdr:to>
    <xdr:pic>
      <xdr:nvPicPr>
        <xdr:cNvPr id="138" name="Imagen 137">
          <a:extLst>
            <a:ext uri="{FF2B5EF4-FFF2-40B4-BE49-F238E27FC236}">
              <a16:creationId xmlns:a16="http://schemas.microsoft.com/office/drawing/2014/main" id="{0C339DB8-529B-4A3C-A1B4-557BB982967D}"/>
            </a:ext>
          </a:extLst>
        </xdr:cNvPr>
        <xdr:cNvPicPr>
          <a:picLocks noChangeAspect="1"/>
        </xdr:cNvPicPr>
      </xdr:nvPicPr>
      <xdr:blipFill>
        <a:blip xmlns:r="http://schemas.openxmlformats.org/officeDocument/2006/relationships" r:embed="rId70"/>
        <a:stretch>
          <a:fillRect/>
        </a:stretch>
      </xdr:blipFill>
      <xdr:spPr>
        <a:xfrm>
          <a:off x="8786813" y="247459500"/>
          <a:ext cx="623710" cy="65524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uben Martinez Lopez" id="{C9AF9316-F522-4E49-9076-5D0C142ADFA3}" userId="S::rmartinez@leitat.org::a53556bf-1c3a-4e65-9989-436ae73fb34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5CBE7-D134-4BF8-A138-2ABB30ED3062}" name="Tabla1" displayName="Tabla1" ref="A1:W254" totalsRowShown="0" headerRowDxfId="102" dataDxfId="101">
  <autoFilter ref="A1:W254" xr:uid="{9D193A02-B282-4126-BA9F-5A31C0A2034F}"/>
  <tableColumns count="23">
    <tableColumn id="1" xr3:uid="{90164527-3C0C-49BE-827F-0FC9D182A395}" name="Compound" dataDxfId="100"/>
    <tableColumn id="18" xr3:uid="{67891667-3ABE-44AE-ADCC-4DA72684E176}" name="Prec.Tox code" dataDxfId="99"/>
    <tableColumn id="10" xr3:uid="{B90A0608-9548-453E-9ABB-F1E427E6D419}" name="Acronym" dataDxfId="98"/>
    <tableColumn id="2" xr3:uid="{05C42E9E-485D-4CA6-A0E5-D5792068BB63}" name="Formula" dataDxfId="97"/>
    <tableColumn id="3" xr3:uid="{7CE0E268-BF42-4E73-8F16-DC32D55B2F36}" name="CAS number" dataDxfId="96"/>
    <tableColumn id="4" xr3:uid="{99B664A1-D3A7-4B76-8276-FEC91993934B}" name="Solubility (DMSO)" dataDxfId="95"/>
    <tableColumn id="5" xr3:uid="{A3D0DC0B-B8FC-41B2-9CB4-8095C8E88022}" name="Solubility (H2O)" dataDxfId="94"/>
    <tableColumn id="17" xr3:uid="{B5F729C0-7162-4144-9AED-27C01DAA10CA}" name="Pictograms" dataDxfId="93"/>
    <tableColumn id="6" xr3:uid="{8F261A8C-AFD7-40D9-9D2E-491A0C3A87D2}" name="UN numbers" dataDxfId="92"/>
    <tableColumn id="7" xr3:uid="{69AD6F66-90F7-4D61-8467-78054B68DD22}" name="Transport toxicity group" dataDxfId="91"/>
    <tableColumn id="8" xr3:uid="{60A7D2E8-FE39-46FF-85B3-28780D066695}" name="Packaging group" dataDxfId="90"/>
    <tableColumn id="9" xr3:uid="{91BFCC21-3BE7-4374-8586-FB916D655EC0}" name="ICAO/IATA " dataDxfId="89"/>
    <tableColumn id="11" xr3:uid="{A9006214-6353-4875-BFEA-B6789A050030}" name="EC50 fish" dataDxfId="88"/>
    <tableColumn id="12" xr3:uid="{E27894A1-0F7F-4986-99DE-185C9142F3A9}" name="EC50 daphnia" dataDxfId="87"/>
    <tableColumn id="13" xr3:uid="{CB92C648-7AEA-403D-A8EA-4EA9EB66A5B0}" name="Storage conditions" dataDxfId="86"/>
    <tableColumn id="16" xr3:uid="{657D3A5D-AACC-49AD-A3A9-94F2FD90D167}" name="Properties" dataDxfId="85"/>
    <tableColumn id="15" xr3:uid="{BEC69D51-9348-43ED-8A7C-7DACFFB4F276}" name="Incompatibilities" dataDxfId="84"/>
    <tableColumn id="14" xr3:uid="{00CDB60A-305B-4968-B658-EC4EA3E8BAF9}" name="Other info" dataDxfId="83"/>
    <tableColumn id="19" xr3:uid="{7B924A3A-88C8-4368-8E98-FFF5FD2B36F5}" name="TSCA status" dataDxfId="82"/>
    <tableColumn id="20" xr3:uid="{9A37849A-B923-4BCA-A543-35C76424C6F4}" name="HTS (or HS code for custom borders)" dataDxfId="81"/>
    <tableColumn id="23" xr3:uid="{C295D558-1607-4986-9080-9AB0C08126C7}" name="GB PIC List" dataDxfId="80"/>
    <tableColumn id="21" xr3:uid="{44A749A1-34A7-4F12-8B21-556E83DA78B7}" name="IATA" dataDxfId="79"/>
    <tableColumn id="22" xr3:uid="{18E48103-B44D-47E9-9268-B46BDAFACB3D}" name="(exempted g or ml)" dataDxfId="78">
      <calculatedColumnFormula>IF(V2="E0",0,IF(V2="E1",30,IF(V2="E2",30,IF(V2="E3",30,IF(V2="E4",1,IF(V2="E5",1, "Not regulated; any amount limit in internal packages"))))))</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6EA832-EBAF-4771-8C96-2E442F7BCB5E}" name="Tabla13" displayName="Tabla13" ref="A1:X254" totalsRowShown="0" headerRowDxfId="67" dataDxfId="66">
  <autoFilter ref="A1:X254" xr:uid="{9D193A02-B282-4126-BA9F-5A31C0A2034F}"/>
  <tableColumns count="24">
    <tableColumn id="1" xr3:uid="{7C5CAE00-826C-4479-9529-9A0513615302}" name="Compound" dataDxfId="65"/>
    <tableColumn id="18" xr3:uid="{F3A14CB0-B9C6-4F3A-914D-C1FEBB58B21E}" name="Prec.Tox code" dataDxfId="64"/>
    <tableColumn id="2" xr3:uid="{F3CF4DCE-204B-4F20-812F-F17B98E8C940}" name="Formula" dataDxfId="63"/>
    <tableColumn id="3" xr3:uid="{18539109-548E-4A06-AF88-9DF1849D8512}" name="CAS number" dataDxfId="62"/>
    <tableColumn id="13" xr3:uid="{B2270BD7-9EAC-40AD-9CC2-FD9A607848C7}" name="Storage conditions" dataDxfId="61"/>
    <tableColumn id="4" xr3:uid="{F2392B90-DB38-49AE-9237-EC323028BFA3}" name="Solubility (DMSO)" dataDxfId="60"/>
    <tableColumn id="5" xr3:uid="{140DDA36-80DC-49E4-B43B-4CB5801BA92D}" name="Solubility (H2O)" dataDxfId="59"/>
    <tableColumn id="11" xr3:uid="{0668291A-8D6B-47F5-B0BD-380D03FA9372}" name="EC50 fish" dataDxfId="58"/>
    <tableColumn id="12" xr3:uid="{14156787-F632-413A-A915-3E5BCBD7F49D}" name="EC50 daphnia" dataDxfId="57"/>
    <tableColumn id="6" xr3:uid="{ADD55544-C8D7-4EBD-8735-109632E9E47B}" name="Price" dataDxfId="56"/>
    <tableColumn id="8" xr3:uid="{B47E833A-5929-4A34-960F-5E940A0F6938}" name="Link/s to provider webpage" dataDxfId="55"/>
    <tableColumn id="9" xr3:uid="{4F3DDFC2-8D09-4BE4-8E0E-C36CE80C862D}" name="[max.] to reach 100% mortality (mg/L)" dataDxfId="54">
      <calculatedColumnFormula>64.5*100</calculatedColumnFormula>
    </tableColumn>
    <tableColumn id="10" xr3:uid="{33228F07-1F1C-4CF2-9C6C-73C29C7604E8}" name="Stock concentration (g/L)" dataDxfId="53"/>
    <tableColumn id="14" xr3:uid="{8DEC4584-681C-4CF6-9EA6-14A994461EEA}" name="Minimum stock volume (per partner; ml)" dataDxfId="52"/>
    <tableColumn id="15" xr3:uid="{AF9BF43E-8582-4C88-BC44-EFE49CF90EBD}" name="Needed amount of chemical (g); Ruben Leitat calculations" dataDxfId="51"/>
    <tableColumn id="16" xr3:uid="{372591BE-5FF6-4101-B3D8-73574085498B}" name="Needed amount of chemical (g); Stefan UFZ calculations" dataDxfId="50"/>
    <tableColumn id="20" xr3:uid="{8D752F19-0983-4D4A-8974-F8208A3C9807}" name="Maximum needed calculated amount (g)" dataDxfId="49"/>
    <tableColumn id="29" xr3:uid="{F01324C1-D705-456B-8B9A-859050E198FF}" name="Observations" dataDxfId="48"/>
    <tableColumn id="21" xr3:uid="{C46FAFCE-5740-433D-BBF0-458157F39FC4}" name="Total amount to be purchased (g or ml)" dataDxfId="47"/>
    <tableColumn id="26" xr3:uid="{862A0DE9-9320-4B3C-83BF-D62177677B3C}" name="Manufacturer" dataDxfId="46"/>
    <tableColumn id="22" xr3:uid="{65C18AAE-DA03-4A5A-8B22-7886810C941A}" name="Provider" dataDxfId="45"/>
    <tableColumn id="25" xr3:uid="{4E04CC8A-972E-4D55-AFEA-0048336202EC}" name="Manufacturer reference" dataDxfId="44"/>
    <tableColumn id="23" xr3:uid="{FB68DCC6-3FF2-4B57-B78C-C2B80839EFA8}" name="Amount of the purchased bottles (g or ml)" dataDxfId="43"/>
    <tableColumn id="24" xr3:uid="{EAE44D30-A26C-46EF-B354-3949B380CC0E}" name="Units (nº bottles)" dataDxfId="4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E43389-52D1-4BE5-80FA-7CEC1BB00367}" name="Tabla134" displayName="Tabla134" ref="A1:Y254" totalsRowShown="0" headerRowDxfId="41" dataDxfId="40">
  <autoFilter ref="A1:Y254" xr:uid="{9D193A02-B282-4126-BA9F-5A31C0A2034F}"/>
  <tableColumns count="25">
    <tableColumn id="1" xr3:uid="{C5FB0FBD-9FE1-4E21-B249-F513F005ABE3}" name="Compound" dataDxfId="39"/>
    <tableColumn id="18" xr3:uid="{C5F53229-603E-484C-A1FE-F154EA509673}" name="Prec.Tox code" dataDxfId="38"/>
    <tableColumn id="2" xr3:uid="{3E50AA9C-3B1E-48CA-8A75-8C46FAD2F01C}" name="CAS number" dataDxfId="37">
      <calculatedColumnFormula>Tabla1[[#This Row],[CAS number]]</calculatedColumnFormula>
    </tableColumn>
    <tableColumn id="3" xr3:uid="{9332187D-DC4C-41D2-BA63-CE628B34CB99}" name="Appearance" dataDxfId="36"/>
    <tableColumn id="4" xr3:uid="{DAAD2C0A-3DA6-449D-B127-8C68E1854869}" name="[max.] to reach 100% mortality (g/L) Leitat" dataDxfId="35"/>
    <tableColumn id="5" xr3:uid="{BB42452C-56F5-46DD-85AA-412284910722}" name="[max.] to reach baseline toxicity (g/L) UFZ" dataDxfId="34"/>
    <tableColumn id="11" xr3:uid="{D6850456-8657-43F3-BE21-10AE66EFC6DB}" name="Higher DMSO 1000x [stock] g/L" dataDxfId="33">
      <calculatedColumnFormula>MAX(Tabla134[[#This Row],['[max.'] to reach 100% mortality (g/L) Leitat]:['[max.'] to reach baseline toxicity (g/L) UFZ]])*1000</calculatedColumnFormula>
    </tableColumn>
    <tableColumn id="12" xr3:uid="{4DBCB6FA-AE14-46CC-8E80-2D2DAA8DF51B}" name="Solubility (DMSO)" dataDxfId="32">
      <calculatedColumnFormula>Tabla1[[#This Row],[Solubility (DMSO)]]</calculatedColumnFormula>
    </tableColumn>
    <tableColumn id="6" xr3:uid="{31A9743D-9C6B-4A07-B020-B2EEAAED2EF6}" name="Solubility (H2O)" dataDxfId="31"/>
    <tableColumn id="8" xr3:uid="{070CF29A-4B32-457E-BD36-94E4867659E7}" name="Proposed solvent" dataDxfId="30"/>
    <tableColumn id="9" xr3:uid="{68313B7B-C883-421D-AE32-8D9D165BFD3A}" name="Proposed stock concentration (g/L)" dataDxfId="29">
      <calculatedColumnFormula>64.5*100</calculatedColumnFormula>
    </tableColumn>
    <tableColumn id="10" xr3:uid="{3C313365-D735-4C50-8714-A1B2DD7FD130}" name="Proposed stock volume (per partner; ml -or g-)" dataDxfId="28"/>
    <tableColumn id="14" xr3:uid="{188FC559-6636-4DD5-92B5-DAF6583F8C2C}" name="Max. Allowed V per vial (IATA)" dataDxfId="27"/>
    <tableColumn id="16" xr3:uid="{BE892871-FE5C-4113-A3D7-6AAFD16CFEDC}" name="Used amount of chemical for stocks (g)" dataDxfId="26"/>
    <tableColumn id="15" xr3:uid="{9A2E87D7-530E-4E24-9B8B-A231566DF290}" name="Purchased amount (g or ml)" dataDxfId="25"/>
    <tableColumn id="20" xr3:uid="{3A6BCC16-091A-4740-9597-64304A46F818}" name="Needed amount of chemical Leitat calculations (in g)" dataDxfId="24"/>
    <tableColumn id="29" xr3:uid="{2995FD03-5525-449F-BBBA-352F9525D48C}" name="Needed amount of chemical UFZ calculations (in g)" dataDxfId="23"/>
    <tableColumn id="21" xr3:uid="{9B852531-CD45-4322-B2D4-4D2C38967AA5}" name="Observations" dataDxfId="22"/>
    <tableColumn id="26" xr3:uid="{515B02D9-D438-4C6A-BB7B-29E6B5C62EB5}" name="EC50 fish" dataDxfId="21"/>
    <tableColumn id="22" xr3:uid="{48C4BDFE-0D07-4A3D-936D-0CDD39D95123}" name="EC50 daphnia" dataDxfId="20"/>
    <tableColumn id="7" xr3:uid="{589AC6FB-60DE-4BB7-8A5D-0BA4EC2364DA}" name="V DMSO to be used to perform the stocks" dataDxfId="19">
      <calculatedColumnFormula>Tabla134[[#This Row],[Used amount of chemical for stocks (g)]]*1000/Tabla134[[#This Row],[Proposed stock concentration (g/L)]]</calculatedColumnFormula>
    </tableColumn>
    <tableColumn id="13" xr3:uid="{373CECA1-6367-496C-B358-8F6C7673AE7F}" name="trials solubility (g  to be used)" dataDxfId="18"/>
    <tableColumn id="17" xr3:uid="{898717F5-2CB3-466B-B4AD-D227A0961EA4}" name="Expected DMSO volume (ml)" dataDxfId="17">
      <calculatedColumnFormula>Tabla134[[#This Row],[trials solubility (g  to be used)]]*1000/100</calculatedColumnFormula>
    </tableColumn>
    <tableColumn id="19" xr3:uid="{3C9826BE-F7FF-4FF9-BBAD-23AA0749C1EA}" name="DMSO used to solubilize the compound (ml)" dataDxfId="16"/>
    <tableColumn id="23" xr3:uid="{8230FE59-DF7F-46BB-BAD7-97EDD83A1B88}" name="Experimental DMSO solubility" dataDxfId="15"/>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195E48-F128-42E8-B582-2FE81630684B}" name="Tabla4" displayName="Tabla4" ref="A1:F110" totalsRowShown="0" headerRowDxfId="14" dataDxfId="13" totalsRowDxfId="12">
  <autoFilter ref="A1:F110" xr:uid="{42195E48-F128-42E8-B582-2FE81630684B}"/>
  <tableColumns count="6">
    <tableColumn id="1" xr3:uid="{6753FB03-6EB7-4E29-91D8-7C2BB8A5D5A8}" name="Compound" dataDxfId="10" totalsRowDxfId="11"/>
    <tableColumn id="2" xr3:uid="{5CF0EFED-A8BE-4C94-97E7-18965231700D}" name="Prec.Tox code" dataDxfId="8" totalsRowDxfId="9"/>
    <tableColumn id="3" xr3:uid="{723A5473-A474-4F3A-8527-D6D409536E21}" name="Acronym" dataDxfId="6" totalsRowDxfId="7"/>
    <tableColumn id="4" xr3:uid="{4AEF78F9-22FA-4547-AA2C-68DD6484E0AB}" name="Formula" dataDxfId="4" totalsRowDxfId="5"/>
    <tableColumn id="5" xr3:uid="{45C5A467-709F-40AE-BD3F-A3D948C7E275}" name="CAS number" dataDxfId="2" totalsRowDxfId="3"/>
    <tableColumn id="6" xr3:uid="{4B2B21FC-84CF-41F4-9F8F-AB2794293659}" name="Substance name (IUPAC systematic):" dataDxfId="0" totalsRowDxfId="1"/>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1" dT="2021-09-23T10:24:14.75" personId="{C9AF9316-F522-4E49-9076-5D0C142ADFA3}" id="{429DB30D-A899-49AF-BBE4-909762BEC0CA}">
    <text>from here (PTX006 and so on), in solution, as stocks in DMSO will be distributed</text>
  </threadedComment>
  <threadedComment ref="V12" dT="2021-09-23T11:12:08.92" personId="{C9AF9316-F522-4E49-9076-5D0C142ADFA3}" id="{3AF41E1A-6049-41ED-B469-09034CECDCDA}">
    <text>Extrapolation from acrylamide solution</text>
  </threadedComment>
  <threadedComment ref="V13" dT="2021-09-23T11:12:08.92" personId="{C9AF9316-F522-4E49-9076-5D0C142ADFA3}" id="{19B65AD1-7664-4A4B-ADBC-5194C6C3EFB0}">
    <text>Extrapolation from acrylamide solution</text>
  </threadedComment>
  <threadedComment ref="T15" dT="2021-09-23T11:12:08.92" personId="{C9AF9316-F522-4E49-9076-5D0C142ADFA3}" id="{AC3C8E5B-6AA7-447D-A1C6-975F109B0A5F}">
    <text>Extrapolation from acrylamide solution</text>
  </threadedComment>
  <threadedComment ref="V18" dT="2021-09-23T11:12:08.92" personId="{C9AF9316-F522-4E49-9076-5D0C142ADFA3}" id="{5A84C65D-9C81-498A-A233-2E7E6E7DD292}">
    <text>Imidazole is not in the list, extrapolation from other compounds with classification 8, subgroup III</text>
  </threadedComment>
  <threadedComment ref="V19" dT="2021-09-23T11:12:08.92" personId="{C9AF9316-F522-4E49-9076-5D0C142ADFA3}" id="{D18792C4-9072-4A0E-89BB-5E42203E380E}">
    <text>Imidazole is not in the list, extrapolation from other compounds with classification 8, subgroup III</text>
  </threadedComment>
  <threadedComment ref="V20" dT="2021-09-23T11:12:08.92" personId="{C9AF9316-F522-4E49-9076-5D0C142ADFA3}" id="{2A3CCC92-FF14-44B7-BAC7-212613D0A1CF}">
    <text>Imidazole is not in the list, extrapolation from other compounds with classification 8, subgroup II</text>
  </threadedComment>
  <threadedComment ref="Q21" dT="2021-09-27T09:40:04.61" personId="{C9AF9316-F522-4E49-9076-5D0C142ADFA3}" id="{5B1F830E-AE5F-4A25-9125-AA8118A2666F}">
    <text>Try if the vials are suitable!!!</text>
  </threadedComment>
  <threadedComment ref="N27" dT="2022-10-20T08:34:08.54" personId="{C9AF9316-F522-4E49-9076-5D0C142ADFA3}" id="{AAF81227-80DB-4D3B-9A62-F73E34F31F01}">
    <text>Low EC50 value could be to the acid! It would represent a pH around of 5.95 (extrapolating pKa from IM(HCl) due to its analogy)</text>
  </threadedComment>
  <threadedComment ref="I56" dT="2021-10-08T07:49:05.48" personId="{C9AF9316-F522-4E49-9076-5D0C142ADFA3}" id="{240B7240-23AC-49BE-9CCC-FF63DEE98B27}">
    <text>https://bham.sharepoint.com/sites/PrecisionTox-Project/Shared%20Documents/General/Chemical%20Selection%20Working%20Group/Chemical%20Lists/MSDS%20-%20safety%20data%20sheets%20of%20all%20chemicals?csf=1&amp;web=1&amp;e=FDkpra</text>
  </threadedComment>
  <threadedComment ref="J56" dT="2021-10-08T07:49:05.48" personId="{C9AF9316-F522-4E49-9076-5D0C142ADFA3}" id="{09014D9C-4F91-4A80-A141-D27F8EA9E1A0}">
    <text>https://bham.sharepoint.com/sites/PrecisionTox-Project/Shared%20Documents/General/Chemical%20Selection%20Working%20Group/Chemical%20Lists/MSDS%20-%20safety%20data%20sheets%20of%20all%20chemicals?csf=1&amp;web=1&amp;e=FDkpra</text>
  </threadedComment>
  <threadedComment ref="K56" dT="2021-10-08T07:49:05.48" personId="{C9AF9316-F522-4E49-9076-5D0C142ADFA3}" id="{0967DBD6-B8D1-42C3-88AB-62DFF4DB82F2}">
    <text>https://bham.sharepoint.com/sites/PrecisionTox-Project/Shared%20Documents/General/Chemical%20Selection%20Working%20Group/Chemical%20Lists/MSDS%20-%20safety%20data%20sheets%20of%20all%20chemicals?csf=1&amp;web=1&amp;e=FDkpra</text>
  </threadedComment>
  <threadedComment ref="L56" dT="2021-10-08T07:49:05.48" personId="{C9AF9316-F522-4E49-9076-5D0C142ADFA3}" id="{9AE50AD7-8FFA-4C34-84A1-857A7F5C253D}">
    <text>https://bham.sharepoint.com/sites/PrecisionTox-Project/Shared%20Documents/General/Chemical%20Selection%20Working%20Group/Chemical%20Lists/MSDS%20-%20safety%20data%20sheets%20of%20all%20chemicals?csf=1&amp;web=1&amp;e=FDkpra</text>
  </threadedComment>
  <threadedComment ref="S56" dT="2021-10-08T07:52:12.45" personId="{C9AF9316-F522-4E49-9076-5D0C142ADFA3}" id="{46E418DF-2350-4A38-886F-5B458218BA5B}">
    <text>Add the compound to the 2º sheet of "our chemicals"
https://acondicionamiento.sharepoint.com/sites/P-PRECISIONTOX/_layouts/15/Doc.aspx?OR=teams&amp;action=edit&amp;sourcedoc={A2251A8F-1B73-45B7-B0C7-E5E55DE04D79}</text>
  </threadedComment>
  <threadedComment ref="T56" dT="2021-10-08T08:06:13.65" personId="{C9AF9316-F522-4E49-9076-5D0C142ADFA3}" id="{B313D397-2B28-4B8F-AA4B-EB392BD006C1}">
    <text>https://www.chemicalbook.com/ChemicalProductProperty_EN_CB9236183.htm
https://hts.usitc.gov/?query=30049047
https://dataweb.usitc.gov/tariff/database
https://www.tariffnumber.com/2021/28439090</text>
  </threadedComment>
  <threadedComment ref="U56" dT="2021-10-08T07:53:03.32" personId="{C9AF9316-F522-4E49-9076-5D0C142ADFA3}" id="{08CA73A0-E53E-42C0-AAD3-5C68E14D9528}">
    <text>Search it in the 5 sheets
https://acondicionamiento.sharepoint.com/sites/P-PRECISIONTOX/_layouts/15/Doc.aspx?OR=teams&amp;action=edit&amp;sourcedoc={A3A37D94-B53F-438C-8185-313EC3401AB7}</text>
  </threadedComment>
  <threadedComment ref="V56" dT="2021-10-08T08:06:59.25" personId="{C9AF9316-F522-4E49-9076-5D0C142ADFA3}" id="{D8333082-B91A-4A19-AB80-6B74B160FCF6}">
    <text>https://unece.org/DAM/trans/danger/publi/unrec/rev18/English/Rev18_Volume1.pdf
https://acondicionamiento.sharepoint.com/:w:/r/sites/P-PRECISIONTOX/_layouts/15/doc2.aspx?sourcedoc=%7BD2935022-8636-4739-955E-7A9714D9975E%7D&amp;file=IATA%20exemptions%20for%20limited%20quantities.docx&amp;action=default&amp;mobileredirect=true&amp;cid=7438105f-17e2-44db-a3a8-1830913bc70d</text>
  </threadedComment>
  <threadedComment ref="G89" dT="2021-09-09T13:39:11.09" personId="{C9AF9316-F522-4E49-9076-5D0C142ADFA3}" id="{F109B4D5-5E10-4541-A6B5-1E9BC3E00412}">
    <text>very different bibliographic values</text>
  </threadedComment>
  <threadedComment ref="E151" dT="2021-10-18T09:58:06.62" personId="{C9AF9316-F522-4E49-9076-5D0C142ADFA3}" id="{205A6DBF-7B0E-4A81-AD6C-EA5E33C5A789}">
    <text>cas number that was provided was not correct?</text>
  </threadedComment>
  <threadedComment ref="A157" dT="2022-01-26T15:04:11.71" personId="{C9AF9316-F522-4E49-9076-5D0C142ADFA3}" id="{5595D5FE-167E-47BF-921F-1F24FF195CAD}">
    <text>Repeated compound</text>
  </threadedComment>
  <threadedComment ref="A177" dT="2022-05-10T08:33:15.57" personId="{C9AF9316-F522-4E49-9076-5D0C142ADFA3}" id="{A092DC7D-6275-43A6-A07B-B94433E8DCFD}">
    <text>Only in solution (e.g., max. 70% in water)</text>
  </threadedComment>
  <threadedComment ref="A178" dT="2022-05-09T15:06:27.95" personId="{C9AF9316-F522-4E49-9076-5D0C142ADFA3}" id="{5AFB541F-D5B4-4E4E-AAA7-DFA65DAF3FA4}">
    <text>at the end, we look for the PCB28</text>
  </threadedComment>
  <threadedComment ref="A178" dT="2022-06-10T08:24:11.35" personId="{C9AF9316-F522-4E49-9076-5D0C142ADFA3}" id="{03EEC577-2228-4884-8779-69A5544FFB8A}" parentId="{5AFB541F-D5B4-4E4E-AAA7-DFA65DAF3FA4}">
    <text>In this specific case, Indiana would need to purchase its own PCB28, since import/export of PCBs into the US is forbidden:
https://www.epa.gov/tsca-import-export-requirements/tsca-section-6-importexport-requirements-specific-chemicals</text>
  </threadedComment>
  <threadedComment ref="T178" dT="2022-07-18T07:57:02.85" personId="{C9AF9316-F522-4E49-9076-5D0C142ADFA3}" id="{49F47292-8DCD-4075-B540-21F662336F82}">
    <text>It seems to be ban for exporting to US. They should purchase their own PCB?</text>
  </threadedComment>
  <threadedComment ref="E181" dT="2022-05-09T08:25:23.35" personId="{C9AF9316-F522-4E49-9076-5D0C142ADFA3}" id="{1F0027B2-2AD8-44E5-AB91-E91ACAD6100E}">
    <text>It seems to have many CAS numbers depending on the several MSDS</text>
  </threadedComment>
  <threadedComment ref="E182" dT="2022-05-09T14:58:26.90" personId="{C9AF9316-F522-4E49-9076-5D0C142ADFA3}" id="{FC852F7D-8890-483C-A206-F18B0AAF8980}">
    <text>both correct?</text>
  </threadedComment>
  <threadedComment ref="A185" dT="2022-05-18T12:08:25.55" personId="{C9AF9316-F522-4E49-9076-5D0C142ADFA3}" id="{09C3991F-51DE-4F3A-AF87-C41954655B3A}">
    <text>mixture of isomers</text>
  </threadedComment>
  <threadedComment ref="M188" dT="2022-05-18T13:22:33.66" personId="{C9AF9316-F522-4E49-9076-5D0C142ADFA3}" id="{B6C356E8-0C31-4616-AAC4-15BCDD44BB65}">
    <text>https://www.ncbi.nlm.nih.gov/pmc/articles/PMC8308662/</text>
  </threadedComment>
  <threadedComment ref="N188" dT="2022-05-18T13:22:33.66" personId="{C9AF9316-F522-4E49-9076-5D0C142ADFA3}" id="{788F2B99-BB00-4F42-A6CB-484ACE807DE8}">
    <text>https://www.ncbi.nlm.nih.gov/pmc/articles/PMC8308662/</text>
  </threadedComment>
  <threadedComment ref="A190" dT="2022-05-12T09:37:51.27" personId="{C9AF9316-F522-4E49-9076-5D0C142ADFA3}" id="{3FA2AAB9-DBED-4CB7-91A0-4CFC53F2894C}">
    <text>no suppliers found</text>
  </threadedComment>
  <threadedComment ref="A191" dT="2022-05-10T07:06:49.63" personId="{C9AF9316-F522-4E49-9076-5D0C142ADFA3}" id="{474BA5E1-AE2E-464C-B561-D85635A5150C}">
    <text>I recommend to don't use this chemical, to risky for users!</text>
  </threadedComment>
  <threadedComment ref="M192" dT="2022-05-18T13:13:35.27" personId="{C9AF9316-F522-4E49-9076-5D0C142ADFA3}" id="{7B073385-D31C-4379-9948-FDD289EC1B08}">
    <text>https://www.selleck.eu/products/t0901317.html?gclid=EAIaIQobChMIiIjW4ovp9wIVwpTVCh34BwXnEAAYAiAAEgKj9fD_BwE</text>
  </threadedComment>
  <threadedComment ref="N192" dT="2022-05-18T13:13:35.27" personId="{C9AF9316-F522-4E49-9076-5D0C142ADFA3}" id="{5561AB6E-2C5B-43D4-B937-0A1408DCFC27}">
    <text>https://www.selleck.eu/products/t0901317.html?gclid=EAIaIQobChMIiIjW4ovp9wIVwpTVCh34BwXnEAAYAiAAEgKj9fD_BwE</text>
  </threadedComment>
  <threadedComment ref="A194" dT="2022-05-10T07:02:52.35" personId="{C9AF9316-F522-4E49-9076-5D0C142ADFA3}" id="{7274C237-C9E1-4625-B586-A0803E41D1DF}">
    <text>wrong CAS and also: there is only available paraquat dichloride</text>
  </threadedComment>
  <threadedComment ref="A196" dT="2022-05-10T07:06:55.80" personId="{C9AF9316-F522-4E49-9076-5D0C142ADFA3}" id="{E29EF5DF-42FA-4FA4-8D97-8CAFC4BC0FCD}">
    <text>I recommend to don't use this chemical, to risky for users!</text>
  </threadedComment>
  <threadedComment ref="A197" dT="2022-05-10T07:15:19.59" personId="{C9AF9316-F522-4E49-9076-5D0C142ADFA3}" id="{322075CB-26FF-49D7-B67F-1226464EEB4D}">
    <text>It was in the anhydrous form before. It would be the same once dissolved. I recommend to use just one of the both chemicals</text>
  </threadedComment>
  <threadedComment ref="A199" dT="2022-05-10T07:23:11.05" personId="{C9AF9316-F522-4E49-9076-5D0C142ADFA3}" id="{1CECA467-E094-446C-9B39-A584246EC010}">
    <text>Repeated (PTX043)</text>
  </threadedComment>
  <threadedComment ref="A202" dT="2022-05-10T07:23:53.86" personId="{C9AF9316-F522-4E49-9076-5D0C142ADFA3}" id="{976868D0-F087-4FDD-A5B5-99A715C5A442}">
    <text>Repeated (PTX006)</text>
  </threadedComment>
  <threadedComment ref="A209" dT="2022-05-10T07:25:15.23" personId="{C9AF9316-F522-4E49-9076-5D0C142ADFA3}" id="{3E8E4D7C-A6F4-4CA7-B6ED-5FBC601EBD61}">
    <text>Repeated (PTX037)</text>
  </threadedComment>
  <threadedComment ref="A211" dT="2022-05-10T08:26:55.80" personId="{C9AF9316-F522-4E49-9076-5D0C142ADFA3}" id="{289EFEBC-C743-4581-B7E7-6405E206ABA6}">
    <text>Repeated</text>
  </threadedComment>
  <threadedComment ref="A215" dT="2022-05-10T08:35:36.96" personId="{C9AF9316-F522-4E49-9076-5D0C142ADFA3}" id="{B779E6C7-DBD9-4265-968C-1C8D0E5870B8}">
    <text>Max. content 80%, rest is aromatic hydrocarbons!</text>
  </threadedComment>
  <threadedComment ref="A217" dT="2022-05-10T08:37:02.64" personId="{C9AF9316-F522-4E49-9076-5D0C142ADFA3}" id="{5F81AED3-4807-46DB-84F3-8446CDA90EBE}">
    <text>Repeated</text>
  </threadedComment>
  <threadedComment ref="A220" dT="2022-05-10T08:43:17.37" personId="{C9AF9316-F522-4E49-9076-5D0C142ADFA3}" id="{A13D4B75-A51E-4A9F-932C-94B95B74EFB0}">
    <text>It will the same as the above chemical</text>
  </threadedComment>
  <threadedComment ref="A221" dT="2022-05-10T08:44:14.58" personId="{C9AF9316-F522-4E49-9076-5D0C142ADFA3}" id="{BC2744A0-FB69-463A-A829-6BCF97F8B69E}">
    <text>Repeated</text>
  </threadedComment>
  <threadedComment ref="A236" dT="2023-02-01T15:00:43.90" personId="{C9AF9316-F522-4E49-9076-5D0C142ADFA3}" id="{D35FAB90-13C5-4D10-A2FA-36FB19C65544}">
    <text>Controlled substance for shipments! Check</text>
  </threadedComment>
  <threadedComment ref="A237" dT="2023-02-01T15:01:24.65" personId="{C9AF9316-F522-4E49-9076-5D0C142ADFA3}" id="{750AB6D5-3F8B-4800-9F51-CADE550C4B50}">
    <text>Controlled substance for shipments! Check</text>
  </threadedComment>
  <threadedComment ref="O245" dT="2023-02-06T14:50:35.34" personId="{C9AF9316-F522-4E49-9076-5D0C142ADFA3}" id="{FE46C39B-0F08-4EB2-AD60-2F53E9D8891F}">
    <text xml:space="preserve"> it depends on the manufacturer</text>
  </threadedComment>
  <threadedComment ref="N246" dT="2023-01-10T15:53:22.81" personId="{C9AF9316-F522-4E49-9076-5D0C142ADFA3}" id="{69C0E462-A8AD-422E-AD79-8E15B44D1248}">
    <text>QSAR prediction</text>
  </threadedComment>
  <threadedComment ref="O246" dT="2023-02-06T14:50:35.34" personId="{C9AF9316-F522-4E49-9076-5D0C142ADFA3}" id="{8D209FC7-7CF3-4FE5-9D5D-4C4C2B542A4F}">
    <text xml:space="preserve"> it depends on the manufacturer</text>
  </threadedComment>
  <threadedComment ref="M247" dT="2023-01-11T07:37:56.83" personId="{C9AF9316-F522-4E49-9076-5D0C142ADFA3}" id="{1B74D8C6-4469-4C33-869A-458B729B15E7}">
    <text>Extrapolated from algae toxicity</text>
  </threadedComment>
  <threadedComment ref="N247" dT="2023-01-11T07:37:56.83" personId="{C9AF9316-F522-4E49-9076-5D0C142ADFA3}" id="{2C40E98C-2C9F-45DE-AB33-6F6F3C012A39}">
    <text>Extrapolated from algae toxicity</text>
  </threadedComment>
  <threadedComment ref="M249" dT="2023-01-11T07:44:03.77" personId="{C9AF9316-F522-4E49-9076-5D0C142ADFA3}" id="{D6961021-45BB-4FDA-B29E-E6A76BA1BB36}">
    <text>&gt;180 mg/l</text>
  </threadedComment>
  <threadedComment ref="N249" dT="2023-01-11T07:45:50.09" personId="{C9AF9316-F522-4E49-9076-5D0C142ADFA3}" id="{9C182E17-EA5A-47AF-BC9C-10DB4CE783A6}">
    <text>&gt;100 mg/l</text>
  </threadedComment>
  <threadedComment ref="A250" dT="2023-02-01T15:01:46.48" personId="{C9AF9316-F522-4E49-9076-5D0C142ADFA3}" id="{D2905966-C0AD-4C4F-BF40-B6E24B45BBD2}">
    <text>Controlled substance for shipments! Check</text>
  </threadedComment>
  <threadedComment ref="M251" dT="2023-01-10T15:39:31.83" personId="{C9AF9316-F522-4E49-9076-5D0C142ADFA3}" id="{1B2F55C8-7AA8-4F41-B9A4-5583F1F11E9D}">
    <text>&gt;10000 mg/l</text>
  </threadedComment>
  <threadedComment ref="O251" dT="2023-02-06T14:50:35.34" personId="{C9AF9316-F522-4E49-9076-5D0C142ADFA3}" id="{E4A2DCD1-CF24-4915-A574-C9D37A4938CA}">
    <text xml:space="preserve"> it depends on the manufacturer</text>
  </threadedComment>
  <threadedComment ref="O252" dT="2023-02-06T14:50:35.34" personId="{C9AF9316-F522-4E49-9076-5D0C142ADFA3}" id="{11518B70-E794-4466-8864-3AD4D1EDE233}">
    <text xml:space="preserve"> it depends on the manufacturer</text>
  </threadedComment>
  <threadedComment ref="N253" dT="2023-01-10T15:50:42.57" personId="{C9AF9316-F522-4E49-9076-5D0C142ADFA3}" id="{B8A1853A-A3DC-4F15-9DEC-63A96F997E8E}">
    <text>&gt;1000 mg/l</text>
  </threadedComment>
</ThreadedComments>
</file>

<file path=xl/threadedComments/threadedComment2.xml><?xml version="1.0" encoding="utf-8"?>
<ThreadedComments xmlns="http://schemas.microsoft.com/office/spreadsheetml/2018/threadedcomments" xmlns:x="http://schemas.openxmlformats.org/spreadsheetml/2006/main">
  <threadedComment ref="O13" dT="2021-10-06T14:53:51.01" personId="{C9AF9316-F522-4E49-9076-5D0C142ADFA3}" id="{55700F2F-5471-456E-BC5E-9F95581D612B}">
    <text>Unclear</text>
  </threadedComment>
  <threadedComment ref="O17" dT="2021-10-06T14:53:51.01" personId="{C9AF9316-F522-4E49-9076-5D0C142ADFA3}" id="{29D4239B-56DE-45BD-A0BE-4DAF3DE8EC3E}">
    <text>Unclear</text>
  </threadedComment>
  <threadedComment ref="O22" dT="2021-10-06T14:53:51.01" personId="{C9AF9316-F522-4E49-9076-5D0C142ADFA3}" id="{13960D77-C3D5-4BFB-B4FA-342D50EE143D}">
    <text>Unclear</text>
  </threadedComment>
  <threadedComment ref="O24" dT="2021-10-06T14:53:51.01" personId="{C9AF9316-F522-4E49-9076-5D0C142ADFA3}" id="{862AF874-6311-40A1-AF6F-034EE6BC6792}">
    <text>Unclear</text>
  </threadedComment>
  <threadedComment ref="O27" dT="2022-10-20T09:38:53.26" personId="{C9AF9316-F522-4E49-9076-5D0C142ADFA3}" id="{58F9D45B-7181-4CFC-B0C9-B41588FEA346}">
    <text>Circa 200g if pH is adjusted</text>
  </threadedComment>
  <threadedComment ref="O33" dT="2021-10-06T09:39:50.42" personId="{C9AF9316-F522-4E49-9076-5D0C142ADFA3}" id="{9AC113EE-9FA0-4F8E-80AD-A21C6F9BE62A}">
    <text>calculated by extrapolation, unknown</text>
  </threadedComment>
  <threadedComment ref="O36" dT="2021-10-07T08:05:28.80" personId="{C9AF9316-F522-4E49-9076-5D0C142ADFA3}" id="{0446E13F-D355-4DF6-B93A-B0F9D056F808}">
    <text>Unclear</text>
  </threadedComment>
  <threadedComment ref="O37" dT="2021-10-06T13:56:03.45" personId="{C9AF9316-F522-4E49-9076-5D0C142ADFA3}" id="{C7A37C43-B2BE-4E44-A3A9-61305762E3B7}">
    <text>Unclear</text>
  </threadedComment>
  <threadedComment ref="O39" dT="2021-10-06T10:33:11.66" personId="{C9AF9316-F522-4E49-9076-5D0C142ADFA3}" id="{69F7A453-AAF8-496C-9465-35ADE575B5DF}">
    <text>Unclear</text>
  </threadedComment>
  <threadedComment ref="L55" dT="2022-03-15T15:23:13.10" personId="{C9AF9316-F522-4E49-9076-5D0C142ADFA3}" id="{4AAE50E3-10B7-4234-BB82-A472C9ED2322}">
    <text>3630 mg/L regarding toxicity; changed to consider effects (lower amounts) for adjusting prices</text>
  </threadedComment>
  <threadedComment ref="L56" dT="2022-03-15T15:22:14.43" personId="{C9AF9316-F522-4E49-9076-5D0C142ADFA3}" id="{3600B355-26A7-44E2-9531-4160E3A87960}">
    <text>6450 mg/L regarding toxicity; changed to consider effects (lower amounts) for adjusting prices</text>
  </threadedComment>
  <threadedComment ref="L60" dT="2022-03-15T15:22:25.64" personId="{C9AF9316-F522-4E49-9076-5D0C142ADFA3}" id="{C20B017A-37F0-4311-BCA4-CA9F677F8449}">
    <text>1,5 mg/L regarding toxicity; changed to consider effects (lower amounts) for adjusting prices</text>
  </threadedComment>
  <threadedComment ref="L61" dT="2022-03-15T15:22:35.94" personId="{C9AF9316-F522-4E49-9076-5D0C142ADFA3}" id="{02678BBC-B81E-4441-843F-A4ACF1E74C58}">
    <text>100 mg/L regarding toxicity; changed to consider effects (lower amounts) for adjusting prices</text>
  </threadedComment>
  <threadedComment ref="L62" dT="2022-03-15T15:22:44.42" personId="{C9AF9316-F522-4E49-9076-5D0C142ADFA3}" id="{F833D559-D461-4C45-A93A-277B0406A98D}">
    <text>909 mg/L regarding toxicity; changed to consider effects (lower amounts) for adjusting prices</text>
  </threadedComment>
  <threadedComment ref="L64" dT="2022-03-15T15:22:50.98" personId="{C9AF9316-F522-4E49-9076-5D0C142ADFA3}" id="{33D0CEFA-4978-406F-AAFE-A22A0EF87BD0}">
    <text>5 mg/L regarding toxicity; changed to consider effects (lower amounts) for adjusting prices</text>
  </threadedComment>
  <threadedComment ref="L65" dT="2022-03-15T15:22:58.50" personId="{C9AF9316-F522-4E49-9076-5D0C142ADFA3}" id="{BFD9CF35-1AAB-4C2C-85CB-976A455F53B5}">
    <text>655 mg/L regarding toxicity; changed to consider effects (lower amounts) for adjusting prices</text>
  </threadedComment>
  <threadedComment ref="O65" dT="2021-10-07T08:05:28.80" personId="{C9AF9316-F522-4E49-9076-5D0C142ADFA3}" id="{77B17C53-2920-49F2-9C48-79A98518462E}">
    <text>Unclear</text>
  </threadedComment>
  <threadedComment ref="O73" dT="2021-10-06T13:20:40.11" personId="{C9AF9316-F522-4E49-9076-5D0C142ADFA3}" id="{E7F0FF86-7A8B-46B8-8BC2-327325FAAC39}">
    <text>unclear</text>
  </threadedComment>
  <threadedComment ref="J77" dT="2021-07-12T09:35:51.72" personId="{C9AF9316-F522-4E49-9076-5D0C142ADFA3}" id="{26C2AB5B-B42E-4190-B546-364CA0A78DBB}">
    <text>https://www.tcichemicals.com/ES/en/search/?text=Andrographolide+</text>
  </threadedComment>
  <threadedComment ref="O77" dT="2021-10-06T13:36:16.86" personId="{C9AF9316-F522-4E49-9076-5D0C142ADFA3}" id="{06CBD19D-3EC3-426D-9A11-DC779E2112AC}">
    <text>Unclear</text>
  </threadedComment>
  <threadedComment ref="G89" dT="2021-09-09T13:39:11.09" personId="{C9AF9316-F522-4E49-9076-5D0C142ADFA3}" id="{3B7C304A-7017-4DBA-A4C3-7F2892B55B6A}">
    <text>very different bibliographic values</text>
  </threadedComment>
  <threadedComment ref="O92" dT="2021-10-06T14:28:03.72" personId="{C9AF9316-F522-4E49-9076-5D0C142ADFA3}" id="{2B6BE241-0471-4791-8135-C9A1BEAB30B5}">
    <text>Unclear</text>
  </threadedComment>
  <threadedComment ref="O107" dT="2021-10-06T14:28:03.72" personId="{C9AF9316-F522-4E49-9076-5D0C142ADFA3}" id="{48D5C319-9F94-40AA-BC61-89212EC2ED6D}">
    <text>Unclear</text>
  </threadedComment>
  <threadedComment ref="O119" dT="2021-10-06T14:28:03.72" personId="{C9AF9316-F522-4E49-9076-5D0C142ADFA3}" id="{64EE3ECF-FB85-4044-8F5D-BA0E73822A4E}">
    <text>Unclear</text>
  </threadedComment>
  <threadedComment ref="O122" dT="2021-10-06T14:48:44.19" personId="{C9AF9316-F522-4E49-9076-5D0C142ADFA3}" id="{44AA9129-D429-4727-828D-1BA781FF65D5}">
    <text>Unclear</text>
  </threadedComment>
  <threadedComment ref="O125" dT="2021-10-06T14:48:44.19" personId="{C9AF9316-F522-4E49-9076-5D0C142ADFA3}" id="{958B85CE-6D62-463E-A75F-7EE9BAB3B36E}">
    <text>Unclear</text>
  </threadedComment>
  <threadedComment ref="O126" dT="2021-10-06T14:48:44.19" personId="{C9AF9316-F522-4E49-9076-5D0C142ADFA3}" id="{967B01BE-834D-4CCE-913D-9B62E7CE9AB5}">
    <text>Unclear</text>
  </threadedComment>
  <threadedComment ref="O130" dT="2021-10-06T14:48:44.19" personId="{C9AF9316-F522-4E49-9076-5D0C142ADFA3}" id="{5C3BC76D-5E03-4C82-A1B9-6536A28D735F}">
    <text>Unclear</text>
  </threadedComment>
  <threadedComment ref="O132" dT="2021-10-06T14:48:44.19" personId="{C9AF9316-F522-4E49-9076-5D0C142ADFA3}" id="{CBB59091-2D17-4EA9-8393-F26713FF9EA0}">
    <text>Unclear</text>
  </threadedComment>
  <threadedComment ref="O134" dT="2021-10-06T14:48:44.19" personId="{C9AF9316-F522-4E49-9076-5D0C142ADFA3}" id="{88DAEFB3-C3BF-4CD6-8EE2-E73EDBE98A7B}">
    <text>Unclear</text>
  </threadedComment>
  <threadedComment ref="O147" dT="2021-10-06T14:48:44.19" personId="{C9AF9316-F522-4E49-9076-5D0C142ADFA3}" id="{008DE14E-B4A1-43DC-A912-CA79D60F2300}">
    <text>Unclear</text>
  </threadedComment>
  <threadedComment ref="D151" dT="2021-10-18T09:58:06.62" personId="{C9AF9316-F522-4E49-9076-5D0C142ADFA3}" id="{07E9F229-A399-4638-A1A2-124536BF70BC}">
    <text>cas number that was provided was not correct?</text>
  </threadedComment>
  <threadedComment ref="A215" dT="2022-05-19T10:27:58.87" personId="{C9AF9316-F522-4E49-9076-5D0C142ADFA3}" id="{ECAC3359-BCF3-491A-BF7A-01113F68E24F}">
    <text>Max. content 80%, rest is aromatic hydrocarbons!</text>
  </threadedComment>
  <threadedComment ref="O233" dT="2023-01-13T09:10:14.68" personId="{C9AF9316-F522-4E49-9076-5D0C142ADFA3}" id="{FD40C734-9C56-4A86-939D-657B68A05550}">
    <text>Citotoxicity (27 uM) used to re-calculate the needed amounts</text>
  </threadedComment>
  <threadedComment ref="P233" dT="2023-01-13T09:10:10.89" personId="{C9AF9316-F522-4E49-9076-5D0C142ADFA3}" id="{CFDA075B-9912-4FCF-83DD-BBD3CDC54640}">
    <text>Citotoxicity (27 uM) used to re-calculate the needed amounts</text>
  </threadedComment>
  <threadedComment ref="O235" dT="2023-01-13T09:10:14.68" personId="{C9AF9316-F522-4E49-9076-5D0C142ADFA3}" id="{B9E05AA4-9F96-481A-90D9-76ABFBDBFD57}">
    <text>Citotoxicity (500 uM) used to re-calculate the needed amounts</text>
  </threadedComment>
  <threadedComment ref="P235" dT="2023-01-13T09:10:10.89" personId="{C9AF9316-F522-4E49-9076-5D0C142ADFA3}" id="{BD052035-5A81-4435-A569-70FAE3A0073A}">
    <text>Citotoxicity (500 uM) used to re-calculate the needed amounts</text>
  </threadedComment>
  <threadedComment ref="O244" dT="2023-01-13T09:10:14.68" personId="{C9AF9316-F522-4E49-9076-5D0C142ADFA3}" id="{F8BD88E1-27E6-4F76-A559-4B0D0F25C1D8}">
    <text>Citotoxicity (6370 uM) used to re-calculate the needed amounts</text>
  </threadedComment>
  <threadedComment ref="P244" dT="2023-01-13T09:10:10.89" personId="{C9AF9316-F522-4E49-9076-5D0C142ADFA3}" id="{8FB7DCDD-62AF-4698-861F-01F1741AEFED}">
    <text>Citotoxicity (6370 uM) used to re-calculate the needed amounts</text>
  </threadedComment>
  <threadedComment ref="O245" dT="2023-01-13T10:22:41.30" personId="{C9AF9316-F522-4E49-9076-5D0C142ADFA3}" id="{4AD83C7B-4B22-4D83-B6C6-2506AEAB8693}">
    <text>ZF LC50 (4500 uM) used to re-calculate the needed amounts</text>
  </threadedComment>
  <threadedComment ref="P245" dT="2023-01-13T10:21:59.14" personId="{C9AF9316-F522-4E49-9076-5D0C142ADFA3}" id="{EFC5A509-B8C3-4099-9352-032A1F982861}">
    <text>ZF LC50 (4500 uM) used to re-calculate the needed amounts</text>
  </threadedComment>
  <threadedComment ref="O250" dT="2023-01-13T10:22:41.30" personId="{C9AF9316-F522-4E49-9076-5D0C142ADFA3}" id="{FE3899E5-8DF2-49BF-8F58-F2D1A67BB50B}">
    <text>Citotoxicity (100 uM) used to re-calculate the needed amounts</text>
  </threadedComment>
  <threadedComment ref="P250" dT="2023-01-13T10:21:59.14" personId="{C9AF9316-F522-4E49-9076-5D0C142ADFA3}" id="{1CFE63AD-9C9A-4DE1-BB85-DF40F1E852A8}">
    <text>Citotoxicity (100 uM) used to re-calculate the needed amounts</text>
  </threadedComment>
  <threadedComment ref="O251" dT="2023-01-13T10:22:41.30" personId="{C9AF9316-F522-4E49-9076-5D0C142ADFA3}" id="{22BCBD0B-9FE6-43CD-9E72-022517BFDD00}">
    <text>Neuroactivity (10 uM) used to re-calculate the needed amounts</text>
  </threadedComment>
  <threadedComment ref="P251" dT="2023-01-13T10:21:59.14" personId="{C9AF9316-F522-4E49-9076-5D0C142ADFA3}" id="{28994F5A-EB1E-4B84-BE3D-F66E90DB4AA9}">
    <text>Neuroactivity (10 uM) used to re-calculate the needed amounts</text>
  </threadedComment>
  <threadedComment ref="O253" dT="2023-01-13T10:22:41.30" personId="{C9AF9316-F522-4E49-9076-5D0C142ADFA3}" id="{58628157-72C2-4B51-A371-CDFD2A2033FC}">
    <text>100 uM used to re-calculate the needed amounts</text>
  </threadedComment>
  <threadedComment ref="P253" dT="2023-01-13T10:21:59.14" personId="{C9AF9316-F522-4E49-9076-5D0C142ADFA3}" id="{90C52BBC-1703-47CB-A1EF-7A818C2698E8}">
    <text>100 uM used to re-calculate the needed amounts</text>
  </threadedComment>
  <threadedComment ref="O254" dT="2023-01-13T10:22:41.30" personId="{C9AF9316-F522-4E49-9076-5D0C142ADFA3}" id="{75E2FCD6-1953-4490-9FDC-07563B396B42}">
    <text>Cytotoxicity (15 uM)  used to re-calculate the needed amounts</text>
  </threadedComment>
  <threadedComment ref="P254" dT="2023-01-13T10:21:59.14" personId="{C9AF9316-F522-4E49-9076-5D0C142ADFA3}" id="{8D71C891-978D-4D52-951A-A372C6CA18DF}">
    <text>Cytotoxicity (15 uM)  used to re-calculate the needed amounts</text>
  </threadedComment>
</ThreadedComments>
</file>

<file path=xl/threadedComments/threadedComment3.xml><?xml version="1.0" encoding="utf-8"?>
<ThreadedComments xmlns="http://schemas.microsoft.com/office/spreadsheetml/2018/threadedcomments" xmlns:x="http://schemas.openxmlformats.org/spreadsheetml/2006/main">
  <threadedComment ref="R30" dT="2022-04-07T10:43:33.66" personId="{C9AF9316-F522-4E49-9076-5D0C142ADFA3}" id="{BBC8F59A-B1A7-4D01-96C6-27C58FC95308}">
    <text>10 g propofol + 10 ml DMSO: around 20 ml, take care!!! Consider it!</text>
  </threadedComment>
  <threadedComment ref="R46" dT="2022-04-07T10:44:23.01" personId="{C9AF9316-F522-4E49-9076-5D0C142ADFA3}" id="{FFD055E0-EE9F-4D92-931B-7071EA39A735}">
    <text>70g VA + 5,8 ml DMSO: around 76 ml, take care!!! Consider it!</text>
  </threadedComment>
  <threadedComment ref="R52" dT="2022-04-07T10:46:52.89" personId="{C9AF9316-F522-4E49-9076-5D0C142ADFA3}" id="{B9D95D76-B8CE-4759-9FB0-1A667973C52F}">
    <text>60 g TBT + 120 ml DMSO: around 180 ml, take care!!! Consider it!</text>
  </threadedComment>
  <threadedComment ref="A157" dT="2022-01-26T15:04:11.71" personId="{C9AF9316-F522-4E49-9076-5D0C142ADFA3}" id="{D382F585-3B9B-4216-BD4F-D0015989412F}">
    <text>Repeated compound</text>
  </threadedComment>
</ThreadedComments>
</file>

<file path=xl/threadedComments/threadedComment4.xml><?xml version="1.0" encoding="utf-8"?>
<ThreadedComments xmlns="http://schemas.microsoft.com/office/spreadsheetml/2018/threadedcomments" xmlns:x="http://schemas.openxmlformats.org/spreadsheetml/2006/main">
  <threadedComment ref="A6" dT="2022-11-30T15:30:47.09" personId="{C9AF9316-F522-4E49-9076-5D0C142ADFA3}" id="{7A227641-38A0-4569-B54E-B8BA142E372F}">
    <text>Substituted by sodium metaarsenite (PTX006)</text>
  </threadedComment>
  <threadedComment ref="A47" dT="2022-11-30T15:31:05.41" personId="{C9AF9316-F522-4E49-9076-5D0C142ADFA3}" id="{C0086167-E8FB-4E29-BB2F-86D158127DEE}">
    <text>Not allowed to be shipped</text>
  </threadedComment>
  <threadedComment ref="A48" dT="2022-11-30T15:32:10.14" personId="{C9AF9316-F522-4E49-9076-5D0C142ADFA3}" id="{C60ED11A-C6DD-4951-ABE3-357E22D01928}">
    <text>From PTX047 up to PTX056 should be substituted by other compounds with same MoA if NTP can not provided them with enough amount (cost-prohibitive chemicals).</text>
  </threadedComment>
  <threadedComment ref="A72" dT="2022-11-30T15:32:32.66" personId="{C9AF9316-F522-4E49-9076-5D0C142ADFA3}" id="{00B2510E-3793-45C4-96BB-7CB5E9AF985C}">
    <text>Not allowed to be shipped</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tables/table1.xml" Type="http://schemas.openxmlformats.org/officeDocument/2006/relationships/table"/><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3.xml.rels><?xml version="1.0" encoding="UTF-8" standalone="no"?><Relationships xmlns="http://schemas.openxmlformats.org/package/2006/relationships"><Relationship Id="rId1" Target="https://cymitquimica.com/es/productos/TR-T773855/52-68-6/trichlorfon/" TargetMode="External" Type="http://schemas.openxmlformats.org/officeDocument/2006/relationships/hyperlink"/><Relationship Id="rId10" Target="https://cymitquimica.com/es/productos/54-BIC8442/7689-03-4/s-camptothecin/" TargetMode="External" Type="http://schemas.openxmlformats.org/officeDocument/2006/relationships/hyperlink"/><Relationship Id="rId11" Target="https://cymitquimica.com/es/productos/02-B20721/97-77-8/tetraethylthiuram-disulfide/" TargetMode="External" Type="http://schemas.openxmlformats.org/officeDocument/2006/relationships/hyperlink"/><Relationship Id="rId12" Target="https://www.sigmaaldrich.com/ES/es/product/sial/m2523" TargetMode="External" Type="http://schemas.openxmlformats.org/officeDocument/2006/relationships/hyperlink"/><Relationship Id="rId13" Target="https://cymitquimica.com/es/productos/3B-C3149/59729-33-8/citalopram/" TargetMode="External" Type="http://schemas.openxmlformats.org/officeDocument/2006/relationships/hyperlink"/><Relationship Id="rId14" Target="https://cymitquimica.com/es/productos/7W-GK6463/137-58-6/lidocaine/" TargetMode="External" Type="http://schemas.openxmlformats.org/officeDocument/2006/relationships/hyperlink"/><Relationship Id="rId15" Target="https://www.sigmaaldrich.com/ES/es/product/sigma/p3755" TargetMode="External" Type="http://schemas.openxmlformats.org/officeDocument/2006/relationships/hyperlink"/><Relationship Id="rId16" Target="https://cymitquimica.com/es/productos/54-OR28714/60-56-0/13-dihydro-1-methyl-2h-imidazole-2-thione/" TargetMode="External" Type="http://schemas.openxmlformats.org/officeDocument/2006/relationships/hyperlink"/><Relationship Id="rId17" Target="https://cymitquimica.com/es/productos/3D-NA02947/320-67-2/5-azacytidine/" TargetMode="External" Type="http://schemas.openxmlformats.org/officeDocument/2006/relationships/hyperlink"/><Relationship Id="rId18" Target="https://cymitquimica.com/es/productos/3D-NA05771/147-94-4/cytarabine/" TargetMode="External" Type="http://schemas.openxmlformats.org/officeDocument/2006/relationships/hyperlink"/><Relationship Id="rId19" Target="https://cymitquimica.com/es/productos/10-043351/127-07-1/hydroxyurea/" TargetMode="External" Type="http://schemas.openxmlformats.org/officeDocument/2006/relationships/hyperlink"/><Relationship Id="rId2" Target="https://cymitquimica.com/es/productos/02-A17013/57-41-0/55-diphenylhydantoin/" TargetMode="External" Type="http://schemas.openxmlformats.org/officeDocument/2006/relationships/hyperlink"/><Relationship Id="rId20" Target="https://cymitquimica.com/es/productos/3B-C2236/50-18-0/cyclophosphamide-monohydrate/" TargetMode="External" Type="http://schemas.openxmlformats.org/officeDocument/2006/relationships/hyperlink"/><Relationship Id="rId21" Target="https://cymitquimica.com/es/productos/3B-C2481/50-53-3/chlorpromazine-hydrochloride/" TargetMode="External" Type="http://schemas.openxmlformats.org/officeDocument/2006/relationships/hyperlink"/><Relationship Id="rId22" Target="https://cymitquimica.com/es/productos/3D-FC19679/298-46-4/carbamazepine/" TargetMode="External" Type="http://schemas.openxmlformats.org/officeDocument/2006/relationships/hyperlink"/><Relationship Id="rId23" Target="https://cymitquimica.com/es/productos/02-J61072/64-86-8/colchicine/" TargetMode="External" Type="http://schemas.openxmlformats.org/officeDocument/2006/relationships/hyperlink"/><Relationship Id="rId24" Target="https://www.sigmaaldrich.com/ES/es/product/aldrich/w700655" TargetMode="External" Type="http://schemas.openxmlformats.org/officeDocument/2006/relationships/hyperlink"/><Relationship Id="rId25" Target="https://cymitquimica.com/es/productos/54-PC4380/51-21-8/5-fluorouracil/" TargetMode="External" Type="http://schemas.openxmlformats.org/officeDocument/2006/relationships/hyperlink"/><Relationship Id="rId26" Target="https://cymitquimica.com/es/productos/3B-I1145/138261-41-3/imidacloprid/" TargetMode="External" Type="http://schemas.openxmlformats.org/officeDocument/2006/relationships/hyperlink"/><Relationship Id="rId27" Target="https://cymitquimica.com/es/productos/3D-NB06315/59-14-3/5-bromo-2-deoxyuridine/" TargetMode="External" Type="http://schemas.openxmlformats.org/officeDocument/2006/relationships/hyperlink"/><Relationship Id="rId28" Target="https://cymitquimica.com/es/productos/3B-M1664/133073-73-1/methotrexate-hydrate/" TargetMode="External" Type="http://schemas.openxmlformats.org/officeDocument/2006/relationships/hyperlink"/><Relationship Id="rId29" Target="../printerSettings/printerSettings2.bin" Type="http://schemas.openxmlformats.org/officeDocument/2006/relationships/printerSettings"/><Relationship Id="rId3" Target="https://cymitquimica.com/es/productos/3D-FT28016/107534-96-3/tebuconazole/" TargetMode="External" Type="http://schemas.openxmlformats.org/officeDocument/2006/relationships/hyperlink"/><Relationship Id="rId30" Target="../drawings/vmlDrawing2.vml" Type="http://schemas.openxmlformats.org/officeDocument/2006/relationships/vmlDrawing"/><Relationship Id="rId31" Target="../tables/table2.xml" Type="http://schemas.openxmlformats.org/officeDocument/2006/relationships/table"/><Relationship Id="rId32" Target="../comments2.xml" Type="http://schemas.openxmlformats.org/officeDocument/2006/relationships/comments"/><Relationship Id="rId33" Target="../threadedComments/threadedComment2.xml" Type="http://schemas.microsoft.com/office/2017/10/relationships/threadedComment"/><Relationship Id="rId4" Target="https://cymitquimica.com/es/productos/7W-GA6437/70-30-4/hexachlorophene/" TargetMode="External" Type="http://schemas.openxmlformats.org/officeDocument/2006/relationships/hyperlink"/><Relationship Id="rId5" Target="https://www.sigmaaldrich.com/ES/es/product/aldrich/171468" TargetMode="External" Type="http://schemas.openxmlformats.org/officeDocument/2006/relationships/hyperlink"/><Relationship Id="rId6" Target="https://cymitquimica.com/es/productos/3D-FR17921/302-79-4/all-trans-retinoic-acid/" TargetMode="External" Type="http://schemas.openxmlformats.org/officeDocument/2006/relationships/hyperlink"/><Relationship Id="rId7" Target="https://cymitquimica.com/es/productos/3B-H0912/52-86-8/haloperidol/" TargetMode="External" Type="http://schemas.openxmlformats.org/officeDocument/2006/relationships/hyperlink"/><Relationship Id="rId8" Target="https://cymitquimica.com/es/productos/3D-FA23290/120068-37-3/5-amino-1-26-dichloro-4-trifluoromethylphenyl-4-trifluoromethylsulfinyl-1h-pyrazole-3-carbonitrile/" TargetMode="External" Type="http://schemas.openxmlformats.org/officeDocument/2006/relationships/hyperlink"/><Relationship Id="rId9" Target="https://cymitquimica.com/es/productos/3D-FT28199/153719-23-4/thiamethoxa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3.vml" Type="http://schemas.openxmlformats.org/officeDocument/2006/relationships/vmlDrawing"/><Relationship Id="rId3" Target="../tables/table3.xml" Type="http://schemas.openxmlformats.org/officeDocument/2006/relationships/table"/><Relationship Id="rId4" Target="../comments3.xml" Type="http://schemas.openxmlformats.org/officeDocument/2006/relationships/comments"/><Relationship Id="rId5" Target="../threadedComments/threadedComment3.xml" Type="http://schemas.microsoft.com/office/2017/10/relationships/threadedComment"/></Relationships>
</file>

<file path=xl/worksheets/_rels/sheet7.xml.rels><?xml version="1.0" encoding="UTF-8" standalone="no"?><Relationships xmlns="http://schemas.openxmlformats.org/package/2006/relationships"><Relationship Id="rId1" Target="../drawings/vmlDrawing4.vml" Type="http://schemas.openxmlformats.org/officeDocument/2006/relationships/vmlDrawing"/><Relationship Id="rId2" Target="../tables/table4.xml" Type="http://schemas.openxmlformats.org/officeDocument/2006/relationships/table"/><Relationship Id="rId3" Target="../comments4.xml" Type="http://schemas.openxmlformats.org/officeDocument/2006/relationships/comments"/><Relationship Id="rId4" Target="../threadedComments/threadedComment4.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90EC-6958-4830-9A0F-C74F38D7B159}">
  <dimension ref="A1:W259"/>
  <sheetViews>
    <sheetView tabSelected="1" zoomScale="55" zoomScaleNormal="55" workbookViewId="0">
      <pane xSplit="2" ySplit="1" topLeftCell="C158" activePane="bottomRight" state="frozen"/>
      <selection pane="bottomRight"/>
      <selection pane="bottomLeft" activeCell="A2" sqref="A2"/>
      <selection pane="topRight" activeCell="C1" sqref="C1"/>
    </sheetView>
  </sheetViews>
  <sheetFormatPr defaultColWidth="11.5703125" defaultRowHeight="15"/>
  <cols>
    <col min="1" max="1" width="24.42578125" style="12" customWidth="1"/>
    <col min="2" max="3" width="14.7109375" style="1" customWidth="1"/>
    <col min="4" max="4" width="16.42578125" style="1" customWidth="1"/>
    <col min="5" max="5" width="16.42578125" style="1" bestFit="1" customWidth="1"/>
    <col min="6" max="7" width="18" style="1" customWidth="1"/>
    <col min="8" max="8" width="26.5703125" style="1" customWidth="1"/>
    <col min="9" max="9" width="11.42578125" style="1" customWidth="1"/>
    <col min="10" max="11" width="13.28515625" style="1" customWidth="1"/>
    <col min="12" max="12" width="19.5703125" style="1" customWidth="1"/>
    <col min="13" max="13" width="17.28515625" style="1" customWidth="1"/>
    <col min="14" max="14" width="15.5703125" customWidth="1"/>
    <col min="15" max="15" width="24.5703125" customWidth="1"/>
    <col min="16" max="16" width="27.140625" style="1" customWidth="1"/>
    <col min="17" max="17" width="28.5703125" style="1" customWidth="1"/>
    <col min="18" max="18" width="29.5703125" style="1" customWidth="1"/>
    <col min="19" max="19" width="22" style="1" customWidth="1"/>
    <col min="20" max="20" width="25.42578125" customWidth="1"/>
    <col min="21" max="21" width="23.85546875" customWidth="1"/>
    <col min="22" max="23" width="21.7109375" style="1" customWidth="1"/>
    <col min="24" max="16384" width="11.5703125" style="1"/>
  </cols>
  <sheetData>
    <row r="1" spans="1:23" s="2" customFormat="1" ht="30">
      <c r="A1" s="10"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spans="1:23" s="2" customFormat="1" ht="60.6" customHeight="1">
      <c r="A2" s="65" t="s">
        <v>23</v>
      </c>
      <c r="B2" s="11"/>
    </row>
    <row r="3" spans="1:23" s="2" customFormat="1" ht="52.9" customHeight="1">
      <c r="A3" s="11" t="s">
        <v>24</v>
      </c>
      <c r="B3" s="10" t="s">
        <v>25</v>
      </c>
      <c r="D3" s="4" t="s">
        <v>26</v>
      </c>
      <c r="E3" s="2" t="s">
        <v>27</v>
      </c>
      <c r="F3" s="2" t="s">
        <v>28</v>
      </c>
      <c r="G3" s="2" t="s">
        <v>29</v>
      </c>
      <c r="I3" s="2">
        <v>2570</v>
      </c>
      <c r="J3" s="2" t="s">
        <v>30</v>
      </c>
      <c r="K3" s="2" t="s">
        <v>31</v>
      </c>
      <c r="N3" s="2" t="s">
        <v>32</v>
      </c>
      <c r="O3" s="2" t="s">
        <v>33</v>
      </c>
      <c r="P3" s="2" t="s">
        <v>34</v>
      </c>
      <c r="Q3" s="2" t="s">
        <v>35</v>
      </c>
      <c r="R3" s="22" t="s">
        <v>36</v>
      </c>
      <c r="S3" s="2" t="s">
        <v>37</v>
      </c>
      <c r="T3" s="2">
        <v>8107200000</v>
      </c>
      <c r="U3" s="2" t="s">
        <v>34</v>
      </c>
      <c r="V3" s="2" t="s">
        <v>38</v>
      </c>
      <c r="W3" s="2">
        <f t="shared" ref="W3:W29" si="0">IF(V3="E0",0,IF(V3="E1",30,IF(V3="E2",30,IF(V3="E3",30,IF(V3="E4",1,IF(V3="E5",1, "Not regulated; any amount limit in internal packages"))))))</f>
        <v>30</v>
      </c>
    </row>
    <row r="4" spans="1:23" s="2" customFormat="1" ht="105">
      <c r="A4" s="11" t="s">
        <v>39</v>
      </c>
      <c r="B4" s="10" t="s">
        <v>40</v>
      </c>
      <c r="D4" s="4" t="s">
        <v>41</v>
      </c>
      <c r="E4" s="2" t="s">
        <v>42</v>
      </c>
      <c r="F4" s="2" t="s">
        <v>43</v>
      </c>
      <c r="G4" s="5" t="s">
        <v>44</v>
      </c>
      <c r="I4" s="2">
        <v>2810</v>
      </c>
      <c r="J4" s="2" t="s">
        <v>30</v>
      </c>
      <c r="K4" s="2" t="s">
        <v>45</v>
      </c>
      <c r="N4" s="2" t="s">
        <v>46</v>
      </c>
      <c r="O4" s="22" t="s">
        <v>47</v>
      </c>
      <c r="P4" s="2" t="s">
        <v>34</v>
      </c>
      <c r="Q4" s="2" t="s">
        <v>48</v>
      </c>
      <c r="R4" s="22" t="s">
        <v>49</v>
      </c>
      <c r="S4" s="6" t="s">
        <v>50</v>
      </c>
      <c r="T4" s="2" t="s">
        <v>51</v>
      </c>
      <c r="U4" s="2" t="s">
        <v>52</v>
      </c>
      <c r="V4" s="2" t="s">
        <v>34</v>
      </c>
      <c r="W4" s="2" t="str">
        <f t="shared" si="0"/>
        <v>Not regulated; any amount limit in internal packages</v>
      </c>
    </row>
    <row r="5" spans="1:23" s="2" customFormat="1" ht="90">
      <c r="A5" s="11" t="s">
        <v>53</v>
      </c>
      <c r="B5" s="10" t="s">
        <v>54</v>
      </c>
      <c r="D5" s="4" t="s">
        <v>55</v>
      </c>
      <c r="E5" s="2" t="s">
        <v>56</v>
      </c>
      <c r="F5" s="3" t="s">
        <v>57</v>
      </c>
      <c r="G5" s="3" t="s">
        <v>58</v>
      </c>
      <c r="H5" s="3"/>
      <c r="I5" s="2" t="s">
        <v>34</v>
      </c>
      <c r="J5" s="2" t="s">
        <v>34</v>
      </c>
      <c r="K5" s="2" t="s">
        <v>34</v>
      </c>
      <c r="N5" s="2" t="s">
        <v>59</v>
      </c>
      <c r="O5" s="2" t="s">
        <v>33</v>
      </c>
      <c r="P5" s="2" t="s">
        <v>34</v>
      </c>
      <c r="Q5" s="2" t="s">
        <v>48</v>
      </c>
      <c r="R5" s="22" t="s">
        <v>60</v>
      </c>
      <c r="S5" s="6" t="s">
        <v>50</v>
      </c>
      <c r="T5" s="2">
        <v>2933599090</v>
      </c>
      <c r="U5" s="2" t="s">
        <v>34</v>
      </c>
      <c r="V5" s="2" t="s">
        <v>34</v>
      </c>
      <c r="W5" s="2" t="str">
        <f t="shared" si="0"/>
        <v>Not regulated; any amount limit in internal packages</v>
      </c>
    </row>
    <row r="6" spans="1:23" s="5" customFormat="1" ht="210">
      <c r="A6" s="9" t="s">
        <v>61</v>
      </c>
      <c r="B6" s="9" t="s">
        <v>34</v>
      </c>
      <c r="D6" s="5" t="s">
        <v>62</v>
      </c>
      <c r="E6" s="5" t="s">
        <v>63</v>
      </c>
      <c r="F6" s="5" t="s">
        <v>59</v>
      </c>
      <c r="G6" s="5" t="s">
        <v>64</v>
      </c>
      <c r="I6" s="5">
        <v>1558</v>
      </c>
      <c r="J6" s="5" t="s">
        <v>30</v>
      </c>
      <c r="K6" s="5" t="s">
        <v>65</v>
      </c>
      <c r="N6" s="5" t="s">
        <v>66</v>
      </c>
      <c r="O6" s="5" t="s">
        <v>33</v>
      </c>
      <c r="P6" s="5" t="s">
        <v>34</v>
      </c>
      <c r="Q6" s="5" t="s">
        <v>67</v>
      </c>
      <c r="R6" s="22" t="s">
        <v>68</v>
      </c>
      <c r="T6" s="2"/>
      <c r="U6" s="2"/>
      <c r="W6" s="2" t="str">
        <f t="shared" si="0"/>
        <v>Not regulated; any amount limit in internal packages</v>
      </c>
    </row>
    <row r="7" spans="1:23" s="2" customFormat="1" ht="90">
      <c r="A7" s="11" t="s">
        <v>69</v>
      </c>
      <c r="B7" s="10" t="s">
        <v>70</v>
      </c>
      <c r="D7" s="4" t="s">
        <v>71</v>
      </c>
      <c r="E7" s="2" t="s">
        <v>72</v>
      </c>
      <c r="F7" s="2" t="s">
        <v>73</v>
      </c>
      <c r="G7" s="2" t="s">
        <v>74</v>
      </c>
      <c r="H7" s="2" t="s">
        <v>34</v>
      </c>
      <c r="I7" s="2" t="s">
        <v>34</v>
      </c>
      <c r="J7" s="2" t="s">
        <v>34</v>
      </c>
      <c r="K7" s="2" t="s">
        <v>34</v>
      </c>
      <c r="L7" s="2" t="s">
        <v>75</v>
      </c>
      <c r="N7" s="2" t="s">
        <v>76</v>
      </c>
      <c r="O7" s="2" t="s">
        <v>33</v>
      </c>
      <c r="P7" s="2" t="s">
        <v>77</v>
      </c>
      <c r="Q7" s="2" t="s">
        <v>78</v>
      </c>
      <c r="S7" s="2" t="s">
        <v>37</v>
      </c>
      <c r="T7" s="2">
        <v>29309070</v>
      </c>
      <c r="U7" s="2" t="s">
        <v>34</v>
      </c>
      <c r="V7" s="2" t="s">
        <v>34</v>
      </c>
      <c r="W7" s="2" t="str">
        <f t="shared" si="0"/>
        <v>Not regulated; any amount limit in internal packages</v>
      </c>
    </row>
    <row r="8" spans="1:23" ht="165">
      <c r="A8" s="10" t="s">
        <v>79</v>
      </c>
      <c r="B8" s="10" t="s">
        <v>80</v>
      </c>
      <c r="C8" s="2"/>
      <c r="D8" s="2" t="s">
        <v>81</v>
      </c>
      <c r="E8" s="2" t="s">
        <v>82</v>
      </c>
      <c r="F8" s="2" t="s">
        <v>59</v>
      </c>
      <c r="G8" s="2" t="s">
        <v>83</v>
      </c>
      <c r="H8" s="2"/>
      <c r="I8" s="2">
        <v>1561</v>
      </c>
      <c r="J8" s="2" t="s">
        <v>30</v>
      </c>
      <c r="K8" s="2" t="s">
        <v>65</v>
      </c>
      <c r="L8" s="2"/>
      <c r="M8" s="2"/>
      <c r="N8" s="2" t="s">
        <v>84</v>
      </c>
      <c r="O8" s="2" t="s">
        <v>33</v>
      </c>
      <c r="P8" s="2" t="s">
        <v>34</v>
      </c>
      <c r="Q8" s="2" t="s">
        <v>85</v>
      </c>
      <c r="R8" s="22" t="s">
        <v>36</v>
      </c>
      <c r="S8" s="2" t="s">
        <v>37</v>
      </c>
      <c r="T8" s="2">
        <v>2811291010</v>
      </c>
      <c r="U8" s="2" t="s">
        <v>86</v>
      </c>
      <c r="V8" s="2" t="s">
        <v>87</v>
      </c>
      <c r="W8" s="2">
        <f t="shared" si="0"/>
        <v>1</v>
      </c>
    </row>
    <row r="9" spans="1:23" ht="60">
      <c r="A9" s="10" t="s">
        <v>88</v>
      </c>
      <c r="B9" s="10" t="s">
        <v>89</v>
      </c>
      <c r="C9" s="4"/>
      <c r="D9" s="2" t="s">
        <v>90</v>
      </c>
      <c r="E9" s="2" t="s">
        <v>91</v>
      </c>
      <c r="F9" s="2" t="s">
        <v>59</v>
      </c>
      <c r="G9" s="2" t="s">
        <v>92</v>
      </c>
      <c r="H9" s="2"/>
      <c r="I9" s="2">
        <v>2027</v>
      </c>
      <c r="J9" s="2" t="s">
        <v>30</v>
      </c>
      <c r="K9" s="2" t="s">
        <v>65</v>
      </c>
      <c r="L9" s="2"/>
      <c r="M9" s="2"/>
      <c r="N9" s="2" t="s">
        <v>93</v>
      </c>
      <c r="O9" s="2" t="s">
        <v>33</v>
      </c>
      <c r="P9" s="2" t="s">
        <v>34</v>
      </c>
      <c r="Q9" s="2" t="s">
        <v>94</v>
      </c>
      <c r="R9" s="2" t="s">
        <v>95</v>
      </c>
      <c r="S9" s="2" t="s">
        <v>37</v>
      </c>
      <c r="T9" s="2">
        <v>28429010</v>
      </c>
      <c r="U9" s="2" t="s">
        <v>86</v>
      </c>
      <c r="V9" s="2" t="s">
        <v>87</v>
      </c>
      <c r="W9" s="2">
        <f t="shared" si="0"/>
        <v>1</v>
      </c>
    </row>
    <row r="10" spans="1:23" ht="50.45" customHeight="1">
      <c r="A10" s="65" t="s">
        <v>96</v>
      </c>
      <c r="B10" s="11"/>
      <c r="C10" s="4"/>
      <c r="D10" s="2"/>
      <c r="E10" s="2"/>
      <c r="F10" s="2"/>
      <c r="G10" s="2"/>
      <c r="H10" s="2"/>
      <c r="I10" s="2"/>
      <c r="J10" s="2"/>
      <c r="K10" s="2"/>
      <c r="L10" s="2"/>
      <c r="M10" s="2"/>
      <c r="N10" s="2"/>
      <c r="O10" s="2"/>
      <c r="P10" s="2"/>
      <c r="Q10" s="2"/>
      <c r="R10" s="2"/>
      <c r="S10" s="2"/>
      <c r="T10" s="2"/>
      <c r="U10" s="2"/>
      <c r="V10" s="2"/>
      <c r="W10" s="2"/>
    </row>
    <row r="11" spans="1:23" ht="90">
      <c r="A11" s="10" t="s">
        <v>97</v>
      </c>
      <c r="B11" s="11" t="s">
        <v>98</v>
      </c>
      <c r="C11" s="4" t="s">
        <v>99</v>
      </c>
      <c r="D11" s="2" t="s">
        <v>100</v>
      </c>
      <c r="E11" s="4" t="s">
        <v>101</v>
      </c>
      <c r="F11" s="2" t="s">
        <v>102</v>
      </c>
      <c r="G11" s="2" t="s">
        <v>103</v>
      </c>
      <c r="H11" s="2"/>
      <c r="I11" s="2">
        <v>2074</v>
      </c>
      <c r="J11" s="2" t="s">
        <v>30</v>
      </c>
      <c r="K11" s="2" t="s">
        <v>31</v>
      </c>
      <c r="L11" s="2"/>
      <c r="M11" s="2" t="s">
        <v>104</v>
      </c>
      <c r="N11" s="2" t="s">
        <v>105</v>
      </c>
      <c r="O11" s="2" t="s">
        <v>33</v>
      </c>
      <c r="P11" s="2" t="s">
        <v>106</v>
      </c>
      <c r="Q11" s="2" t="s">
        <v>107</v>
      </c>
      <c r="R11" s="2" t="s">
        <v>108</v>
      </c>
      <c r="S11" s="2" t="s">
        <v>37</v>
      </c>
      <c r="T11" s="2">
        <v>2924191110</v>
      </c>
      <c r="U11" s="2" t="s">
        <v>34</v>
      </c>
      <c r="V11" s="2" t="s">
        <v>38</v>
      </c>
      <c r="W11" s="2">
        <f t="shared" si="0"/>
        <v>30</v>
      </c>
    </row>
    <row r="12" spans="1:23" ht="150">
      <c r="A12" s="10" t="s">
        <v>109</v>
      </c>
      <c r="B12" s="11" t="s">
        <v>110</v>
      </c>
      <c r="C12" s="4" t="s">
        <v>111</v>
      </c>
      <c r="D12" s="2" t="s">
        <v>112</v>
      </c>
      <c r="E12" s="4" t="s">
        <v>113</v>
      </c>
      <c r="F12" s="2" t="s">
        <v>59</v>
      </c>
      <c r="G12" s="2" t="s">
        <v>114</v>
      </c>
      <c r="H12" s="2"/>
      <c r="I12" s="2">
        <v>2811</v>
      </c>
      <c r="J12" s="2" t="s">
        <v>30</v>
      </c>
      <c r="K12" s="2" t="s">
        <v>31</v>
      </c>
      <c r="L12" s="2"/>
      <c r="M12" s="2" t="s">
        <v>115</v>
      </c>
      <c r="N12" s="2" t="s">
        <v>105</v>
      </c>
      <c r="O12" s="22" t="s">
        <v>116</v>
      </c>
      <c r="P12" s="2" t="s">
        <v>117</v>
      </c>
      <c r="Q12" s="7" t="s">
        <v>118</v>
      </c>
      <c r="R12" s="2" t="s">
        <v>119</v>
      </c>
      <c r="S12" s="2" t="s">
        <v>37</v>
      </c>
      <c r="T12" s="2">
        <v>29241900</v>
      </c>
      <c r="U12" s="2" t="s">
        <v>34</v>
      </c>
      <c r="V12" s="2" t="s">
        <v>38</v>
      </c>
      <c r="W12" s="2">
        <f t="shared" si="0"/>
        <v>30</v>
      </c>
    </row>
    <row r="13" spans="1:23" ht="60">
      <c r="A13" s="10" t="s">
        <v>120</v>
      </c>
      <c r="B13" s="11" t="s">
        <v>121</v>
      </c>
      <c r="C13" s="4" t="s">
        <v>122</v>
      </c>
      <c r="D13" s="2" t="s">
        <v>123</v>
      </c>
      <c r="E13" s="2" t="s">
        <v>124</v>
      </c>
      <c r="F13" s="2" t="s">
        <v>59</v>
      </c>
      <c r="G13" s="2" t="s">
        <v>125</v>
      </c>
      <c r="H13" s="2"/>
      <c r="I13" s="2">
        <v>2811</v>
      </c>
      <c r="J13" s="2" t="s">
        <v>30</v>
      </c>
      <c r="K13" s="2" t="s">
        <v>31</v>
      </c>
      <c r="L13" s="2"/>
      <c r="M13" s="2" t="s">
        <v>126</v>
      </c>
      <c r="N13" s="2" t="s">
        <v>127</v>
      </c>
      <c r="O13" s="2" t="s">
        <v>128</v>
      </c>
      <c r="P13" s="2" t="s">
        <v>34</v>
      </c>
      <c r="Q13" s="2" t="s">
        <v>129</v>
      </c>
      <c r="R13" s="2" t="s">
        <v>130</v>
      </c>
      <c r="S13" s="2" t="s">
        <v>37</v>
      </c>
      <c r="T13" s="2">
        <v>29241900</v>
      </c>
      <c r="U13" s="2" t="s">
        <v>34</v>
      </c>
      <c r="V13" s="2" t="s">
        <v>38</v>
      </c>
      <c r="W13" s="2">
        <f t="shared" si="0"/>
        <v>30</v>
      </c>
    </row>
    <row r="14" spans="1:23" ht="90">
      <c r="A14" s="10" t="s">
        <v>131</v>
      </c>
      <c r="B14" s="11" t="s">
        <v>132</v>
      </c>
      <c r="C14" s="4" t="s">
        <v>133</v>
      </c>
      <c r="D14" s="2" t="s">
        <v>134</v>
      </c>
      <c r="E14" s="2" t="s">
        <v>135</v>
      </c>
      <c r="F14" s="2" t="s">
        <v>136</v>
      </c>
      <c r="G14" s="2" t="s">
        <v>137</v>
      </c>
      <c r="H14" s="2"/>
      <c r="I14" s="2">
        <v>2810</v>
      </c>
      <c r="J14" s="2" t="s">
        <v>30</v>
      </c>
      <c r="K14" s="2" t="s">
        <v>31</v>
      </c>
      <c r="L14" s="2"/>
      <c r="M14" s="2" t="s">
        <v>138</v>
      </c>
      <c r="N14" s="2" t="s">
        <v>105</v>
      </c>
      <c r="O14" s="2" t="s">
        <v>33</v>
      </c>
      <c r="P14" s="2" t="s">
        <v>34</v>
      </c>
      <c r="Q14" s="2" t="s">
        <v>139</v>
      </c>
      <c r="R14" s="22" t="s">
        <v>36</v>
      </c>
      <c r="S14" s="2" t="s">
        <v>37</v>
      </c>
      <c r="T14" s="2">
        <v>29241900</v>
      </c>
      <c r="U14" s="2" t="s">
        <v>34</v>
      </c>
      <c r="V14" s="2" t="s">
        <v>38</v>
      </c>
      <c r="W14" s="2">
        <f t="shared" si="0"/>
        <v>30</v>
      </c>
    </row>
    <row r="15" spans="1:23" ht="90">
      <c r="A15" s="10" t="s">
        <v>140</v>
      </c>
      <c r="B15" s="11" t="s">
        <v>141</v>
      </c>
      <c r="C15" s="4" t="s">
        <v>142</v>
      </c>
      <c r="D15" s="2" t="s">
        <v>134</v>
      </c>
      <c r="E15" s="2" t="s">
        <v>143</v>
      </c>
      <c r="F15" s="2" t="s">
        <v>59</v>
      </c>
      <c r="G15" s="2" t="s">
        <v>144</v>
      </c>
      <c r="H15" s="2"/>
      <c r="I15" s="2" t="s">
        <v>34</v>
      </c>
      <c r="J15" s="2" t="s">
        <v>34</v>
      </c>
      <c r="K15" s="2" t="s">
        <v>34</v>
      </c>
      <c r="L15" s="2" t="s">
        <v>75</v>
      </c>
      <c r="M15" s="2" t="s">
        <v>145</v>
      </c>
      <c r="N15" s="2" t="s">
        <v>146</v>
      </c>
      <c r="O15" s="2" t="s">
        <v>33</v>
      </c>
      <c r="P15" s="2" t="s">
        <v>147</v>
      </c>
      <c r="Q15" s="2" t="s">
        <v>139</v>
      </c>
      <c r="R15" s="2" t="s">
        <v>148</v>
      </c>
      <c r="S15" s="2" t="s">
        <v>37</v>
      </c>
      <c r="T15" s="2">
        <v>29241900</v>
      </c>
      <c r="U15" s="2" t="s">
        <v>34</v>
      </c>
      <c r="V15" s="2" t="s">
        <v>34</v>
      </c>
      <c r="W15" s="2" t="str">
        <f t="shared" si="0"/>
        <v>Not regulated; any amount limit in internal packages</v>
      </c>
    </row>
    <row r="16" spans="1:23" ht="225">
      <c r="A16" s="10" t="s">
        <v>149</v>
      </c>
      <c r="B16" s="11" t="s">
        <v>150</v>
      </c>
      <c r="C16" s="4" t="s">
        <v>151</v>
      </c>
      <c r="D16" s="2" t="s">
        <v>152</v>
      </c>
      <c r="E16" s="2" t="s">
        <v>153</v>
      </c>
      <c r="F16" s="2" t="s">
        <v>154</v>
      </c>
      <c r="G16" s="2" t="s">
        <v>155</v>
      </c>
      <c r="H16" s="2"/>
      <c r="I16" s="2" t="s">
        <v>34</v>
      </c>
      <c r="J16" s="2" t="s">
        <v>34</v>
      </c>
      <c r="K16" s="2" t="s">
        <v>34</v>
      </c>
      <c r="L16" s="2" t="s">
        <v>75</v>
      </c>
      <c r="M16" s="2" t="s">
        <v>156</v>
      </c>
      <c r="N16" s="2" t="s">
        <v>157</v>
      </c>
      <c r="O16" s="2" t="s">
        <v>33</v>
      </c>
      <c r="P16" s="2" t="s">
        <v>147</v>
      </c>
      <c r="Q16" s="2" t="s">
        <v>158</v>
      </c>
      <c r="R16" s="2" t="s">
        <v>159</v>
      </c>
      <c r="S16" s="6" t="s">
        <v>160</v>
      </c>
      <c r="T16" s="2">
        <v>29241900</v>
      </c>
      <c r="U16" s="2" t="s">
        <v>34</v>
      </c>
      <c r="V16" s="2" t="s">
        <v>34</v>
      </c>
      <c r="W16" s="2" t="str">
        <f t="shared" si="0"/>
        <v>Not regulated; any amount limit in internal packages</v>
      </c>
    </row>
    <row r="17" spans="1:23" ht="105">
      <c r="A17" s="10" t="s">
        <v>161</v>
      </c>
      <c r="B17" s="11" t="s">
        <v>162</v>
      </c>
      <c r="C17" s="4" t="s">
        <v>163</v>
      </c>
      <c r="D17" s="2" t="s">
        <v>164</v>
      </c>
      <c r="E17" s="2" t="s">
        <v>165</v>
      </c>
      <c r="F17" s="2" t="s">
        <v>59</v>
      </c>
      <c r="G17" s="2" t="s">
        <v>166</v>
      </c>
      <c r="H17" s="2"/>
      <c r="I17" s="2" t="s">
        <v>34</v>
      </c>
      <c r="J17" s="2" t="s">
        <v>34</v>
      </c>
      <c r="K17" s="2" t="s">
        <v>34</v>
      </c>
      <c r="L17" s="2" t="s">
        <v>75</v>
      </c>
      <c r="M17" s="2" t="s">
        <v>167</v>
      </c>
      <c r="N17" s="2" t="s">
        <v>168</v>
      </c>
      <c r="O17" s="2" t="s">
        <v>33</v>
      </c>
      <c r="P17" s="2" t="s">
        <v>34</v>
      </c>
      <c r="Q17" s="2" t="s">
        <v>169</v>
      </c>
      <c r="R17" s="2" t="s">
        <v>170</v>
      </c>
      <c r="S17" s="2" t="s">
        <v>37</v>
      </c>
      <c r="T17" s="2">
        <v>2924191130</v>
      </c>
      <c r="U17" s="2" t="s">
        <v>34</v>
      </c>
      <c r="V17" s="2" t="s">
        <v>34</v>
      </c>
      <c r="W17" s="2" t="str">
        <f t="shared" si="0"/>
        <v>Not regulated; any amount limit in internal packages</v>
      </c>
    </row>
    <row r="18" spans="1:23" ht="60">
      <c r="A18" s="10" t="s">
        <v>171</v>
      </c>
      <c r="B18" s="11" t="s">
        <v>172</v>
      </c>
      <c r="C18" s="4" t="s">
        <v>173</v>
      </c>
      <c r="D18" s="2" t="s">
        <v>174</v>
      </c>
      <c r="E18" s="2" t="s">
        <v>175</v>
      </c>
      <c r="F18" s="2" t="s">
        <v>176</v>
      </c>
      <c r="G18" s="2" t="s">
        <v>177</v>
      </c>
      <c r="H18" s="2"/>
      <c r="I18" s="2">
        <v>3263</v>
      </c>
      <c r="J18" s="2">
        <v>8</v>
      </c>
      <c r="K18" s="2" t="s">
        <v>31</v>
      </c>
      <c r="L18" s="2" t="s">
        <v>178</v>
      </c>
      <c r="M18" s="2" t="s">
        <v>179</v>
      </c>
      <c r="N18" s="2" t="s">
        <v>180</v>
      </c>
      <c r="O18" s="2" t="s">
        <v>33</v>
      </c>
      <c r="P18" s="2" t="s">
        <v>181</v>
      </c>
      <c r="Q18" s="2" t="s">
        <v>182</v>
      </c>
      <c r="R18" s="2" t="s">
        <v>183</v>
      </c>
      <c r="S18" s="2" t="s">
        <v>37</v>
      </c>
      <c r="T18" s="2">
        <v>29332960</v>
      </c>
      <c r="U18" s="2" t="s">
        <v>34</v>
      </c>
      <c r="V18" s="2" t="s">
        <v>38</v>
      </c>
      <c r="W18" s="2">
        <f t="shared" si="0"/>
        <v>30</v>
      </c>
    </row>
    <row r="19" spans="1:23" ht="60">
      <c r="A19" s="10" t="s">
        <v>184</v>
      </c>
      <c r="B19" s="11" t="s">
        <v>185</v>
      </c>
      <c r="C19" s="4" t="s">
        <v>186</v>
      </c>
      <c r="D19" s="2" t="s">
        <v>187</v>
      </c>
      <c r="E19" s="2" t="s">
        <v>188</v>
      </c>
      <c r="F19" s="2" t="s">
        <v>154</v>
      </c>
      <c r="G19" s="2" t="s">
        <v>189</v>
      </c>
      <c r="H19" s="2"/>
      <c r="I19" s="2">
        <v>3263</v>
      </c>
      <c r="J19" s="2">
        <v>8</v>
      </c>
      <c r="K19" s="2" t="s">
        <v>31</v>
      </c>
      <c r="L19" s="2" t="s">
        <v>190</v>
      </c>
      <c r="M19" s="2" t="s">
        <v>191</v>
      </c>
      <c r="N19" s="2" t="s">
        <v>192</v>
      </c>
      <c r="O19" s="2" t="s">
        <v>33</v>
      </c>
      <c r="P19" s="2" t="s">
        <v>129</v>
      </c>
      <c r="Q19" s="2" t="s">
        <v>193</v>
      </c>
      <c r="R19" s="2" t="s">
        <v>36</v>
      </c>
      <c r="S19" s="2" t="s">
        <v>37</v>
      </c>
      <c r="T19" s="2">
        <v>29332990</v>
      </c>
      <c r="U19" s="2" t="s">
        <v>34</v>
      </c>
      <c r="V19" s="2" t="s">
        <v>38</v>
      </c>
      <c r="W19" s="2">
        <f t="shared" si="0"/>
        <v>30</v>
      </c>
    </row>
    <row r="20" spans="1:23" ht="75">
      <c r="A20" s="10" t="s">
        <v>194</v>
      </c>
      <c r="B20" s="11" t="s">
        <v>195</v>
      </c>
      <c r="C20" s="4" t="s">
        <v>196</v>
      </c>
      <c r="D20" s="2" t="s">
        <v>187</v>
      </c>
      <c r="E20" s="2" t="s">
        <v>197</v>
      </c>
      <c r="F20" s="2" t="s">
        <v>59</v>
      </c>
      <c r="G20" s="2" t="s">
        <v>198</v>
      </c>
      <c r="H20" s="2"/>
      <c r="I20" s="2">
        <v>3259</v>
      </c>
      <c r="J20" s="2">
        <v>8</v>
      </c>
      <c r="K20" s="2" t="s">
        <v>65</v>
      </c>
      <c r="L20" s="2" t="s">
        <v>199</v>
      </c>
      <c r="M20" s="2" t="s">
        <v>200</v>
      </c>
      <c r="N20" s="2" t="s">
        <v>201</v>
      </c>
      <c r="O20" s="2" t="s">
        <v>33</v>
      </c>
      <c r="P20" s="2" t="s">
        <v>129</v>
      </c>
      <c r="Q20" s="2" t="s">
        <v>193</v>
      </c>
      <c r="R20" s="2" t="s">
        <v>36</v>
      </c>
      <c r="S20" s="2" t="s">
        <v>37</v>
      </c>
      <c r="T20" s="2">
        <v>29332990</v>
      </c>
      <c r="U20" s="2" t="s">
        <v>34</v>
      </c>
      <c r="V20" s="2" t="s">
        <v>202</v>
      </c>
      <c r="W20" s="2">
        <f t="shared" si="0"/>
        <v>30</v>
      </c>
    </row>
    <row r="21" spans="1:23" ht="75">
      <c r="A21" s="10" t="s">
        <v>203</v>
      </c>
      <c r="B21" s="11" t="s">
        <v>204</v>
      </c>
      <c r="C21" s="4" t="s">
        <v>205</v>
      </c>
      <c r="D21" s="2" t="s">
        <v>187</v>
      </c>
      <c r="E21" s="2" t="s">
        <v>206</v>
      </c>
      <c r="F21" s="2" t="s">
        <v>154</v>
      </c>
      <c r="G21" s="2" t="s">
        <v>207</v>
      </c>
      <c r="H21" s="2"/>
      <c r="I21" s="2">
        <v>2922</v>
      </c>
      <c r="J21" s="2" t="s">
        <v>208</v>
      </c>
      <c r="K21" s="2" t="s">
        <v>65</v>
      </c>
      <c r="L21" s="2" t="s">
        <v>209</v>
      </c>
      <c r="M21" s="2" t="s">
        <v>210</v>
      </c>
      <c r="N21" s="2" t="s">
        <v>211</v>
      </c>
      <c r="O21" s="2" t="s">
        <v>212</v>
      </c>
      <c r="P21" s="2" t="s">
        <v>213</v>
      </c>
      <c r="Q21" s="24" t="s">
        <v>214</v>
      </c>
      <c r="R21" s="2" t="s">
        <v>215</v>
      </c>
      <c r="S21" s="2" t="s">
        <v>37</v>
      </c>
      <c r="T21" s="2">
        <v>29332990</v>
      </c>
      <c r="U21" s="2" t="s">
        <v>34</v>
      </c>
      <c r="V21" s="2" t="s">
        <v>202</v>
      </c>
      <c r="W21" s="2">
        <f t="shared" si="0"/>
        <v>30</v>
      </c>
    </row>
    <row r="22" spans="1:23" ht="60">
      <c r="A22" s="10" t="s">
        <v>216</v>
      </c>
      <c r="B22" s="11" t="s">
        <v>217</v>
      </c>
      <c r="C22" s="4" t="s">
        <v>218</v>
      </c>
      <c r="D22" s="2" t="s">
        <v>219</v>
      </c>
      <c r="E22" s="2" t="s">
        <v>220</v>
      </c>
      <c r="F22" s="7" t="s">
        <v>221</v>
      </c>
      <c r="G22" s="2" t="s">
        <v>222</v>
      </c>
      <c r="H22" s="2"/>
      <c r="I22" s="2" t="s">
        <v>34</v>
      </c>
      <c r="J22" s="2" t="s">
        <v>34</v>
      </c>
      <c r="K22" s="2" t="s">
        <v>34</v>
      </c>
      <c r="L22" s="2" t="s">
        <v>75</v>
      </c>
      <c r="M22" s="2" t="s">
        <v>223</v>
      </c>
      <c r="N22" s="2" t="s">
        <v>224</v>
      </c>
      <c r="O22" s="2" t="s">
        <v>225</v>
      </c>
      <c r="P22" s="2" t="s">
        <v>129</v>
      </c>
      <c r="Q22" s="2" t="s">
        <v>226</v>
      </c>
      <c r="R22" s="2" t="s">
        <v>36</v>
      </c>
      <c r="S22" s="2" t="s">
        <v>37</v>
      </c>
      <c r="T22" s="2">
        <v>29332990</v>
      </c>
      <c r="U22" s="2" t="s">
        <v>34</v>
      </c>
      <c r="V22" s="2" t="s">
        <v>34</v>
      </c>
      <c r="W22" s="2" t="str">
        <f t="shared" si="0"/>
        <v>Not regulated; any amount limit in internal packages</v>
      </c>
    </row>
    <row r="23" spans="1:23" ht="60">
      <c r="A23" s="10" t="s">
        <v>227</v>
      </c>
      <c r="B23" s="11" t="s">
        <v>228</v>
      </c>
      <c r="C23" s="4" t="s">
        <v>229</v>
      </c>
      <c r="D23" s="2" t="s">
        <v>230</v>
      </c>
      <c r="E23" s="2" t="s">
        <v>231</v>
      </c>
      <c r="F23" s="2" t="s">
        <v>59</v>
      </c>
      <c r="G23" s="2" t="s">
        <v>232</v>
      </c>
      <c r="H23" s="2"/>
      <c r="I23" s="2" t="s">
        <v>34</v>
      </c>
      <c r="J23" s="2" t="s">
        <v>34</v>
      </c>
      <c r="K23" s="2" t="s">
        <v>34</v>
      </c>
      <c r="L23" s="2" t="s">
        <v>75</v>
      </c>
      <c r="M23" s="2" t="s">
        <v>233</v>
      </c>
      <c r="N23" s="2" t="s">
        <v>234</v>
      </c>
      <c r="O23" s="2" t="s">
        <v>33</v>
      </c>
      <c r="P23" s="2" t="s">
        <v>129</v>
      </c>
      <c r="Q23" s="2" t="s">
        <v>235</v>
      </c>
      <c r="R23" s="2" t="s">
        <v>36</v>
      </c>
      <c r="S23" s="2" t="s">
        <v>37</v>
      </c>
      <c r="T23" s="2">
        <v>29332990</v>
      </c>
      <c r="U23" s="2" t="s">
        <v>34</v>
      </c>
      <c r="V23" s="2" t="s">
        <v>34</v>
      </c>
      <c r="W23" s="2" t="str">
        <f t="shared" si="0"/>
        <v>Not regulated; any amount limit in internal packages</v>
      </c>
    </row>
    <row r="24" spans="1:23" ht="90">
      <c r="A24" s="10" t="s">
        <v>236</v>
      </c>
      <c r="B24" s="11" t="s">
        <v>237</v>
      </c>
      <c r="C24" s="4" t="s">
        <v>238</v>
      </c>
      <c r="D24" s="2" t="s">
        <v>239</v>
      </c>
      <c r="E24" s="2" t="s">
        <v>240</v>
      </c>
      <c r="F24" s="2" t="s">
        <v>59</v>
      </c>
      <c r="G24" s="2" t="s">
        <v>241</v>
      </c>
      <c r="H24" s="2"/>
      <c r="I24" s="2">
        <v>3267</v>
      </c>
      <c r="J24" s="2">
        <v>8</v>
      </c>
      <c r="K24" s="2" t="s">
        <v>65</v>
      </c>
      <c r="L24" s="2" t="s">
        <v>242</v>
      </c>
      <c r="M24" s="2" t="s">
        <v>243</v>
      </c>
      <c r="N24" s="2" t="s">
        <v>244</v>
      </c>
      <c r="O24" s="2" t="s">
        <v>33</v>
      </c>
      <c r="P24" s="2" t="s">
        <v>129</v>
      </c>
      <c r="Q24" s="2" t="s">
        <v>158</v>
      </c>
      <c r="R24" s="2" t="s">
        <v>245</v>
      </c>
      <c r="S24" s="2" t="s">
        <v>246</v>
      </c>
      <c r="T24" s="2">
        <v>29332990</v>
      </c>
      <c r="U24" s="2" t="s">
        <v>34</v>
      </c>
      <c r="V24" s="2" t="s">
        <v>202</v>
      </c>
      <c r="W24" s="2">
        <f t="shared" si="0"/>
        <v>30</v>
      </c>
    </row>
    <row r="25" spans="1:23" ht="57" customHeight="1">
      <c r="A25" s="10" t="s">
        <v>247</v>
      </c>
      <c r="B25" s="11" t="s">
        <v>248</v>
      </c>
      <c r="C25" s="4" t="s">
        <v>249</v>
      </c>
      <c r="D25" s="2" t="s">
        <v>219</v>
      </c>
      <c r="E25" s="2" t="s">
        <v>250</v>
      </c>
      <c r="F25" s="2" t="s">
        <v>59</v>
      </c>
      <c r="G25" s="2" t="s">
        <v>251</v>
      </c>
      <c r="H25" s="2"/>
      <c r="I25" s="2" t="s">
        <v>34</v>
      </c>
      <c r="J25" s="2" t="s">
        <v>34</v>
      </c>
      <c r="K25" s="2" t="s">
        <v>34</v>
      </c>
      <c r="L25" s="2" t="s">
        <v>75</v>
      </c>
      <c r="M25" s="2" t="s">
        <v>252</v>
      </c>
      <c r="N25" s="2" t="s">
        <v>253</v>
      </c>
      <c r="O25" s="2" t="s">
        <v>33</v>
      </c>
      <c r="P25" s="2" t="s">
        <v>254</v>
      </c>
      <c r="Q25" s="21" t="s">
        <v>255</v>
      </c>
      <c r="R25" s="2" t="s">
        <v>256</v>
      </c>
      <c r="S25" s="2" t="s">
        <v>37</v>
      </c>
      <c r="T25" s="2">
        <v>29332990</v>
      </c>
      <c r="U25" s="2" t="s">
        <v>34</v>
      </c>
      <c r="V25" s="2" t="s">
        <v>34</v>
      </c>
      <c r="W25" s="2" t="str">
        <f>IF(V25="E0",0,IF(V25="E1",30,IF(V25="E2",30,IF(V25="E3",30,IF(V25="E4",1,IF(V25="E5",1, "Not regulated; any amount limit in internal packages"))))))</f>
        <v>Not regulated; any amount limit in internal packages</v>
      </c>
    </row>
    <row r="26" spans="1:23" ht="111.75" customHeight="1">
      <c r="A26" s="10" t="s">
        <v>257</v>
      </c>
      <c r="B26" s="11" t="s">
        <v>258</v>
      </c>
      <c r="C26" s="4" t="s">
        <v>259</v>
      </c>
      <c r="D26" s="111" t="s">
        <v>260</v>
      </c>
      <c r="E26" s="97" t="s">
        <v>261</v>
      </c>
      <c r="F26" s="2" t="s">
        <v>59</v>
      </c>
      <c r="G26" s="7" t="s">
        <v>262</v>
      </c>
      <c r="H26" s="2"/>
      <c r="I26" s="2">
        <v>3267</v>
      </c>
      <c r="J26" s="2">
        <v>8</v>
      </c>
      <c r="K26" s="2" t="s">
        <v>31</v>
      </c>
      <c r="L26" s="2" t="s">
        <v>75</v>
      </c>
      <c r="M26" s="2" t="s">
        <v>263</v>
      </c>
      <c r="N26" s="2" t="s">
        <v>264</v>
      </c>
      <c r="O26" s="5" t="s">
        <v>265</v>
      </c>
      <c r="P26" s="2" t="s">
        <v>266</v>
      </c>
      <c r="Q26" s="21" t="s">
        <v>267</v>
      </c>
      <c r="R26" s="2" t="s">
        <v>268</v>
      </c>
      <c r="S26" s="6" t="s">
        <v>269</v>
      </c>
      <c r="T26" s="2">
        <v>29332990</v>
      </c>
      <c r="U26" s="2" t="s">
        <v>34</v>
      </c>
      <c r="V26" s="2" t="s">
        <v>38</v>
      </c>
      <c r="W26" s="2">
        <f>IF(V26="E0",0,IF(V26="E1",30,IF(V26="E2",30,IF(V26="E3",30,IF(V26="E4",1,IF(V26="E5",1, "Not regulated; any amount limit in internal packages"))))))</f>
        <v>30</v>
      </c>
    </row>
    <row r="27" spans="1:23" ht="57" customHeight="1">
      <c r="A27" s="10" t="s">
        <v>270</v>
      </c>
      <c r="B27" s="11"/>
      <c r="C27" s="4" t="s">
        <v>271</v>
      </c>
      <c r="D27"/>
      <c r="E27" s="2" t="s">
        <v>272</v>
      </c>
      <c r="F27" s="2"/>
      <c r="G27" s="2"/>
      <c r="H27" s="2"/>
      <c r="I27" s="2" t="s">
        <v>34</v>
      </c>
      <c r="J27" s="2" t="s">
        <v>34</v>
      </c>
      <c r="K27" s="2" t="s">
        <v>34</v>
      </c>
      <c r="L27" s="2" t="s">
        <v>75</v>
      </c>
      <c r="M27" s="2" t="s">
        <v>59</v>
      </c>
      <c r="N27" s="2" t="s">
        <v>273</v>
      </c>
      <c r="O27" s="2"/>
      <c r="P27" s="2"/>
      <c r="Q27" s="2"/>
      <c r="R27" s="2"/>
      <c r="S27" s="2"/>
      <c r="T27" s="2"/>
      <c r="U27" s="2"/>
      <c r="V27" s="2" t="s">
        <v>34</v>
      </c>
      <c r="W27" s="2" t="str">
        <f>IF(V27="E0",0,IF(V27="E1",30,IF(V27="E2",30,IF(V27="E3",30,IF(V27="E4",1,IF(V27="E5",1, "Not regulated; any amount limit in internal packages"))))))</f>
        <v>Not regulated; any amount limit in internal packages</v>
      </c>
    </row>
    <row r="28" spans="1:23" ht="57" customHeight="1">
      <c r="A28" s="10" t="s">
        <v>274</v>
      </c>
      <c r="B28" s="11" t="s">
        <v>275</v>
      </c>
      <c r="C28" s="4" t="s">
        <v>276</v>
      </c>
      <c r="D28" s="111" t="s">
        <v>277</v>
      </c>
      <c r="E28" s="2" t="s">
        <v>278</v>
      </c>
      <c r="F28" s="2" t="s">
        <v>59</v>
      </c>
      <c r="G28" s="7" t="s">
        <v>279</v>
      </c>
      <c r="H28" s="2"/>
      <c r="I28" s="2">
        <v>3267</v>
      </c>
      <c r="J28" s="2">
        <v>8</v>
      </c>
      <c r="K28" s="2" t="s">
        <v>31</v>
      </c>
      <c r="L28" s="2" t="s">
        <v>75</v>
      </c>
      <c r="M28" s="2" t="s">
        <v>280</v>
      </c>
      <c r="N28" s="2" t="s">
        <v>281</v>
      </c>
      <c r="O28" s="2" t="s">
        <v>282</v>
      </c>
      <c r="P28" s="2" t="s">
        <v>283</v>
      </c>
      <c r="Q28" s="2" t="s">
        <v>284</v>
      </c>
      <c r="R28" s="2" t="s">
        <v>285</v>
      </c>
      <c r="S28" s="2" t="s">
        <v>37</v>
      </c>
      <c r="T28" s="2">
        <v>29332990</v>
      </c>
      <c r="U28" s="2" t="s">
        <v>34</v>
      </c>
      <c r="V28" s="2" t="s">
        <v>38</v>
      </c>
      <c r="W28" s="2">
        <f>IF(V28="E0",0,IF(V28="E1",30,IF(V28="E2",30,IF(V28="E3",30,IF(V28="E4",1,IF(V28="E5",1, "Not regulated; any amount limit in internal packages"))))))</f>
        <v>30</v>
      </c>
    </row>
    <row r="29" spans="1:23" ht="45">
      <c r="A29" s="65" t="s">
        <v>286</v>
      </c>
      <c r="B29" s="11"/>
      <c r="C29" s="4"/>
      <c r="D29" s="2"/>
      <c r="E29" s="2"/>
      <c r="F29" s="2"/>
      <c r="G29" s="2"/>
      <c r="H29" s="2"/>
      <c r="I29" s="2"/>
      <c r="J29" s="2"/>
      <c r="K29" s="2"/>
      <c r="L29" s="2"/>
      <c r="M29" s="2"/>
      <c r="N29" s="2"/>
      <c r="O29" s="2"/>
      <c r="P29" s="2"/>
      <c r="Q29" s="2"/>
      <c r="R29" s="2"/>
      <c r="S29" s="2"/>
      <c r="T29" s="2"/>
      <c r="U29" s="2"/>
      <c r="V29" s="2"/>
      <c r="W29" s="2" t="str">
        <f t="shared" si="0"/>
        <v>Not regulated; any amount limit in internal packages</v>
      </c>
    </row>
    <row r="30" spans="1:23" ht="45">
      <c r="A30" s="10" t="s">
        <v>287</v>
      </c>
      <c r="B30" s="11" t="s">
        <v>288</v>
      </c>
      <c r="C30" s="14"/>
      <c r="D30" s="14" t="s">
        <v>289</v>
      </c>
      <c r="E30" s="4" t="s">
        <v>290</v>
      </c>
      <c r="F30" s="2" t="s">
        <v>291</v>
      </c>
      <c r="G30" s="2" t="s">
        <v>292</v>
      </c>
      <c r="H30" s="2"/>
      <c r="I30" s="2" t="s">
        <v>34</v>
      </c>
      <c r="J30" s="2" t="s">
        <v>34</v>
      </c>
      <c r="K30" s="2" t="s">
        <v>34</v>
      </c>
      <c r="L30" s="2" t="s">
        <v>75</v>
      </c>
      <c r="M30" s="2" t="s">
        <v>293</v>
      </c>
      <c r="N30" s="2" t="s">
        <v>294</v>
      </c>
      <c r="O30" s="22" t="s">
        <v>295</v>
      </c>
      <c r="P30" s="2" t="s">
        <v>296</v>
      </c>
      <c r="Q30" s="2" t="s">
        <v>297</v>
      </c>
      <c r="R30" s="2" t="s">
        <v>298</v>
      </c>
      <c r="S30" s="2" t="s">
        <v>37</v>
      </c>
      <c r="T30" s="2">
        <v>29072990</v>
      </c>
      <c r="U30" s="2" t="s">
        <v>34</v>
      </c>
      <c r="V30" s="2" t="s">
        <v>34</v>
      </c>
      <c r="W30" s="2" t="str">
        <f t="shared" ref="W30:W65" si="1">IF(V30="E0",0,IF(V30="E1",30,IF(V30="E2",30,IF(V30="E3",30,IF(V30="E4",1,IF(V30="E5",1, "Not regulated; any amount limit in internal packages"))))))</f>
        <v>Not regulated; any amount limit in internal packages</v>
      </c>
    </row>
    <row r="31" spans="1:23" ht="60">
      <c r="A31" s="10" t="s">
        <v>299</v>
      </c>
      <c r="B31" s="11" t="s">
        <v>300</v>
      </c>
      <c r="C31" s="2"/>
      <c r="D31" s="2" t="s">
        <v>301</v>
      </c>
      <c r="E31" s="4" t="s">
        <v>302</v>
      </c>
      <c r="F31" s="2" t="s">
        <v>303</v>
      </c>
      <c r="G31" s="2" t="s">
        <v>304</v>
      </c>
      <c r="H31" s="2"/>
      <c r="I31" s="2" t="s">
        <v>34</v>
      </c>
      <c r="J31" s="2" t="s">
        <v>34</v>
      </c>
      <c r="K31" s="2" t="s">
        <v>34</v>
      </c>
      <c r="L31" s="2" t="s">
        <v>75</v>
      </c>
      <c r="M31" s="2" t="s">
        <v>305</v>
      </c>
      <c r="N31" s="2" t="s">
        <v>306</v>
      </c>
      <c r="O31" s="2" t="s">
        <v>33</v>
      </c>
      <c r="P31" s="2" t="s">
        <v>296</v>
      </c>
      <c r="Q31" s="2" t="s">
        <v>158</v>
      </c>
      <c r="R31" s="2" t="s">
        <v>307</v>
      </c>
      <c r="S31" s="2" t="s">
        <v>37</v>
      </c>
      <c r="T31" s="2">
        <v>29393000</v>
      </c>
      <c r="U31" s="2" t="s">
        <v>34</v>
      </c>
      <c r="V31" s="2" t="s">
        <v>34</v>
      </c>
      <c r="W31" s="2" t="str">
        <f t="shared" si="1"/>
        <v>Not regulated; any amount limit in internal packages</v>
      </c>
    </row>
    <row r="32" spans="1:23" ht="99" customHeight="1">
      <c r="A32" s="10" t="s">
        <v>308</v>
      </c>
      <c r="B32" s="11" t="s">
        <v>309</v>
      </c>
      <c r="C32" s="2"/>
      <c r="D32" s="2" t="s">
        <v>310</v>
      </c>
      <c r="E32" s="4" t="s">
        <v>311</v>
      </c>
      <c r="F32" s="7" t="s">
        <v>312</v>
      </c>
      <c r="G32" s="2" t="s">
        <v>313</v>
      </c>
      <c r="H32" s="2"/>
      <c r="I32" s="2">
        <v>2294</v>
      </c>
      <c r="J32" s="2" t="s">
        <v>30</v>
      </c>
      <c r="K32" s="2" t="s">
        <v>31</v>
      </c>
      <c r="L32" s="2" t="s">
        <v>314</v>
      </c>
      <c r="M32" s="2" t="s">
        <v>315</v>
      </c>
      <c r="N32" s="2" t="s">
        <v>316</v>
      </c>
      <c r="O32" s="22" t="s">
        <v>317</v>
      </c>
      <c r="P32" s="2" t="s">
        <v>318</v>
      </c>
      <c r="Q32" s="26" t="s">
        <v>319</v>
      </c>
      <c r="R32" s="26" t="s">
        <v>320</v>
      </c>
      <c r="S32" s="2" t="s">
        <v>37</v>
      </c>
      <c r="T32" s="2">
        <v>29214200</v>
      </c>
      <c r="U32" s="2" t="s">
        <v>34</v>
      </c>
      <c r="V32" s="2" t="s">
        <v>38</v>
      </c>
      <c r="W32" s="2">
        <f t="shared" si="1"/>
        <v>30</v>
      </c>
    </row>
    <row r="33" spans="1:23" ht="75">
      <c r="A33" s="10" t="s">
        <v>321</v>
      </c>
      <c r="B33" s="11" t="s">
        <v>322</v>
      </c>
      <c r="C33" s="2"/>
      <c r="D33" s="2" t="s">
        <v>323</v>
      </c>
      <c r="E33" s="4" t="s">
        <v>324</v>
      </c>
      <c r="F33" s="2" t="s">
        <v>92</v>
      </c>
      <c r="G33" s="5" t="s">
        <v>325</v>
      </c>
      <c r="H33" s="2"/>
      <c r="I33" s="2" t="s">
        <v>34</v>
      </c>
      <c r="J33" s="2" t="s">
        <v>34</v>
      </c>
      <c r="K33" s="2" t="s">
        <v>34</v>
      </c>
      <c r="L33" s="2" t="s">
        <v>75</v>
      </c>
      <c r="M33" s="2" t="s">
        <v>59</v>
      </c>
      <c r="N33" s="2" t="s">
        <v>326</v>
      </c>
      <c r="O33" s="22" t="s">
        <v>327</v>
      </c>
      <c r="P33" s="2" t="s">
        <v>328</v>
      </c>
      <c r="Q33" s="2" t="s">
        <v>158</v>
      </c>
      <c r="R33" s="2" t="s">
        <v>256</v>
      </c>
      <c r="S33" s="6" t="s">
        <v>50</v>
      </c>
      <c r="T33" s="2">
        <v>29221900</v>
      </c>
      <c r="U33" s="2" t="s">
        <v>34</v>
      </c>
      <c r="V33" s="2" t="s">
        <v>34</v>
      </c>
      <c r="W33" s="2" t="str">
        <f t="shared" si="1"/>
        <v>Not regulated; any amount limit in internal packages</v>
      </c>
    </row>
    <row r="34" spans="1:23" ht="75">
      <c r="A34" s="10" t="s">
        <v>329</v>
      </c>
      <c r="B34" s="11" t="s">
        <v>330</v>
      </c>
      <c r="C34" s="2"/>
      <c r="D34" s="2" t="s">
        <v>331</v>
      </c>
      <c r="E34" s="4" t="s">
        <v>332</v>
      </c>
      <c r="F34" s="2" t="s">
        <v>333</v>
      </c>
      <c r="G34" s="2" t="s">
        <v>334</v>
      </c>
      <c r="H34" s="2"/>
      <c r="I34" s="2" t="s">
        <v>34</v>
      </c>
      <c r="J34" s="2" t="s">
        <v>34</v>
      </c>
      <c r="K34" s="2" t="s">
        <v>34</v>
      </c>
      <c r="L34" s="2" t="s">
        <v>75</v>
      </c>
      <c r="M34" s="2" t="s">
        <v>335</v>
      </c>
      <c r="N34" s="2" t="s">
        <v>336</v>
      </c>
      <c r="O34" s="22" t="s">
        <v>295</v>
      </c>
      <c r="P34" s="2" t="s">
        <v>337</v>
      </c>
      <c r="Q34" s="2" t="s">
        <v>158</v>
      </c>
      <c r="R34" s="2" t="s">
        <v>307</v>
      </c>
      <c r="S34" s="6" t="s">
        <v>50</v>
      </c>
      <c r="T34" s="2">
        <v>29339980</v>
      </c>
      <c r="U34" s="2" t="s">
        <v>34</v>
      </c>
      <c r="V34" s="2" t="s">
        <v>34</v>
      </c>
      <c r="W34" s="2" t="str">
        <f t="shared" si="1"/>
        <v>Not regulated; any amount limit in internal packages</v>
      </c>
    </row>
    <row r="35" spans="1:23" ht="75">
      <c r="A35" s="10" t="s">
        <v>338</v>
      </c>
      <c r="B35" s="11" t="s">
        <v>339</v>
      </c>
      <c r="C35" s="2" t="s">
        <v>340</v>
      </c>
      <c r="D35" s="2" t="s">
        <v>341</v>
      </c>
      <c r="E35" s="4" t="s">
        <v>342</v>
      </c>
      <c r="F35" s="2" t="s">
        <v>343</v>
      </c>
      <c r="G35" s="2" t="s">
        <v>344</v>
      </c>
      <c r="H35" s="2"/>
      <c r="I35" s="2">
        <v>2811</v>
      </c>
      <c r="J35" s="2" t="s">
        <v>30</v>
      </c>
      <c r="K35" s="2" t="s">
        <v>31</v>
      </c>
      <c r="L35" s="2" t="s">
        <v>345</v>
      </c>
      <c r="M35" s="2" t="s">
        <v>346</v>
      </c>
      <c r="N35" s="2" t="s">
        <v>347</v>
      </c>
      <c r="O35" s="22" t="s">
        <v>348</v>
      </c>
      <c r="P35" s="2" t="s">
        <v>349</v>
      </c>
      <c r="Q35" s="21" t="s">
        <v>350</v>
      </c>
      <c r="R35" s="2" t="s">
        <v>351</v>
      </c>
      <c r="S35" s="6" t="s">
        <v>50</v>
      </c>
      <c r="T35" s="2">
        <v>29333990</v>
      </c>
      <c r="U35" s="2" t="s">
        <v>34</v>
      </c>
      <c r="V35" s="2" t="s">
        <v>38</v>
      </c>
      <c r="W35" s="2">
        <f t="shared" si="1"/>
        <v>30</v>
      </c>
    </row>
    <row r="36" spans="1:23" ht="60">
      <c r="A36" s="10" t="s">
        <v>352</v>
      </c>
      <c r="B36" s="11" t="s">
        <v>353</v>
      </c>
      <c r="C36" s="2" t="s">
        <v>354</v>
      </c>
      <c r="D36" s="2" t="s">
        <v>341</v>
      </c>
      <c r="E36" s="4" t="s">
        <v>355</v>
      </c>
      <c r="F36" s="2" t="s">
        <v>59</v>
      </c>
      <c r="G36" s="2" t="s">
        <v>356</v>
      </c>
      <c r="H36" s="2"/>
      <c r="I36" s="2">
        <v>2811</v>
      </c>
      <c r="J36" s="2" t="s">
        <v>30</v>
      </c>
      <c r="K36" s="2" t="s">
        <v>31</v>
      </c>
      <c r="L36" s="2" t="s">
        <v>357</v>
      </c>
      <c r="M36" s="2" t="s">
        <v>358</v>
      </c>
      <c r="N36" s="2" t="s">
        <v>359</v>
      </c>
      <c r="O36" s="21" t="s">
        <v>360</v>
      </c>
      <c r="P36" s="2" t="s">
        <v>361</v>
      </c>
      <c r="Q36" s="2" t="s">
        <v>158</v>
      </c>
      <c r="R36" s="2" t="s">
        <v>362</v>
      </c>
      <c r="S36" s="6" t="s">
        <v>50</v>
      </c>
      <c r="T36" s="2">
        <v>29333990</v>
      </c>
      <c r="U36" s="2" t="s">
        <v>34</v>
      </c>
      <c r="V36" s="2" t="s">
        <v>38</v>
      </c>
      <c r="W36" s="2">
        <f t="shared" si="1"/>
        <v>30</v>
      </c>
    </row>
    <row r="37" spans="1:23" ht="50.45" customHeight="1">
      <c r="A37" s="10" t="s">
        <v>363</v>
      </c>
      <c r="B37" s="11" t="s">
        <v>364</v>
      </c>
      <c r="C37" s="2"/>
      <c r="D37" s="2" t="s">
        <v>365</v>
      </c>
      <c r="E37" s="4" t="s">
        <v>366</v>
      </c>
      <c r="F37" s="2" t="s">
        <v>367</v>
      </c>
      <c r="G37" s="2" t="s">
        <v>368</v>
      </c>
      <c r="H37" s="2"/>
      <c r="I37" s="2" t="s">
        <v>34</v>
      </c>
      <c r="J37" s="2" t="s">
        <v>34</v>
      </c>
      <c r="K37" s="2" t="s">
        <v>34</v>
      </c>
      <c r="L37" s="2" t="s">
        <v>75</v>
      </c>
      <c r="M37" s="2" t="s">
        <v>369</v>
      </c>
      <c r="N37" s="2" t="s">
        <v>59</v>
      </c>
      <c r="O37" s="22" t="s">
        <v>295</v>
      </c>
      <c r="P37" s="2" t="s">
        <v>370</v>
      </c>
      <c r="Q37" s="2" t="s">
        <v>158</v>
      </c>
      <c r="R37" s="2" t="s">
        <v>256</v>
      </c>
      <c r="S37" s="2" t="s">
        <v>37</v>
      </c>
      <c r="T37" s="2">
        <v>29329990</v>
      </c>
      <c r="U37" s="2" t="s">
        <v>34</v>
      </c>
      <c r="V37" s="2" t="s">
        <v>38</v>
      </c>
      <c r="W37" s="2">
        <f t="shared" si="1"/>
        <v>30</v>
      </c>
    </row>
    <row r="38" spans="1:23" ht="75">
      <c r="A38" s="10" t="s">
        <v>371</v>
      </c>
      <c r="B38" s="11" t="s">
        <v>372</v>
      </c>
      <c r="C38" s="2"/>
      <c r="D38" s="2" t="s">
        <v>373</v>
      </c>
      <c r="E38" s="4" t="s">
        <v>374</v>
      </c>
      <c r="F38" s="2" t="s">
        <v>375</v>
      </c>
      <c r="G38" s="2" t="s">
        <v>376</v>
      </c>
      <c r="H38" s="2"/>
      <c r="I38" s="2">
        <v>2811</v>
      </c>
      <c r="J38" s="2" t="s">
        <v>30</v>
      </c>
      <c r="K38" s="2" t="s">
        <v>31</v>
      </c>
      <c r="L38" s="2" t="s">
        <v>377</v>
      </c>
      <c r="M38" s="2" t="s">
        <v>59</v>
      </c>
      <c r="N38" s="2" t="s">
        <v>59</v>
      </c>
      <c r="O38" s="2" t="s">
        <v>378</v>
      </c>
      <c r="P38" s="2" t="s">
        <v>379</v>
      </c>
      <c r="Q38" s="2" t="s">
        <v>158</v>
      </c>
      <c r="R38" s="2" t="s">
        <v>351</v>
      </c>
      <c r="S38" s="6" t="s">
        <v>50</v>
      </c>
      <c r="T38" s="2">
        <v>29333999</v>
      </c>
      <c r="U38" s="2" t="s">
        <v>34</v>
      </c>
      <c r="V38" s="2" t="s">
        <v>38</v>
      </c>
      <c r="W38" s="2">
        <f t="shared" si="1"/>
        <v>30</v>
      </c>
    </row>
    <row r="39" spans="1:23" ht="75">
      <c r="A39" s="10" t="s">
        <v>380</v>
      </c>
      <c r="B39" s="11" t="s">
        <v>381</v>
      </c>
      <c r="C39" s="14"/>
      <c r="D39" s="14" t="s">
        <v>382</v>
      </c>
      <c r="E39" s="4" t="s">
        <v>383</v>
      </c>
      <c r="F39" s="2" t="s">
        <v>384</v>
      </c>
      <c r="G39" s="2" t="s">
        <v>385</v>
      </c>
      <c r="H39" s="2"/>
      <c r="I39" s="2" t="s">
        <v>34</v>
      </c>
      <c r="J39" s="2" t="s">
        <v>34</v>
      </c>
      <c r="K39" s="2" t="s">
        <v>34</v>
      </c>
      <c r="L39" s="2" t="s">
        <v>75</v>
      </c>
      <c r="M39" s="2" t="s">
        <v>59</v>
      </c>
      <c r="N39" s="2" t="s">
        <v>386</v>
      </c>
      <c r="O39" s="2" t="s">
        <v>387</v>
      </c>
      <c r="P39" s="2" t="s">
        <v>388</v>
      </c>
      <c r="Q39" s="2" t="s">
        <v>158</v>
      </c>
      <c r="R39" s="2" t="s">
        <v>245</v>
      </c>
      <c r="S39" s="6" t="s">
        <v>50</v>
      </c>
      <c r="T39" s="2">
        <v>29372990</v>
      </c>
      <c r="U39" s="2" t="s">
        <v>34</v>
      </c>
      <c r="V39" s="2" t="s">
        <v>34</v>
      </c>
      <c r="W39" s="2" t="str">
        <f t="shared" si="1"/>
        <v>Not regulated; any amount limit in internal packages</v>
      </c>
    </row>
    <row r="40" spans="1:23" ht="150">
      <c r="A40" s="10" t="s">
        <v>389</v>
      </c>
      <c r="B40" s="11" t="s">
        <v>390</v>
      </c>
      <c r="C40" s="14"/>
      <c r="D40" s="14" t="s">
        <v>391</v>
      </c>
      <c r="E40" s="4" t="s">
        <v>392</v>
      </c>
      <c r="F40" s="2" t="s">
        <v>393</v>
      </c>
      <c r="G40" s="2" t="s">
        <v>394</v>
      </c>
      <c r="H40" s="2"/>
      <c r="I40" s="2" t="s">
        <v>34</v>
      </c>
      <c r="J40" s="2" t="s">
        <v>34</v>
      </c>
      <c r="K40" s="2" t="s">
        <v>34</v>
      </c>
      <c r="L40" s="2" t="s">
        <v>75</v>
      </c>
      <c r="M40" s="2" t="s">
        <v>395</v>
      </c>
      <c r="N40" s="2" t="s">
        <v>396</v>
      </c>
      <c r="O40" s="22" t="s">
        <v>397</v>
      </c>
      <c r="P40" s="2" t="s">
        <v>398</v>
      </c>
      <c r="Q40" s="7" t="s">
        <v>399</v>
      </c>
      <c r="R40" s="2" t="s">
        <v>400</v>
      </c>
      <c r="S40" s="2" t="s">
        <v>37</v>
      </c>
      <c r="T40" s="2">
        <v>29372200</v>
      </c>
      <c r="U40" s="2" t="s">
        <v>34</v>
      </c>
      <c r="V40" s="2" t="s">
        <v>34</v>
      </c>
      <c r="W40" s="2" t="str">
        <f t="shared" si="1"/>
        <v>Not regulated; any amount limit in internal packages</v>
      </c>
    </row>
    <row r="41" spans="1:23" ht="120">
      <c r="A41" s="10" t="s">
        <v>401</v>
      </c>
      <c r="B41" s="11" t="s">
        <v>402</v>
      </c>
      <c r="C41" s="2"/>
      <c r="D41" s="2" t="s">
        <v>403</v>
      </c>
      <c r="E41" s="4" t="s">
        <v>404</v>
      </c>
      <c r="F41" s="7" t="s">
        <v>405</v>
      </c>
      <c r="G41" s="2" t="s">
        <v>406</v>
      </c>
      <c r="H41" s="2"/>
      <c r="I41" s="2" t="s">
        <v>34</v>
      </c>
      <c r="J41" s="2" t="s">
        <v>34</v>
      </c>
      <c r="K41" s="2" t="s">
        <v>34</v>
      </c>
      <c r="L41" s="2" t="s">
        <v>75</v>
      </c>
      <c r="M41" s="2" t="s">
        <v>407</v>
      </c>
      <c r="N41" s="2" t="s">
        <v>408</v>
      </c>
      <c r="O41" s="2" t="s">
        <v>33</v>
      </c>
      <c r="P41" s="2" t="s">
        <v>409</v>
      </c>
      <c r="Q41" s="2" t="s">
        <v>410</v>
      </c>
      <c r="R41" s="2" t="s">
        <v>351</v>
      </c>
      <c r="S41" s="2" t="s">
        <v>37</v>
      </c>
      <c r="T41" s="2">
        <v>29332990</v>
      </c>
      <c r="U41" s="2" t="s">
        <v>34</v>
      </c>
      <c r="V41" s="2" t="s">
        <v>34</v>
      </c>
      <c r="W41" s="2" t="str">
        <f t="shared" si="1"/>
        <v>Not regulated; any amount limit in internal packages</v>
      </c>
    </row>
    <row r="42" spans="1:23" ht="52.15" customHeight="1">
      <c r="A42" s="10" t="s">
        <v>411</v>
      </c>
      <c r="B42" s="11" t="s">
        <v>412</v>
      </c>
      <c r="C42" s="2"/>
      <c r="D42" s="2" t="s">
        <v>413</v>
      </c>
      <c r="E42" s="4" t="s">
        <v>414</v>
      </c>
      <c r="F42" s="2" t="s">
        <v>415</v>
      </c>
      <c r="G42" s="2" t="s">
        <v>44</v>
      </c>
      <c r="H42" s="2"/>
      <c r="I42" s="2">
        <v>3077</v>
      </c>
      <c r="J42" s="2">
        <v>9</v>
      </c>
      <c r="K42" s="2" t="s">
        <v>31</v>
      </c>
      <c r="L42" s="2" t="s">
        <v>416</v>
      </c>
      <c r="M42" s="2" t="s">
        <v>417</v>
      </c>
      <c r="N42" s="2" t="s">
        <v>418</v>
      </c>
      <c r="O42" s="2" t="s">
        <v>33</v>
      </c>
      <c r="P42" s="2" t="s">
        <v>129</v>
      </c>
      <c r="Q42" s="2" t="s">
        <v>410</v>
      </c>
      <c r="R42" s="2" t="s">
        <v>351</v>
      </c>
      <c r="S42" s="2" t="s">
        <v>37</v>
      </c>
      <c r="T42" s="2">
        <v>29214420</v>
      </c>
      <c r="U42" s="2" t="s">
        <v>419</v>
      </c>
      <c r="V42" s="2" t="s">
        <v>38</v>
      </c>
      <c r="W42" s="2">
        <f t="shared" si="1"/>
        <v>30</v>
      </c>
    </row>
    <row r="43" spans="1:23" ht="90">
      <c r="A43" s="2" t="s">
        <v>420</v>
      </c>
      <c r="B43" s="11" t="s">
        <v>421</v>
      </c>
      <c r="C43" s="13"/>
      <c r="D43" s="4" t="s">
        <v>422</v>
      </c>
      <c r="E43" s="2" t="s">
        <v>423</v>
      </c>
      <c r="F43" s="2" t="s">
        <v>424</v>
      </c>
      <c r="G43" s="5" t="s">
        <v>425</v>
      </c>
      <c r="H43" s="2"/>
      <c r="I43" s="2" t="s">
        <v>34</v>
      </c>
      <c r="J43" s="2" t="s">
        <v>34</v>
      </c>
      <c r="K43" s="2" t="s">
        <v>34</v>
      </c>
      <c r="L43" s="2" t="s">
        <v>75</v>
      </c>
      <c r="M43" s="2" t="s">
        <v>426</v>
      </c>
      <c r="N43" s="2" t="s">
        <v>427</v>
      </c>
      <c r="O43" s="2" t="s">
        <v>33</v>
      </c>
      <c r="P43" s="2" t="s">
        <v>428</v>
      </c>
      <c r="Q43" s="2" t="s">
        <v>429</v>
      </c>
      <c r="R43" s="2" t="s">
        <v>351</v>
      </c>
      <c r="S43" s="6" t="s">
        <v>50</v>
      </c>
      <c r="T43" s="2">
        <v>29225014</v>
      </c>
      <c r="U43" s="2" t="s">
        <v>34</v>
      </c>
      <c r="V43" s="2" t="s">
        <v>34</v>
      </c>
      <c r="W43" s="2" t="str">
        <f t="shared" si="1"/>
        <v>Not regulated; any amount limit in internal packages</v>
      </c>
    </row>
    <row r="44" spans="1:23" ht="120">
      <c r="A44" s="2" t="s">
        <v>430</v>
      </c>
      <c r="B44" s="11" t="s">
        <v>431</v>
      </c>
      <c r="C44" s="2" t="s">
        <v>432</v>
      </c>
      <c r="D44" s="4" t="s">
        <v>433</v>
      </c>
      <c r="E44" s="2" t="s">
        <v>434</v>
      </c>
      <c r="F44" s="2" t="s">
        <v>435</v>
      </c>
      <c r="G44" s="2" t="s">
        <v>436</v>
      </c>
      <c r="H44" s="2"/>
      <c r="I44" s="2">
        <v>3077</v>
      </c>
      <c r="J44" s="2">
        <v>9</v>
      </c>
      <c r="K44" s="2" t="s">
        <v>31</v>
      </c>
      <c r="L44" s="2" t="s">
        <v>437</v>
      </c>
      <c r="M44" s="2" t="s">
        <v>438</v>
      </c>
      <c r="N44" s="2" t="s">
        <v>439</v>
      </c>
      <c r="O44" s="22" t="s">
        <v>440</v>
      </c>
      <c r="P44" s="2" t="s">
        <v>441</v>
      </c>
      <c r="Q44" s="2" t="s">
        <v>158</v>
      </c>
      <c r="R44" s="2" t="s">
        <v>307</v>
      </c>
      <c r="S44" s="6" t="s">
        <v>50</v>
      </c>
      <c r="T44" s="2">
        <v>29339975</v>
      </c>
      <c r="U44" s="2" t="s">
        <v>34</v>
      </c>
      <c r="V44" s="2" t="s">
        <v>38</v>
      </c>
      <c r="W44" s="2">
        <f t="shared" si="1"/>
        <v>30</v>
      </c>
    </row>
    <row r="45" spans="1:23" ht="72.599999999999994" customHeight="1">
      <c r="A45" s="10" t="s">
        <v>442</v>
      </c>
      <c r="B45" s="11" t="s">
        <v>443</v>
      </c>
      <c r="C45" s="16"/>
      <c r="D45" s="23" t="s">
        <v>444</v>
      </c>
      <c r="E45" s="4" t="s">
        <v>445</v>
      </c>
      <c r="F45" s="2" t="s">
        <v>446</v>
      </c>
      <c r="G45" s="2" t="s">
        <v>447</v>
      </c>
      <c r="H45" s="2"/>
      <c r="I45" s="2">
        <v>1654</v>
      </c>
      <c r="J45" s="2" t="s">
        <v>30</v>
      </c>
      <c r="K45" s="2" t="s">
        <v>65</v>
      </c>
      <c r="L45" s="2" t="s">
        <v>442</v>
      </c>
      <c r="M45" s="2" t="s">
        <v>448</v>
      </c>
      <c r="N45" s="2" t="s">
        <v>449</v>
      </c>
      <c r="O45" s="2" t="s">
        <v>450</v>
      </c>
      <c r="P45" s="2" t="s">
        <v>451</v>
      </c>
      <c r="Q45" s="2" t="s">
        <v>452</v>
      </c>
      <c r="R45" s="2" t="s">
        <v>453</v>
      </c>
      <c r="S45" s="2" t="s">
        <v>37</v>
      </c>
      <c r="T45" s="2">
        <v>29399910</v>
      </c>
      <c r="U45" s="2" t="s">
        <v>419</v>
      </c>
      <c r="V45" s="2" t="s">
        <v>87</v>
      </c>
      <c r="W45" s="2">
        <f t="shared" si="1"/>
        <v>1</v>
      </c>
    </row>
    <row r="46" spans="1:23" ht="105">
      <c r="A46" s="10" t="s">
        <v>454</v>
      </c>
      <c r="B46" s="11" t="s">
        <v>455</v>
      </c>
      <c r="C46" s="14"/>
      <c r="D46" s="14" t="s">
        <v>456</v>
      </c>
      <c r="E46" s="4" t="s">
        <v>457</v>
      </c>
      <c r="F46" s="2" t="s">
        <v>458</v>
      </c>
      <c r="G46" s="24" t="s">
        <v>459</v>
      </c>
      <c r="H46" s="2"/>
      <c r="I46" s="2" t="s">
        <v>34</v>
      </c>
      <c r="J46" s="2" t="s">
        <v>34</v>
      </c>
      <c r="K46" s="2" t="s">
        <v>34</v>
      </c>
      <c r="L46" s="2" t="s">
        <v>75</v>
      </c>
      <c r="M46" s="2" t="s">
        <v>460</v>
      </c>
      <c r="N46" s="2" t="s">
        <v>461</v>
      </c>
      <c r="O46" s="2" t="s">
        <v>33</v>
      </c>
      <c r="P46" s="2" t="s">
        <v>388</v>
      </c>
      <c r="Q46" s="2" t="s">
        <v>158</v>
      </c>
      <c r="R46" s="2" t="s">
        <v>462</v>
      </c>
      <c r="S46" s="6" t="s">
        <v>50</v>
      </c>
      <c r="T46" s="2">
        <v>29159014</v>
      </c>
      <c r="U46" s="2" t="s">
        <v>34</v>
      </c>
      <c r="V46" s="2" t="s">
        <v>34</v>
      </c>
      <c r="W46" s="2" t="str">
        <f t="shared" si="1"/>
        <v>Not regulated; any amount limit in internal packages</v>
      </c>
    </row>
    <row r="47" spans="1:23" ht="86.45" customHeight="1">
      <c r="A47" s="2" t="s">
        <v>463</v>
      </c>
      <c r="B47" s="11" t="s">
        <v>464</v>
      </c>
      <c r="C47" s="2"/>
      <c r="D47" s="4" t="s">
        <v>465</v>
      </c>
      <c r="E47" s="2" t="s">
        <v>466</v>
      </c>
      <c r="F47" s="2" t="s">
        <v>92</v>
      </c>
      <c r="G47" s="2" t="s">
        <v>467</v>
      </c>
      <c r="H47" s="2"/>
      <c r="I47" s="2">
        <v>2811</v>
      </c>
      <c r="J47" s="2" t="s">
        <v>30</v>
      </c>
      <c r="K47" s="2" t="s">
        <v>31</v>
      </c>
      <c r="L47" s="2" t="s">
        <v>468</v>
      </c>
      <c r="M47" s="2" t="s">
        <v>469</v>
      </c>
      <c r="N47" s="2" t="s">
        <v>470</v>
      </c>
      <c r="O47" s="2" t="s">
        <v>471</v>
      </c>
      <c r="P47" s="2" t="s">
        <v>472</v>
      </c>
      <c r="Q47" s="2" t="s">
        <v>473</v>
      </c>
      <c r="R47" s="2" t="s">
        <v>474</v>
      </c>
      <c r="S47" s="6" t="s">
        <v>50</v>
      </c>
      <c r="T47" s="2">
        <v>29269070</v>
      </c>
      <c r="U47" s="2" t="s">
        <v>34</v>
      </c>
      <c r="V47" s="2" t="s">
        <v>38</v>
      </c>
      <c r="W47" s="2">
        <f t="shared" si="1"/>
        <v>30</v>
      </c>
    </row>
    <row r="48" spans="1:23" ht="90">
      <c r="A48" s="10" t="s">
        <v>475</v>
      </c>
      <c r="B48" s="11" t="s">
        <v>476</v>
      </c>
      <c r="C48" s="2"/>
      <c r="D48" s="2" t="s">
        <v>477</v>
      </c>
      <c r="E48" s="4" t="s">
        <v>478</v>
      </c>
      <c r="F48" s="2" t="s">
        <v>479</v>
      </c>
      <c r="G48" s="2" t="s">
        <v>480</v>
      </c>
      <c r="H48" s="2"/>
      <c r="I48" s="2">
        <v>2811</v>
      </c>
      <c r="J48" s="2" t="s">
        <v>30</v>
      </c>
      <c r="K48" s="2" t="s">
        <v>31</v>
      </c>
      <c r="L48" s="2" t="s">
        <v>481</v>
      </c>
      <c r="M48" s="2" t="s">
        <v>482</v>
      </c>
      <c r="N48" s="2" t="s">
        <v>483</v>
      </c>
      <c r="O48" s="22" t="s">
        <v>295</v>
      </c>
      <c r="P48" s="2" t="s">
        <v>472</v>
      </c>
      <c r="Q48" s="2" t="s">
        <v>158</v>
      </c>
      <c r="R48" s="2" t="s">
        <v>351</v>
      </c>
      <c r="S48" s="6" t="s">
        <v>50</v>
      </c>
      <c r="T48" s="2">
        <v>29420005</v>
      </c>
      <c r="U48" s="2" t="s">
        <v>34</v>
      </c>
      <c r="V48" s="2" t="s">
        <v>38</v>
      </c>
      <c r="W48" s="2">
        <f t="shared" si="1"/>
        <v>30</v>
      </c>
    </row>
    <row r="49" spans="1:23" ht="135">
      <c r="A49" s="10" t="s">
        <v>484</v>
      </c>
      <c r="B49" s="11" t="s">
        <v>485</v>
      </c>
      <c r="C49" s="2" t="s">
        <v>486</v>
      </c>
      <c r="D49" s="2" t="s">
        <v>487</v>
      </c>
      <c r="E49" s="4" t="s">
        <v>488</v>
      </c>
      <c r="F49" s="2" t="s">
        <v>489</v>
      </c>
      <c r="G49" s="2" t="s">
        <v>490</v>
      </c>
      <c r="H49" s="2"/>
      <c r="I49" s="2">
        <v>3077</v>
      </c>
      <c r="J49" s="2">
        <v>9</v>
      </c>
      <c r="K49" s="2" t="s">
        <v>31</v>
      </c>
      <c r="L49" s="2" t="s">
        <v>491</v>
      </c>
      <c r="M49" s="2" t="s">
        <v>492</v>
      </c>
      <c r="N49" s="2" t="s">
        <v>493</v>
      </c>
      <c r="O49" s="2" t="s">
        <v>33</v>
      </c>
      <c r="P49" s="2" t="s">
        <v>494</v>
      </c>
      <c r="Q49" s="2" t="s">
        <v>495</v>
      </c>
      <c r="R49" s="2" t="s">
        <v>307</v>
      </c>
      <c r="S49" s="2" t="s">
        <v>37</v>
      </c>
      <c r="T49" s="2">
        <v>29072300</v>
      </c>
      <c r="U49" s="2" t="s">
        <v>34</v>
      </c>
      <c r="V49" s="2" t="s">
        <v>38</v>
      </c>
      <c r="W49" s="2">
        <f t="shared" si="1"/>
        <v>30</v>
      </c>
    </row>
    <row r="50" spans="1:23" ht="60">
      <c r="A50" s="10" t="s">
        <v>496</v>
      </c>
      <c r="B50" s="11" t="s">
        <v>497</v>
      </c>
      <c r="C50" s="14"/>
      <c r="D50" s="14" t="s">
        <v>498</v>
      </c>
      <c r="E50" s="4" t="s">
        <v>499</v>
      </c>
      <c r="F50" s="2" t="s">
        <v>500</v>
      </c>
      <c r="G50" s="2" t="s">
        <v>501</v>
      </c>
      <c r="H50" s="2"/>
      <c r="I50" s="2" t="s">
        <v>34</v>
      </c>
      <c r="J50" s="2" t="s">
        <v>34</v>
      </c>
      <c r="K50" s="2" t="s">
        <v>34</v>
      </c>
      <c r="L50" s="2" t="s">
        <v>75</v>
      </c>
      <c r="M50" s="2" t="s">
        <v>502</v>
      </c>
      <c r="N50" s="2" t="s">
        <v>503</v>
      </c>
      <c r="O50" s="2" t="s">
        <v>33</v>
      </c>
      <c r="P50" s="2" t="s">
        <v>504</v>
      </c>
      <c r="Q50" s="2" t="s">
        <v>158</v>
      </c>
      <c r="R50" s="2" t="s">
        <v>245</v>
      </c>
      <c r="S50" s="6" t="s">
        <v>50</v>
      </c>
      <c r="T50" s="2">
        <v>29189905</v>
      </c>
      <c r="U50" s="2" t="s">
        <v>34</v>
      </c>
      <c r="V50" s="2" t="s">
        <v>34</v>
      </c>
      <c r="W50" s="2" t="str">
        <f t="shared" si="1"/>
        <v>Not regulated; any amount limit in internal packages</v>
      </c>
    </row>
    <row r="51" spans="1:23" ht="90">
      <c r="A51" s="10" t="s">
        <v>505</v>
      </c>
      <c r="B51" s="11" t="s">
        <v>506</v>
      </c>
      <c r="C51" s="2"/>
      <c r="D51" s="2" t="s">
        <v>507</v>
      </c>
      <c r="E51" s="4" t="s">
        <v>508</v>
      </c>
      <c r="F51" s="2" t="s">
        <v>509</v>
      </c>
      <c r="G51" s="2" t="s">
        <v>510</v>
      </c>
      <c r="H51" s="2"/>
      <c r="I51" s="2">
        <v>3077</v>
      </c>
      <c r="J51" s="2">
        <v>9</v>
      </c>
      <c r="K51" s="2" t="s">
        <v>31</v>
      </c>
      <c r="L51" s="2" t="s">
        <v>511</v>
      </c>
      <c r="M51" s="2" t="s">
        <v>512</v>
      </c>
      <c r="N51" s="2" t="s">
        <v>513</v>
      </c>
      <c r="O51" s="2" t="s">
        <v>33</v>
      </c>
      <c r="P51" s="2" t="s">
        <v>514</v>
      </c>
      <c r="Q51" s="2" t="s">
        <v>158</v>
      </c>
      <c r="R51" s="2" t="s">
        <v>351</v>
      </c>
      <c r="S51" s="2" t="s">
        <v>37</v>
      </c>
      <c r="T51" s="2">
        <v>29339975</v>
      </c>
      <c r="U51" s="2" t="s">
        <v>515</v>
      </c>
      <c r="V51" s="2" t="s">
        <v>38</v>
      </c>
      <c r="W51" s="2">
        <f t="shared" si="1"/>
        <v>30</v>
      </c>
    </row>
    <row r="52" spans="1:23" ht="105">
      <c r="A52" s="10" t="s">
        <v>516</v>
      </c>
      <c r="B52" s="11" t="s">
        <v>517</v>
      </c>
      <c r="C52" s="2" t="s">
        <v>518</v>
      </c>
      <c r="D52" s="2" t="s">
        <v>519</v>
      </c>
      <c r="E52" s="4" t="s">
        <v>520</v>
      </c>
      <c r="F52" s="7" t="s">
        <v>521</v>
      </c>
      <c r="G52" s="2" t="s">
        <v>522</v>
      </c>
      <c r="H52" s="2"/>
      <c r="I52" s="2">
        <v>2788</v>
      </c>
      <c r="J52" s="2" t="s">
        <v>30</v>
      </c>
      <c r="K52" s="2" t="s">
        <v>31</v>
      </c>
      <c r="L52" s="2" t="s">
        <v>523</v>
      </c>
      <c r="M52" s="2" t="s">
        <v>524</v>
      </c>
      <c r="N52" s="2" t="s">
        <v>525</v>
      </c>
      <c r="O52" s="2" t="s">
        <v>33</v>
      </c>
      <c r="P52" s="2" t="s">
        <v>526</v>
      </c>
      <c r="Q52" s="2" t="s">
        <v>284</v>
      </c>
      <c r="R52" s="2" t="s">
        <v>527</v>
      </c>
      <c r="S52" s="2" t="s">
        <v>37</v>
      </c>
      <c r="T52" s="2">
        <v>29312000</v>
      </c>
      <c r="U52" s="2" t="s">
        <v>528</v>
      </c>
      <c r="V52" s="2" t="s">
        <v>38</v>
      </c>
      <c r="W52" s="2">
        <f t="shared" si="1"/>
        <v>30</v>
      </c>
    </row>
    <row r="53" spans="1:23" ht="75">
      <c r="A53" s="10" t="s">
        <v>529</v>
      </c>
      <c r="B53" s="11" t="s">
        <v>530</v>
      </c>
      <c r="C53" s="2"/>
      <c r="D53" s="2" t="s">
        <v>531</v>
      </c>
      <c r="E53" s="4" t="s">
        <v>532</v>
      </c>
      <c r="F53" s="2" t="s">
        <v>92</v>
      </c>
      <c r="G53" s="2" t="s">
        <v>533</v>
      </c>
      <c r="H53" s="2"/>
      <c r="I53" s="2">
        <v>3077</v>
      </c>
      <c r="J53" s="2">
        <v>9</v>
      </c>
      <c r="K53" s="2" t="s">
        <v>31</v>
      </c>
      <c r="L53" s="2" t="s">
        <v>534</v>
      </c>
      <c r="M53" s="2" t="s">
        <v>535</v>
      </c>
      <c r="N53" s="2" t="s">
        <v>536</v>
      </c>
      <c r="O53" s="2" t="s">
        <v>537</v>
      </c>
      <c r="P53" s="2" t="s">
        <v>538</v>
      </c>
      <c r="Q53" s="2" t="s">
        <v>158</v>
      </c>
      <c r="R53" s="2" t="s">
        <v>307</v>
      </c>
      <c r="S53" s="6" t="s">
        <v>50</v>
      </c>
      <c r="T53" s="2">
        <v>29333991</v>
      </c>
      <c r="U53" s="2" t="s">
        <v>419</v>
      </c>
      <c r="V53" s="2" t="s">
        <v>38</v>
      </c>
      <c r="W53" s="2">
        <f t="shared" si="1"/>
        <v>30</v>
      </c>
    </row>
    <row r="54" spans="1:23" ht="109.9" customHeight="1">
      <c r="A54" s="10" t="s">
        <v>539</v>
      </c>
      <c r="B54" s="11" t="s">
        <v>540</v>
      </c>
      <c r="C54" s="2"/>
      <c r="D54" s="2" t="s">
        <v>541</v>
      </c>
      <c r="E54" s="4" t="s">
        <v>542</v>
      </c>
      <c r="F54" s="2" t="s">
        <v>543</v>
      </c>
      <c r="G54" s="2" t="s">
        <v>544</v>
      </c>
      <c r="H54" s="2"/>
      <c r="I54" s="2" t="s">
        <v>34</v>
      </c>
      <c r="J54" s="2" t="s">
        <v>34</v>
      </c>
      <c r="K54" s="2" t="s">
        <v>34</v>
      </c>
      <c r="L54" s="2" t="s">
        <v>75</v>
      </c>
      <c r="M54" s="2" t="s">
        <v>545</v>
      </c>
      <c r="N54" s="2" t="s">
        <v>546</v>
      </c>
      <c r="O54" s="2" t="s">
        <v>547</v>
      </c>
      <c r="P54" s="21" t="s">
        <v>548</v>
      </c>
      <c r="Q54" s="22" t="s">
        <v>549</v>
      </c>
      <c r="R54" s="22" t="s">
        <v>550</v>
      </c>
      <c r="S54" s="2" t="s">
        <v>37</v>
      </c>
      <c r="T54" s="2">
        <v>29094300</v>
      </c>
      <c r="U54" s="2" t="s">
        <v>34</v>
      </c>
      <c r="V54" s="2" t="s">
        <v>34</v>
      </c>
      <c r="W54" s="2" t="str">
        <f t="shared" si="1"/>
        <v>Not regulated; any amount limit in internal packages</v>
      </c>
    </row>
    <row r="55" spans="1:23" ht="135">
      <c r="A55" s="27" t="s">
        <v>551</v>
      </c>
      <c r="B55" s="117" t="s">
        <v>552</v>
      </c>
      <c r="C55" s="26" t="s">
        <v>553</v>
      </c>
      <c r="D55" s="26" t="s">
        <v>554</v>
      </c>
      <c r="E55" s="28" t="s">
        <v>555</v>
      </c>
      <c r="F55" s="21" t="s">
        <v>556</v>
      </c>
      <c r="G55" s="21" t="s">
        <v>557</v>
      </c>
      <c r="H55" s="21"/>
      <c r="I55" s="21">
        <v>1320</v>
      </c>
      <c r="J55" s="21" t="s">
        <v>558</v>
      </c>
      <c r="K55" s="21" t="s">
        <v>45</v>
      </c>
      <c r="L55" s="21" t="s">
        <v>559</v>
      </c>
      <c r="M55" s="21" t="s">
        <v>560</v>
      </c>
      <c r="N55" s="21" t="s">
        <v>561</v>
      </c>
      <c r="O55" s="21" t="s">
        <v>562</v>
      </c>
      <c r="P55" s="21" t="s">
        <v>563</v>
      </c>
      <c r="Q55" s="24" t="s">
        <v>564</v>
      </c>
      <c r="R55" s="21" t="s">
        <v>565</v>
      </c>
      <c r="S55" s="21" t="s">
        <v>37</v>
      </c>
      <c r="T55" s="21">
        <v>29089990</v>
      </c>
      <c r="U55" s="21" t="s">
        <v>34</v>
      </c>
      <c r="V55" s="21" t="s">
        <v>566</v>
      </c>
      <c r="W55" s="21">
        <f>IF(V55="E0",0,IF(V55="E1",30,IF(V55="E2",30,IF(V55="E3",30,IF(V55="E4",1,IF(V55="E5",1, "Not regulated; any amount limit in internal packages"))))))</f>
        <v>0</v>
      </c>
    </row>
    <row r="56" spans="1:23" ht="150">
      <c r="A56" s="10" t="s">
        <v>567</v>
      </c>
      <c r="B56" s="11" t="s">
        <v>568</v>
      </c>
      <c r="C56" s="2"/>
      <c r="D56" s="2" t="s">
        <v>569</v>
      </c>
      <c r="E56" s="4" t="s">
        <v>570</v>
      </c>
      <c r="F56" s="2" t="s">
        <v>571</v>
      </c>
      <c r="G56" s="8" t="s">
        <v>572</v>
      </c>
      <c r="H56" s="2"/>
      <c r="I56" s="2">
        <v>3288</v>
      </c>
      <c r="J56" s="2" t="s">
        <v>30</v>
      </c>
      <c r="K56" s="2" t="s">
        <v>65</v>
      </c>
      <c r="L56" s="2" t="s">
        <v>573</v>
      </c>
      <c r="M56" s="2" t="s">
        <v>574</v>
      </c>
      <c r="N56" s="2" t="s">
        <v>575</v>
      </c>
      <c r="O56" s="2" t="s">
        <v>33</v>
      </c>
      <c r="P56" s="2" t="s">
        <v>576</v>
      </c>
      <c r="Q56" s="2" t="s">
        <v>284</v>
      </c>
      <c r="R56" s="2" t="s">
        <v>307</v>
      </c>
      <c r="S56" s="2" t="s">
        <v>37</v>
      </c>
      <c r="T56" s="2">
        <v>28439090</v>
      </c>
      <c r="U56" s="2" t="s">
        <v>34</v>
      </c>
      <c r="V56" s="2" t="s">
        <v>87</v>
      </c>
      <c r="W56" s="2">
        <f t="shared" si="1"/>
        <v>1</v>
      </c>
    </row>
    <row r="57" spans="1:23" ht="105">
      <c r="A57" s="10" t="s">
        <v>577</v>
      </c>
      <c r="B57" s="11" t="s">
        <v>578</v>
      </c>
      <c r="C57" s="2"/>
      <c r="D57" s="2" t="s">
        <v>579</v>
      </c>
      <c r="E57" s="4" t="s">
        <v>580</v>
      </c>
      <c r="F57" s="2" t="s">
        <v>581</v>
      </c>
      <c r="G57" s="2" t="s">
        <v>582</v>
      </c>
      <c r="H57" s="2"/>
      <c r="I57" s="2">
        <v>2811</v>
      </c>
      <c r="J57" s="2" t="s">
        <v>30</v>
      </c>
      <c r="K57" s="2" t="s">
        <v>31</v>
      </c>
      <c r="L57" s="2" t="s">
        <v>583</v>
      </c>
      <c r="M57" s="2" t="s">
        <v>59</v>
      </c>
      <c r="N57" s="2" t="s">
        <v>59</v>
      </c>
      <c r="O57" s="22" t="s">
        <v>584</v>
      </c>
      <c r="P57" s="2" t="s">
        <v>585</v>
      </c>
      <c r="Q57" s="2" t="s">
        <v>473</v>
      </c>
      <c r="R57" s="2" t="s">
        <v>351</v>
      </c>
      <c r="S57" s="6" t="s">
        <v>50</v>
      </c>
      <c r="T57" s="2">
        <v>29339975</v>
      </c>
      <c r="U57" s="2" t="s">
        <v>34</v>
      </c>
      <c r="V57" s="2" t="s">
        <v>38</v>
      </c>
      <c r="W57" s="2">
        <f t="shared" si="1"/>
        <v>30</v>
      </c>
    </row>
    <row r="58" spans="1:23" ht="60">
      <c r="A58" s="10" t="s">
        <v>586</v>
      </c>
      <c r="B58" s="11" t="s">
        <v>587</v>
      </c>
      <c r="C58" s="2" t="s">
        <v>588</v>
      </c>
      <c r="D58" s="2" t="s">
        <v>589</v>
      </c>
      <c r="E58" s="4" t="s">
        <v>590</v>
      </c>
      <c r="F58" s="2" t="s">
        <v>591</v>
      </c>
      <c r="G58" s="2" t="s">
        <v>592</v>
      </c>
      <c r="H58" s="2"/>
      <c r="I58" s="2">
        <v>2811</v>
      </c>
      <c r="J58" s="2" t="s">
        <v>30</v>
      </c>
      <c r="K58" s="2" t="s">
        <v>31</v>
      </c>
      <c r="L58" s="2" t="s">
        <v>593</v>
      </c>
      <c r="M58" s="2" t="s">
        <v>59</v>
      </c>
      <c r="N58" s="2" t="s">
        <v>59</v>
      </c>
      <c r="O58" s="22" t="s">
        <v>327</v>
      </c>
      <c r="P58" s="2" t="s">
        <v>563</v>
      </c>
      <c r="Q58" s="2" t="s">
        <v>594</v>
      </c>
      <c r="R58" s="2" t="s">
        <v>307</v>
      </c>
      <c r="S58" s="6" t="s">
        <v>50</v>
      </c>
      <c r="T58" s="2">
        <v>29270050</v>
      </c>
      <c r="U58" s="2" t="s">
        <v>34</v>
      </c>
      <c r="V58" s="2" t="s">
        <v>38</v>
      </c>
      <c r="W58" s="2">
        <f t="shared" si="1"/>
        <v>30</v>
      </c>
    </row>
    <row r="59" spans="1:23" ht="45">
      <c r="A59" s="10" t="s">
        <v>595</v>
      </c>
      <c r="B59" s="11" t="s">
        <v>596</v>
      </c>
      <c r="C59" s="14"/>
      <c r="D59" s="14" t="s">
        <v>597</v>
      </c>
      <c r="E59" s="4" t="s">
        <v>598</v>
      </c>
      <c r="F59" s="2" t="s">
        <v>599</v>
      </c>
      <c r="G59" s="2" t="s">
        <v>600</v>
      </c>
      <c r="H59" s="2" t="s">
        <v>34</v>
      </c>
      <c r="I59" s="2" t="s">
        <v>34</v>
      </c>
      <c r="J59" s="2" t="s">
        <v>34</v>
      </c>
      <c r="K59" s="2" t="s">
        <v>34</v>
      </c>
      <c r="L59" s="2" t="s">
        <v>75</v>
      </c>
      <c r="M59" s="2" t="s">
        <v>59</v>
      </c>
      <c r="N59" s="2" t="s">
        <v>59</v>
      </c>
      <c r="O59" s="22" t="s">
        <v>327</v>
      </c>
      <c r="P59" s="2" t="s">
        <v>601</v>
      </c>
      <c r="Q59" s="2" t="s">
        <v>284</v>
      </c>
      <c r="R59" s="2" t="s">
        <v>256</v>
      </c>
      <c r="S59" s="6" t="s">
        <v>50</v>
      </c>
      <c r="T59" s="2">
        <v>29349990</v>
      </c>
      <c r="U59" s="2" t="s">
        <v>34</v>
      </c>
      <c r="V59" s="2" t="s">
        <v>34</v>
      </c>
      <c r="W59" s="2" t="str">
        <f t="shared" si="1"/>
        <v>Not regulated; any amount limit in internal packages</v>
      </c>
    </row>
    <row r="60" spans="1:23" ht="75">
      <c r="A60" s="10" t="s">
        <v>602</v>
      </c>
      <c r="B60" s="11" t="s">
        <v>603</v>
      </c>
      <c r="C60" s="15"/>
      <c r="D60" s="15" t="s">
        <v>604</v>
      </c>
      <c r="E60" s="4" t="s">
        <v>605</v>
      </c>
      <c r="F60" s="2" t="s">
        <v>479</v>
      </c>
      <c r="G60" s="2" t="s">
        <v>599</v>
      </c>
      <c r="H60" s="2"/>
      <c r="I60" s="2">
        <v>3462</v>
      </c>
      <c r="J60" s="2" t="s">
        <v>30</v>
      </c>
      <c r="K60" s="2" t="s">
        <v>31</v>
      </c>
      <c r="L60" s="2" t="s">
        <v>606</v>
      </c>
      <c r="M60" s="2" t="s">
        <v>607</v>
      </c>
      <c r="N60" s="2" t="s">
        <v>608</v>
      </c>
      <c r="O60" s="22" t="s">
        <v>609</v>
      </c>
      <c r="P60" s="2" t="s">
        <v>610</v>
      </c>
      <c r="Q60" s="2" t="s">
        <v>284</v>
      </c>
      <c r="R60" s="2" t="s">
        <v>351</v>
      </c>
      <c r="S60" s="6" t="s">
        <v>50</v>
      </c>
      <c r="T60" s="2">
        <v>29321900</v>
      </c>
      <c r="U60" s="2" t="s">
        <v>34</v>
      </c>
      <c r="V60" s="2" t="s">
        <v>38</v>
      </c>
      <c r="W60" s="2">
        <f t="shared" si="1"/>
        <v>30</v>
      </c>
    </row>
    <row r="61" spans="1:23" ht="105">
      <c r="A61" s="10" t="s">
        <v>611</v>
      </c>
      <c r="B61" s="11" t="s">
        <v>612</v>
      </c>
      <c r="C61" s="2"/>
      <c r="D61" s="2" t="s">
        <v>613</v>
      </c>
      <c r="E61" s="4" t="s">
        <v>614</v>
      </c>
      <c r="F61" s="2" t="s">
        <v>615</v>
      </c>
      <c r="G61" s="2" t="s">
        <v>616</v>
      </c>
      <c r="H61" s="2"/>
      <c r="I61" s="2">
        <v>2811</v>
      </c>
      <c r="J61" s="2" t="s">
        <v>30</v>
      </c>
      <c r="K61" s="2" t="s">
        <v>65</v>
      </c>
      <c r="L61" s="2" t="s">
        <v>617</v>
      </c>
      <c r="M61" s="2" t="s">
        <v>618</v>
      </c>
      <c r="N61" s="2" t="s">
        <v>59</v>
      </c>
      <c r="O61" s="22" t="s">
        <v>440</v>
      </c>
      <c r="P61" s="2" t="s">
        <v>129</v>
      </c>
      <c r="Q61" s="2" t="s">
        <v>619</v>
      </c>
      <c r="R61" s="21" t="s">
        <v>620</v>
      </c>
      <c r="S61" s="6" t="s">
        <v>50</v>
      </c>
      <c r="T61" s="2">
        <v>29397900</v>
      </c>
      <c r="U61" s="2" t="s">
        <v>34</v>
      </c>
      <c r="V61" s="2" t="s">
        <v>87</v>
      </c>
      <c r="W61" s="2">
        <f t="shared" si="1"/>
        <v>1</v>
      </c>
    </row>
    <row r="62" spans="1:23" ht="75">
      <c r="A62" s="10" t="s">
        <v>621</v>
      </c>
      <c r="B62" s="11" t="s">
        <v>622</v>
      </c>
      <c r="C62" s="2"/>
      <c r="D62" s="2" t="s">
        <v>623</v>
      </c>
      <c r="E62" s="4" t="s">
        <v>624</v>
      </c>
      <c r="F62" s="2" t="s">
        <v>625</v>
      </c>
      <c r="G62" s="2" t="s">
        <v>626</v>
      </c>
      <c r="H62" s="2"/>
      <c r="I62" s="2">
        <v>3077</v>
      </c>
      <c r="J62" s="2">
        <v>9</v>
      </c>
      <c r="K62" s="2" t="s">
        <v>31</v>
      </c>
      <c r="L62" s="2" t="s">
        <v>627</v>
      </c>
      <c r="M62" s="2" t="s">
        <v>628</v>
      </c>
      <c r="N62" s="2" t="s">
        <v>629</v>
      </c>
      <c r="O62" s="2" t="s">
        <v>33</v>
      </c>
      <c r="P62" s="2" t="s">
        <v>630</v>
      </c>
      <c r="Q62" s="2" t="s">
        <v>158</v>
      </c>
      <c r="R62" s="2" t="s">
        <v>631</v>
      </c>
      <c r="S62" s="6" t="s">
        <v>50</v>
      </c>
      <c r="T62" s="2">
        <v>38089125</v>
      </c>
      <c r="U62" s="2" t="s">
        <v>34</v>
      </c>
      <c r="V62" s="2" t="s">
        <v>38</v>
      </c>
      <c r="W62" s="2">
        <f t="shared" si="1"/>
        <v>30</v>
      </c>
    </row>
    <row r="63" spans="1:23" ht="60">
      <c r="A63" s="9" t="s">
        <v>632</v>
      </c>
      <c r="B63" s="11" t="s">
        <v>633</v>
      </c>
      <c r="C63" s="14"/>
      <c r="D63" s="14" t="s">
        <v>634</v>
      </c>
      <c r="E63" s="4" t="s">
        <v>635</v>
      </c>
      <c r="F63" s="2" t="s">
        <v>636</v>
      </c>
      <c r="G63" s="2" t="s">
        <v>637</v>
      </c>
      <c r="H63" s="2"/>
      <c r="I63" s="2" t="s">
        <v>34</v>
      </c>
      <c r="J63" s="2" t="s">
        <v>34</v>
      </c>
      <c r="K63" s="2" t="s">
        <v>34</v>
      </c>
      <c r="L63" s="2" t="s">
        <v>75</v>
      </c>
      <c r="M63" s="2" t="s">
        <v>59</v>
      </c>
      <c r="N63" s="2" t="s">
        <v>59</v>
      </c>
      <c r="O63" s="22" t="s">
        <v>327</v>
      </c>
      <c r="P63" s="2" t="s">
        <v>129</v>
      </c>
      <c r="Q63" s="2" t="s">
        <v>235</v>
      </c>
      <c r="R63" s="2" t="s">
        <v>307</v>
      </c>
      <c r="S63" s="6" t="s">
        <v>50</v>
      </c>
      <c r="T63" s="2">
        <v>29225040</v>
      </c>
      <c r="U63" s="2" t="s">
        <v>34</v>
      </c>
      <c r="V63" s="2" t="s">
        <v>34</v>
      </c>
      <c r="W63" s="2" t="str">
        <f t="shared" si="1"/>
        <v>Not regulated; any amount limit in internal packages</v>
      </c>
    </row>
    <row r="64" spans="1:23" ht="93.6" customHeight="1">
      <c r="A64" s="10" t="s">
        <v>638</v>
      </c>
      <c r="B64" s="11" t="s">
        <v>639</v>
      </c>
      <c r="C64" s="2"/>
      <c r="D64" s="2" t="s">
        <v>640</v>
      </c>
      <c r="E64" s="4" t="s">
        <v>641</v>
      </c>
      <c r="F64" s="7" t="s">
        <v>154</v>
      </c>
      <c r="G64" s="2" t="s">
        <v>642</v>
      </c>
      <c r="H64" s="2"/>
      <c r="I64" s="2">
        <v>3082</v>
      </c>
      <c r="J64" s="2">
        <v>9</v>
      </c>
      <c r="K64" s="2" t="s">
        <v>31</v>
      </c>
      <c r="L64" s="2" t="s">
        <v>643</v>
      </c>
      <c r="M64" s="2" t="s">
        <v>644</v>
      </c>
      <c r="N64" s="2" t="s">
        <v>645</v>
      </c>
      <c r="O64" s="22" t="s">
        <v>295</v>
      </c>
      <c r="P64" s="2" t="s">
        <v>129</v>
      </c>
      <c r="Q64" s="2" t="s">
        <v>158</v>
      </c>
      <c r="R64" s="2" t="s">
        <v>527</v>
      </c>
      <c r="S64" s="6" t="s">
        <v>50</v>
      </c>
      <c r="T64" s="2">
        <v>29339997</v>
      </c>
      <c r="U64" s="2" t="s">
        <v>34</v>
      </c>
      <c r="V64" s="2" t="s">
        <v>38</v>
      </c>
      <c r="W64" s="2">
        <f t="shared" si="1"/>
        <v>30</v>
      </c>
    </row>
    <row r="65" spans="1:23" ht="75">
      <c r="A65" s="10" t="s">
        <v>646</v>
      </c>
      <c r="B65" s="11" t="s">
        <v>647</v>
      </c>
      <c r="C65" s="14"/>
      <c r="D65" s="14" t="s">
        <v>648</v>
      </c>
      <c r="E65" s="4" t="s">
        <v>649</v>
      </c>
      <c r="F65" s="2" t="s">
        <v>650</v>
      </c>
      <c r="G65" s="7" t="s">
        <v>651</v>
      </c>
      <c r="H65" s="2" t="s">
        <v>34</v>
      </c>
      <c r="I65" s="2" t="s">
        <v>34</v>
      </c>
      <c r="J65" s="2" t="s">
        <v>34</v>
      </c>
      <c r="K65" s="2" t="s">
        <v>34</v>
      </c>
      <c r="L65" s="2" t="s">
        <v>75</v>
      </c>
      <c r="M65" s="2" t="s">
        <v>652</v>
      </c>
      <c r="N65" s="2" t="s">
        <v>59</v>
      </c>
      <c r="O65" s="25" t="s">
        <v>653</v>
      </c>
      <c r="P65" s="2" t="s">
        <v>654</v>
      </c>
      <c r="Q65" s="2" t="s">
        <v>655</v>
      </c>
      <c r="R65" s="2" t="s">
        <v>656</v>
      </c>
      <c r="S65" s="6" t="s">
        <v>50</v>
      </c>
      <c r="T65" s="2">
        <v>29341020</v>
      </c>
      <c r="U65" s="2" t="s">
        <v>34</v>
      </c>
      <c r="V65" s="2" t="s">
        <v>34</v>
      </c>
      <c r="W65" s="2" t="str">
        <f t="shared" si="1"/>
        <v>Not regulated; any amount limit in internal packages</v>
      </c>
    </row>
    <row r="66" spans="1:23" ht="51.6" customHeight="1">
      <c r="A66" s="65" t="s">
        <v>657</v>
      </c>
      <c r="B66" s="11"/>
      <c r="C66" s="2"/>
      <c r="D66" s="2"/>
      <c r="E66" s="4"/>
      <c r="F66" s="2"/>
      <c r="G66" s="2"/>
      <c r="H66" s="2"/>
      <c r="I66" s="2"/>
      <c r="J66" s="2"/>
      <c r="K66" s="2"/>
      <c r="L66" s="2"/>
      <c r="M66" s="2"/>
      <c r="N66" s="2"/>
      <c r="O66" s="2"/>
      <c r="P66" s="2"/>
      <c r="Q66" s="2"/>
      <c r="R66" s="2"/>
      <c r="S66" s="2"/>
      <c r="T66" s="2"/>
      <c r="U66" s="2"/>
      <c r="V66" s="2"/>
      <c r="W66" s="2" t="str">
        <f>IF(V66="E0",0,IF(V66="E1",30,IF(V66="E2",30,IF(V66="E3",30,IF(V66="E4",1,IF(V66="E5",1, "Not regulated; any amount limit in internal packages"))))))</f>
        <v>Not regulated; any amount limit in internal packages</v>
      </c>
    </row>
    <row r="67" spans="1:23" ht="75">
      <c r="A67" s="10" t="s">
        <v>658</v>
      </c>
      <c r="B67" s="10"/>
      <c r="C67" s="2"/>
      <c r="D67" s="2" t="s">
        <v>659</v>
      </c>
      <c r="E67" s="4" t="s">
        <v>660</v>
      </c>
      <c r="F67" s="2" t="s">
        <v>661</v>
      </c>
      <c r="G67" s="5" t="s">
        <v>662</v>
      </c>
      <c r="H67" s="2"/>
      <c r="I67" s="2">
        <v>3077</v>
      </c>
      <c r="J67" s="2">
        <v>9</v>
      </c>
      <c r="K67" s="2" t="s">
        <v>31</v>
      </c>
      <c r="L67" s="2" t="s">
        <v>663</v>
      </c>
      <c r="M67" s="2" t="s">
        <v>59</v>
      </c>
      <c r="N67" s="2" t="s">
        <v>664</v>
      </c>
      <c r="O67" s="2" t="s">
        <v>33</v>
      </c>
      <c r="P67" s="2"/>
      <c r="Q67" s="2"/>
      <c r="R67" s="2"/>
      <c r="S67" s="2" t="s">
        <v>37</v>
      </c>
      <c r="T67" s="2">
        <v>29029090</v>
      </c>
      <c r="U67" s="2" t="s">
        <v>34</v>
      </c>
      <c r="V67" s="2" t="s">
        <v>38</v>
      </c>
      <c r="W67" s="2">
        <f>IF(V67="E0",0,IF(V67="E1",30,IF(V67="E2",30,IF(V67="E3",30,IF(V67="E4",1,IF(V67="E5",1, "Not regulated; any amount limit in internal packages"))))))</f>
        <v>30</v>
      </c>
    </row>
    <row r="68" spans="1:23" ht="45">
      <c r="A68" s="10" t="s">
        <v>665</v>
      </c>
      <c r="B68" s="10"/>
      <c r="C68" s="2"/>
      <c r="D68" s="2" t="s">
        <v>666</v>
      </c>
      <c r="E68" s="4" t="s">
        <v>667</v>
      </c>
      <c r="F68" s="2" t="s">
        <v>668</v>
      </c>
      <c r="G68" s="2" t="s">
        <v>479</v>
      </c>
      <c r="H68" s="2" t="s">
        <v>34</v>
      </c>
      <c r="I68" s="2"/>
      <c r="J68" s="2"/>
      <c r="K68" s="2"/>
      <c r="L68" s="2"/>
      <c r="M68" s="2" t="s">
        <v>59</v>
      </c>
      <c r="N68" s="2" t="s">
        <v>59</v>
      </c>
      <c r="O68" s="22" t="s">
        <v>327</v>
      </c>
      <c r="P68" s="2"/>
      <c r="Q68" s="2"/>
      <c r="R68" s="2"/>
      <c r="S68" s="2"/>
      <c r="T68" s="2"/>
      <c r="U68" s="2"/>
      <c r="V68" s="2"/>
      <c r="W68" s="2" t="str">
        <f t="shared" ref="W68:W80" si="2">IF(V68="E0",0,IF(V68="E1",30,IF(V68="E2",30,IF(V68="E3",30,IF(V68="E4",1,IF(V68="E5",1, "Not regulated; any amount limit in internal packages"))))))</f>
        <v>Not regulated; any amount limit in internal packages</v>
      </c>
    </row>
    <row r="69" spans="1:23" ht="135">
      <c r="A69" s="10" t="s">
        <v>669</v>
      </c>
      <c r="B69" s="118"/>
      <c r="C69" s="13"/>
      <c r="D69" s="13" t="s">
        <v>670</v>
      </c>
      <c r="E69" s="4" t="s">
        <v>671</v>
      </c>
      <c r="F69" s="2" t="s">
        <v>672</v>
      </c>
      <c r="G69" s="2" t="s">
        <v>673</v>
      </c>
      <c r="H69" s="2"/>
      <c r="I69" s="2">
        <v>2811</v>
      </c>
      <c r="J69" s="2" t="s">
        <v>30</v>
      </c>
      <c r="K69" s="2" t="s">
        <v>31</v>
      </c>
      <c r="L69" s="2" t="s">
        <v>674</v>
      </c>
      <c r="M69" s="2" t="s">
        <v>59</v>
      </c>
      <c r="N69" s="2" t="s">
        <v>59</v>
      </c>
      <c r="O69" s="22" t="s">
        <v>295</v>
      </c>
      <c r="P69" s="2"/>
      <c r="Q69" s="2"/>
      <c r="R69" s="2"/>
      <c r="S69" s="6" t="s">
        <v>50</v>
      </c>
      <c r="T69" s="2">
        <v>3001200010</v>
      </c>
      <c r="U69" s="2" t="s">
        <v>34</v>
      </c>
      <c r="V69" s="2" t="s">
        <v>38</v>
      </c>
      <c r="W69" s="2">
        <f t="shared" si="2"/>
        <v>30</v>
      </c>
    </row>
    <row r="70" spans="1:23" ht="50.45" customHeight="1">
      <c r="A70" s="10" t="s">
        <v>675</v>
      </c>
      <c r="B70" s="10"/>
      <c r="C70" s="2"/>
      <c r="D70" s="2" t="s">
        <v>676</v>
      </c>
      <c r="E70" s="4" t="s">
        <v>677</v>
      </c>
      <c r="F70" s="7" t="s">
        <v>678</v>
      </c>
      <c r="G70" s="2" t="s">
        <v>679</v>
      </c>
      <c r="H70" s="2"/>
      <c r="I70" s="2">
        <v>2811</v>
      </c>
      <c r="J70" s="2" t="s">
        <v>30</v>
      </c>
      <c r="K70" s="2" t="s">
        <v>65</v>
      </c>
      <c r="L70" s="2" t="s">
        <v>680</v>
      </c>
      <c r="M70" s="2" t="s">
        <v>681</v>
      </c>
      <c r="N70" s="2" t="s">
        <v>682</v>
      </c>
      <c r="O70" s="2" t="s">
        <v>33</v>
      </c>
      <c r="P70" s="2"/>
      <c r="Q70" s="2"/>
      <c r="R70" s="2"/>
      <c r="S70" s="6" t="s">
        <v>50</v>
      </c>
      <c r="T70" s="2" t="s">
        <v>683</v>
      </c>
      <c r="U70" s="2" t="s">
        <v>684</v>
      </c>
      <c r="V70" s="2" t="s">
        <v>87</v>
      </c>
      <c r="W70" s="2">
        <f t="shared" si="2"/>
        <v>1</v>
      </c>
    </row>
    <row r="71" spans="1:23" ht="120">
      <c r="A71" s="10" t="s">
        <v>685</v>
      </c>
      <c r="B71" s="10"/>
      <c r="C71" s="2"/>
      <c r="D71" s="2" t="s">
        <v>686</v>
      </c>
      <c r="E71" s="4" t="s">
        <v>687</v>
      </c>
      <c r="F71" s="2" t="s">
        <v>59</v>
      </c>
      <c r="G71" s="2" t="s">
        <v>688</v>
      </c>
      <c r="H71" s="2"/>
      <c r="I71" s="2">
        <v>3082</v>
      </c>
      <c r="J71" s="2">
        <v>9</v>
      </c>
      <c r="K71" s="2" t="s">
        <v>31</v>
      </c>
      <c r="L71" s="2" t="s">
        <v>689</v>
      </c>
      <c r="M71" s="2" t="s">
        <v>690</v>
      </c>
      <c r="N71" s="2" t="s">
        <v>691</v>
      </c>
      <c r="O71" s="2" t="s">
        <v>33</v>
      </c>
      <c r="P71" s="2"/>
      <c r="Q71" s="2"/>
      <c r="R71" s="2"/>
      <c r="S71" s="6" t="s">
        <v>50</v>
      </c>
      <c r="T71" s="2">
        <v>29333990</v>
      </c>
      <c r="U71" s="2" t="s">
        <v>34</v>
      </c>
      <c r="V71" s="2" t="s">
        <v>38</v>
      </c>
      <c r="W71" s="2">
        <f t="shared" si="2"/>
        <v>30</v>
      </c>
    </row>
    <row r="72" spans="1:23" ht="75">
      <c r="A72" s="10" t="s">
        <v>692</v>
      </c>
      <c r="B72" s="10"/>
      <c r="C72" s="2"/>
      <c r="D72" s="2" t="s">
        <v>693</v>
      </c>
      <c r="E72" s="4" t="s">
        <v>694</v>
      </c>
      <c r="F72" s="2" t="s">
        <v>695</v>
      </c>
      <c r="G72" s="2" t="s">
        <v>696</v>
      </c>
      <c r="H72" s="2"/>
      <c r="I72" s="2">
        <v>3077</v>
      </c>
      <c r="J72" s="2">
        <v>9</v>
      </c>
      <c r="K72" s="2" t="s">
        <v>31</v>
      </c>
      <c r="L72" s="2" t="s">
        <v>697</v>
      </c>
      <c r="M72" s="2" t="s">
        <v>698</v>
      </c>
      <c r="N72" s="2" t="s">
        <v>699</v>
      </c>
      <c r="O72" s="2" t="s">
        <v>33</v>
      </c>
      <c r="P72" s="2"/>
      <c r="Q72" s="2"/>
      <c r="R72" s="2"/>
      <c r="S72" s="6" t="s">
        <v>50</v>
      </c>
      <c r="T72" s="2">
        <v>2933399090</v>
      </c>
      <c r="U72" s="2" t="s">
        <v>34</v>
      </c>
      <c r="V72" s="2" t="s">
        <v>38</v>
      </c>
      <c r="W72" s="2">
        <f t="shared" si="2"/>
        <v>30</v>
      </c>
    </row>
    <row r="73" spans="1:23" ht="105">
      <c r="A73" s="10" t="s">
        <v>700</v>
      </c>
      <c r="B73" s="10"/>
      <c r="C73" s="2"/>
      <c r="D73" s="2" t="s">
        <v>701</v>
      </c>
      <c r="E73" s="4" t="s">
        <v>702</v>
      </c>
      <c r="F73" s="2" t="s">
        <v>703</v>
      </c>
      <c r="G73" s="2" t="s">
        <v>704</v>
      </c>
      <c r="H73" s="2"/>
      <c r="I73" s="2" t="s">
        <v>34</v>
      </c>
      <c r="J73" s="2" t="s">
        <v>34</v>
      </c>
      <c r="K73" s="2" t="s">
        <v>34</v>
      </c>
      <c r="L73" s="2" t="s">
        <v>75</v>
      </c>
      <c r="M73" s="2" t="s">
        <v>705</v>
      </c>
      <c r="N73" s="2" t="s">
        <v>706</v>
      </c>
      <c r="O73" s="2" t="s">
        <v>33</v>
      </c>
      <c r="P73" s="2"/>
      <c r="Q73" s="2"/>
      <c r="R73" s="2"/>
      <c r="S73" s="2" t="s">
        <v>37</v>
      </c>
      <c r="T73" s="2">
        <v>2919900090</v>
      </c>
      <c r="U73" s="2" t="s">
        <v>34</v>
      </c>
      <c r="V73" s="2" t="s">
        <v>34</v>
      </c>
      <c r="W73" s="2" t="str">
        <f t="shared" si="2"/>
        <v>Not regulated; any amount limit in internal packages</v>
      </c>
    </row>
    <row r="74" spans="1:23" ht="49.9" customHeight="1">
      <c r="A74" s="10" t="s">
        <v>707</v>
      </c>
      <c r="B74" s="10"/>
      <c r="C74" s="2"/>
      <c r="D74" s="2" t="s">
        <v>708</v>
      </c>
      <c r="E74" s="4" t="s">
        <v>709</v>
      </c>
      <c r="F74" s="7" t="s">
        <v>710</v>
      </c>
      <c r="G74" s="2" t="s">
        <v>711</v>
      </c>
      <c r="H74" s="2"/>
      <c r="I74" s="2" t="s">
        <v>34</v>
      </c>
      <c r="J74" s="2" t="s">
        <v>34</v>
      </c>
      <c r="K74" s="2" t="s">
        <v>34</v>
      </c>
      <c r="L74" s="2" t="s">
        <v>75</v>
      </c>
      <c r="M74" s="2" t="s">
        <v>712</v>
      </c>
      <c r="N74" s="2" t="s">
        <v>713</v>
      </c>
      <c r="O74" s="2" t="s">
        <v>33</v>
      </c>
      <c r="P74" s="2"/>
      <c r="Q74" s="2"/>
      <c r="R74" s="2"/>
      <c r="S74" s="2" t="s">
        <v>37</v>
      </c>
      <c r="T74" s="2">
        <v>2932209090</v>
      </c>
      <c r="U74" s="2" t="s">
        <v>34</v>
      </c>
      <c r="V74" s="2" t="s">
        <v>34</v>
      </c>
      <c r="W74" s="2" t="str">
        <f t="shared" si="2"/>
        <v>Not regulated; any amount limit in internal packages</v>
      </c>
    </row>
    <row r="75" spans="1:23" ht="165">
      <c r="A75" s="10" t="s">
        <v>714</v>
      </c>
      <c r="B75" s="10"/>
      <c r="C75" s="2"/>
      <c r="D75" s="2" t="s">
        <v>715</v>
      </c>
      <c r="E75" s="4" t="s">
        <v>716</v>
      </c>
      <c r="F75" s="2" t="s">
        <v>59</v>
      </c>
      <c r="G75" s="2" t="s">
        <v>717</v>
      </c>
      <c r="H75" s="2"/>
      <c r="I75" s="2" t="s">
        <v>34</v>
      </c>
      <c r="J75" s="2" t="s">
        <v>34</v>
      </c>
      <c r="K75" s="2" t="s">
        <v>34</v>
      </c>
      <c r="L75" s="2" t="s">
        <v>75</v>
      </c>
      <c r="M75" s="2" t="s">
        <v>718</v>
      </c>
      <c r="N75" s="2" t="s">
        <v>719</v>
      </c>
      <c r="O75" s="22" t="s">
        <v>327</v>
      </c>
      <c r="P75" s="2"/>
      <c r="Q75" s="2"/>
      <c r="R75" s="2"/>
      <c r="S75" s="6" t="s">
        <v>50</v>
      </c>
      <c r="T75" s="2" t="s">
        <v>720</v>
      </c>
      <c r="U75" s="2" t="s">
        <v>34</v>
      </c>
      <c r="V75" s="2" t="s">
        <v>34</v>
      </c>
      <c r="W75" s="2" t="str">
        <f t="shared" si="2"/>
        <v>Not regulated; any amount limit in internal packages</v>
      </c>
    </row>
    <row r="76" spans="1:23" ht="135">
      <c r="A76" s="10" t="s">
        <v>721</v>
      </c>
      <c r="B76" s="10"/>
      <c r="C76" s="2"/>
      <c r="D76" s="2" t="s">
        <v>722</v>
      </c>
      <c r="E76" s="4" t="s">
        <v>723</v>
      </c>
      <c r="F76" s="2" t="s">
        <v>59</v>
      </c>
      <c r="G76" s="2" t="s">
        <v>724</v>
      </c>
      <c r="H76" s="2"/>
      <c r="I76" s="2"/>
      <c r="J76" s="2"/>
      <c r="K76" s="2"/>
      <c r="L76" s="2"/>
      <c r="M76" s="2" t="s">
        <v>725</v>
      </c>
      <c r="N76" s="2" t="s">
        <v>726</v>
      </c>
      <c r="O76" s="2" t="s">
        <v>33</v>
      </c>
      <c r="P76" s="2"/>
      <c r="Q76" s="2"/>
      <c r="R76" s="2" t="s">
        <v>727</v>
      </c>
      <c r="S76" s="2"/>
      <c r="T76" s="2"/>
      <c r="U76" s="2"/>
      <c r="V76" s="2"/>
      <c r="W76" s="2" t="str">
        <f t="shared" si="2"/>
        <v>Not regulated; any amount limit in internal packages</v>
      </c>
    </row>
    <row r="77" spans="1:23" ht="45">
      <c r="A77" s="10" t="s">
        <v>728</v>
      </c>
      <c r="B77" s="56"/>
      <c r="C77" s="14"/>
      <c r="D77" s="14" t="s">
        <v>729</v>
      </c>
      <c r="E77" s="4" t="s">
        <v>730</v>
      </c>
      <c r="F77" s="2" t="s">
        <v>731</v>
      </c>
      <c r="G77" s="2" t="s">
        <v>732</v>
      </c>
      <c r="H77" s="2"/>
      <c r="I77" s="2"/>
      <c r="J77" s="2"/>
      <c r="K77" s="2"/>
      <c r="L77" s="2"/>
      <c r="M77" s="2" t="s">
        <v>59</v>
      </c>
      <c r="N77" s="2" t="s">
        <v>733</v>
      </c>
      <c r="O77" s="2" t="s">
        <v>33</v>
      </c>
      <c r="P77" s="2"/>
      <c r="Q77" s="2"/>
      <c r="R77" s="2"/>
      <c r="S77" s="2"/>
      <c r="T77" s="2"/>
      <c r="U77" s="2"/>
      <c r="V77" s="2"/>
      <c r="W77" s="2" t="str">
        <f t="shared" si="2"/>
        <v>Not regulated; any amount limit in internal packages</v>
      </c>
    </row>
    <row r="78" spans="1:23" ht="45">
      <c r="A78" s="10" t="s">
        <v>734</v>
      </c>
      <c r="B78" s="56"/>
      <c r="C78" s="14"/>
      <c r="D78" s="14" t="s">
        <v>735</v>
      </c>
      <c r="E78" s="4" t="s">
        <v>736</v>
      </c>
      <c r="F78" s="2" t="s">
        <v>59</v>
      </c>
      <c r="G78" s="2" t="s">
        <v>59</v>
      </c>
      <c r="H78" s="2"/>
      <c r="I78" s="2" t="s">
        <v>34</v>
      </c>
      <c r="J78" s="2" t="s">
        <v>34</v>
      </c>
      <c r="K78" s="2" t="s">
        <v>34</v>
      </c>
      <c r="L78" s="2" t="s">
        <v>737</v>
      </c>
      <c r="M78" s="2" t="s">
        <v>59</v>
      </c>
      <c r="N78" s="2" t="s">
        <v>59</v>
      </c>
      <c r="O78" s="2" t="s">
        <v>33</v>
      </c>
      <c r="P78" s="2"/>
      <c r="Q78" s="2"/>
      <c r="R78" s="2"/>
      <c r="S78" s="6" t="s">
        <v>50</v>
      </c>
      <c r="T78" s="2"/>
      <c r="U78" s="2"/>
      <c r="V78" s="2"/>
      <c r="W78" s="2" t="str">
        <f t="shared" si="2"/>
        <v>Not regulated; any amount limit in internal packages</v>
      </c>
    </row>
    <row r="79" spans="1:23" ht="75">
      <c r="A79" s="10" t="s">
        <v>738</v>
      </c>
      <c r="B79" s="10"/>
      <c r="C79" s="2"/>
      <c r="D79" s="2" t="s">
        <v>739</v>
      </c>
      <c r="E79" s="4" t="s">
        <v>740</v>
      </c>
      <c r="F79" s="2" t="s">
        <v>741</v>
      </c>
      <c r="G79" s="2" t="s">
        <v>742</v>
      </c>
      <c r="H79" s="2"/>
      <c r="I79" s="2">
        <v>3077</v>
      </c>
      <c r="J79" s="2">
        <v>9</v>
      </c>
      <c r="K79" s="2" t="s">
        <v>31</v>
      </c>
      <c r="L79" s="2" t="s">
        <v>743</v>
      </c>
      <c r="M79" s="2" t="s">
        <v>744</v>
      </c>
      <c r="N79" s="2" t="s">
        <v>745</v>
      </c>
      <c r="O79" s="2" t="s">
        <v>33</v>
      </c>
      <c r="P79" s="2"/>
      <c r="Q79" s="2"/>
      <c r="R79" s="2"/>
      <c r="S79" s="6" t="s">
        <v>50</v>
      </c>
      <c r="T79" s="2">
        <v>29242990</v>
      </c>
      <c r="U79" s="2" t="s">
        <v>34</v>
      </c>
      <c r="V79" s="2" t="s">
        <v>38</v>
      </c>
      <c r="W79" s="2">
        <f t="shared" si="2"/>
        <v>30</v>
      </c>
    </row>
    <row r="80" spans="1:23" ht="75">
      <c r="A80" s="10" t="s">
        <v>746</v>
      </c>
      <c r="B80" s="10"/>
      <c r="C80" s="2"/>
      <c r="D80" s="2" t="s">
        <v>747</v>
      </c>
      <c r="E80" s="4" t="s">
        <v>748</v>
      </c>
      <c r="F80" s="2" t="s">
        <v>749</v>
      </c>
      <c r="G80" s="2" t="s">
        <v>750</v>
      </c>
      <c r="H80" s="2"/>
      <c r="I80" s="2">
        <v>3077</v>
      </c>
      <c r="J80" s="2">
        <v>9</v>
      </c>
      <c r="K80" s="2" t="s">
        <v>31</v>
      </c>
      <c r="L80" s="2" t="s">
        <v>751</v>
      </c>
      <c r="M80" s="2" t="s">
        <v>752</v>
      </c>
      <c r="N80" s="2" t="s">
        <v>753</v>
      </c>
      <c r="O80" s="2" t="s">
        <v>33</v>
      </c>
      <c r="P80" s="2"/>
      <c r="Q80" s="2"/>
      <c r="R80" s="2"/>
      <c r="S80" s="6" t="s">
        <v>50</v>
      </c>
      <c r="T80" s="2"/>
      <c r="U80" s="2"/>
      <c r="V80" s="2" t="s">
        <v>38</v>
      </c>
      <c r="W80" s="2">
        <f t="shared" si="2"/>
        <v>30</v>
      </c>
    </row>
    <row r="81" spans="1:23" ht="90">
      <c r="A81" s="10" t="s">
        <v>754</v>
      </c>
      <c r="B81" s="10"/>
      <c r="C81" s="2"/>
      <c r="D81" s="2" t="s">
        <v>755</v>
      </c>
      <c r="E81" s="4" t="s">
        <v>756</v>
      </c>
      <c r="F81" s="2" t="s">
        <v>757</v>
      </c>
      <c r="G81" s="2" t="s">
        <v>758</v>
      </c>
      <c r="H81" s="2"/>
      <c r="I81" s="2">
        <v>3077</v>
      </c>
      <c r="J81" s="2">
        <v>9</v>
      </c>
      <c r="K81" s="2" t="s">
        <v>31</v>
      </c>
      <c r="L81" s="2" t="s">
        <v>759</v>
      </c>
      <c r="M81" s="2" t="s">
        <v>760</v>
      </c>
      <c r="N81" s="2" t="s">
        <v>761</v>
      </c>
      <c r="O81" s="2" t="s">
        <v>33</v>
      </c>
      <c r="P81" s="2"/>
      <c r="Q81" s="2"/>
      <c r="R81" s="2"/>
      <c r="S81" s="2" t="s">
        <v>37</v>
      </c>
      <c r="T81" s="2">
        <v>29339990</v>
      </c>
      <c r="U81" s="2" t="s">
        <v>34</v>
      </c>
      <c r="V81" s="2" t="s">
        <v>38</v>
      </c>
      <c r="W81" s="2">
        <f t="shared" ref="W81:W108" si="3">IF(V81="E0",0,IF(V81="E1",30,IF(V81="E2",30,IF(V81="E3",30,IF(V81="E4",1,IF(V81="E5",1, "Not regulated; any amount limit in internal packages"))))))</f>
        <v>30</v>
      </c>
    </row>
    <row r="82" spans="1:23" ht="60">
      <c r="A82" s="10" t="s">
        <v>762</v>
      </c>
      <c r="B82" s="10"/>
      <c r="C82" s="2"/>
      <c r="D82" s="2" t="s">
        <v>763</v>
      </c>
      <c r="E82" s="4" t="s">
        <v>764</v>
      </c>
      <c r="F82" s="2" t="s">
        <v>765</v>
      </c>
      <c r="G82" s="2" t="s">
        <v>766</v>
      </c>
      <c r="H82" s="2"/>
      <c r="I82" s="2" t="s">
        <v>34</v>
      </c>
      <c r="J82" s="2" t="s">
        <v>34</v>
      </c>
      <c r="K82" s="2" t="s">
        <v>34</v>
      </c>
      <c r="L82" s="2" t="s">
        <v>737</v>
      </c>
      <c r="M82" s="2" t="s">
        <v>767</v>
      </c>
      <c r="N82" s="2" t="s">
        <v>768</v>
      </c>
      <c r="O82" s="2" t="s">
        <v>33</v>
      </c>
      <c r="P82" s="2"/>
      <c r="Q82" s="2"/>
      <c r="R82" s="2"/>
      <c r="S82" s="6" t="s">
        <v>50</v>
      </c>
      <c r="T82" s="2">
        <v>29182930</v>
      </c>
      <c r="U82" s="2" t="s">
        <v>34</v>
      </c>
      <c r="V82" s="2" t="s">
        <v>34</v>
      </c>
      <c r="W82" s="2" t="str">
        <f t="shared" si="3"/>
        <v>Not regulated; any amount limit in internal packages</v>
      </c>
    </row>
    <row r="83" spans="1:23" ht="75">
      <c r="A83" s="10" t="s">
        <v>769</v>
      </c>
      <c r="B83" s="10"/>
      <c r="C83" s="2"/>
      <c r="D83" s="2" t="s">
        <v>770</v>
      </c>
      <c r="E83" s="4" t="s">
        <v>771</v>
      </c>
      <c r="F83" s="2" t="s">
        <v>772</v>
      </c>
      <c r="G83" s="2" t="s">
        <v>773</v>
      </c>
      <c r="H83" s="2"/>
      <c r="I83" s="2" t="s">
        <v>34</v>
      </c>
      <c r="J83" s="2" t="s">
        <v>34</v>
      </c>
      <c r="K83" s="2" t="s">
        <v>34</v>
      </c>
      <c r="L83" s="2" t="s">
        <v>737</v>
      </c>
      <c r="M83" s="2" t="s">
        <v>774</v>
      </c>
      <c r="N83" s="2" t="s">
        <v>775</v>
      </c>
      <c r="O83" s="22" t="s">
        <v>776</v>
      </c>
      <c r="P83" s="2"/>
      <c r="Q83" s="2"/>
      <c r="R83" s="2"/>
      <c r="S83" s="6" t="s">
        <v>50</v>
      </c>
      <c r="T83" s="2">
        <v>29242990</v>
      </c>
      <c r="U83" s="2" t="s">
        <v>34</v>
      </c>
      <c r="V83" s="2"/>
      <c r="W83" s="2" t="str">
        <f t="shared" si="3"/>
        <v>Not regulated; any amount limit in internal packages</v>
      </c>
    </row>
    <row r="84" spans="1:23" ht="105">
      <c r="A84" s="10" t="s">
        <v>777</v>
      </c>
      <c r="B84" s="10"/>
      <c r="C84" s="2"/>
      <c r="D84" s="2" t="s">
        <v>778</v>
      </c>
      <c r="E84" s="4" t="s">
        <v>779</v>
      </c>
      <c r="F84" s="2" t="s">
        <v>780</v>
      </c>
      <c r="G84" s="2" t="s">
        <v>781</v>
      </c>
      <c r="H84" s="2"/>
      <c r="I84" s="2" t="s">
        <v>34</v>
      </c>
      <c r="J84" s="2" t="s">
        <v>34</v>
      </c>
      <c r="K84" s="2" t="s">
        <v>34</v>
      </c>
      <c r="L84" s="2" t="s">
        <v>737</v>
      </c>
      <c r="M84" s="2" t="s">
        <v>782</v>
      </c>
      <c r="N84" s="2" t="s">
        <v>783</v>
      </c>
      <c r="O84" s="22" t="s">
        <v>784</v>
      </c>
      <c r="P84" s="2"/>
      <c r="Q84" s="2"/>
      <c r="R84" s="2"/>
      <c r="S84" s="6" t="s">
        <v>50</v>
      </c>
      <c r="T84" s="2">
        <v>2935904000</v>
      </c>
      <c r="U84" s="2" t="s">
        <v>34</v>
      </c>
      <c r="V84" s="2"/>
      <c r="W84" s="2" t="str">
        <f t="shared" si="3"/>
        <v>Not regulated; any amount limit in internal packages</v>
      </c>
    </row>
    <row r="85" spans="1:23" ht="45">
      <c r="A85" s="10" t="s">
        <v>785</v>
      </c>
      <c r="B85" s="118"/>
      <c r="C85" s="13"/>
      <c r="D85" s="13" t="s">
        <v>786</v>
      </c>
      <c r="E85" s="4" t="s">
        <v>787</v>
      </c>
      <c r="F85" s="2" t="s">
        <v>189</v>
      </c>
      <c r="G85" s="2" t="s">
        <v>788</v>
      </c>
      <c r="H85" s="2"/>
      <c r="I85" s="2">
        <v>2811</v>
      </c>
      <c r="J85" s="2" t="s">
        <v>30</v>
      </c>
      <c r="K85" s="2" t="s">
        <v>31</v>
      </c>
      <c r="L85" s="2" t="s">
        <v>789</v>
      </c>
      <c r="M85" s="2" t="s">
        <v>790</v>
      </c>
      <c r="N85" s="2" t="s">
        <v>791</v>
      </c>
      <c r="O85" s="2" t="s">
        <v>792</v>
      </c>
      <c r="P85" s="2"/>
      <c r="Q85" s="2"/>
      <c r="R85" s="2"/>
      <c r="S85" s="6" t="s">
        <v>50</v>
      </c>
      <c r="T85" s="2">
        <v>29334990</v>
      </c>
      <c r="U85" s="2" t="s">
        <v>34</v>
      </c>
      <c r="V85" s="2" t="s">
        <v>38</v>
      </c>
      <c r="W85" s="2">
        <f t="shared" si="3"/>
        <v>30</v>
      </c>
    </row>
    <row r="86" spans="1:23" ht="45">
      <c r="A86" s="10" t="s">
        <v>793</v>
      </c>
      <c r="B86" s="118"/>
      <c r="C86" s="13"/>
      <c r="D86" s="13" t="s">
        <v>794</v>
      </c>
      <c r="E86" s="4" t="s">
        <v>795</v>
      </c>
      <c r="F86" s="2" t="s">
        <v>59</v>
      </c>
      <c r="G86" s="2" t="s">
        <v>796</v>
      </c>
      <c r="H86" s="2"/>
      <c r="I86" s="2" t="s">
        <v>34</v>
      </c>
      <c r="J86" s="2" t="s">
        <v>34</v>
      </c>
      <c r="K86" s="2" t="s">
        <v>34</v>
      </c>
      <c r="L86" s="2" t="s">
        <v>737</v>
      </c>
      <c r="M86" s="2" t="s">
        <v>59</v>
      </c>
      <c r="N86" s="2" t="s">
        <v>59</v>
      </c>
      <c r="O86" s="2" t="s">
        <v>33</v>
      </c>
      <c r="P86" s="2"/>
      <c r="Q86" s="2"/>
      <c r="R86" s="2"/>
      <c r="S86" s="2" t="s">
        <v>37</v>
      </c>
      <c r="T86" s="2">
        <v>2926907090</v>
      </c>
      <c r="U86" s="2" t="s">
        <v>34</v>
      </c>
      <c r="V86" s="2"/>
      <c r="W86" s="2" t="str">
        <f t="shared" si="3"/>
        <v>Not regulated; any amount limit in internal packages</v>
      </c>
    </row>
    <row r="87" spans="1:23" ht="75">
      <c r="A87" s="10" t="s">
        <v>797</v>
      </c>
      <c r="B87" s="118"/>
      <c r="C87" s="13"/>
      <c r="D87" s="13" t="s">
        <v>798</v>
      </c>
      <c r="E87" s="4" t="s">
        <v>799</v>
      </c>
      <c r="F87" s="2" t="s">
        <v>800</v>
      </c>
      <c r="G87" s="2" t="s">
        <v>59</v>
      </c>
      <c r="H87" s="2"/>
      <c r="I87" s="2">
        <v>3077</v>
      </c>
      <c r="J87" s="2">
        <v>9</v>
      </c>
      <c r="K87" s="2" t="s">
        <v>31</v>
      </c>
      <c r="L87" s="2" t="s">
        <v>801</v>
      </c>
      <c r="M87" s="2" t="s">
        <v>59</v>
      </c>
      <c r="N87" s="2" t="s">
        <v>59</v>
      </c>
      <c r="O87" s="22" t="s">
        <v>802</v>
      </c>
      <c r="P87" s="2"/>
      <c r="Q87" s="2"/>
      <c r="R87" s="2"/>
      <c r="S87" s="2" t="s">
        <v>803</v>
      </c>
      <c r="T87" s="2">
        <v>29339900</v>
      </c>
      <c r="U87" s="2" t="s">
        <v>34</v>
      </c>
      <c r="V87" s="2" t="s">
        <v>38</v>
      </c>
      <c r="W87" s="2">
        <f t="shared" si="3"/>
        <v>30</v>
      </c>
    </row>
    <row r="88" spans="1:23" ht="75">
      <c r="A88" s="10" t="s">
        <v>804</v>
      </c>
      <c r="B88" s="10"/>
      <c r="C88" s="2"/>
      <c r="D88" s="2" t="s">
        <v>805</v>
      </c>
      <c r="E88" s="4" t="s">
        <v>806</v>
      </c>
      <c r="F88" s="2" t="s">
        <v>92</v>
      </c>
      <c r="G88" s="2" t="s">
        <v>807</v>
      </c>
      <c r="H88" s="2"/>
      <c r="I88" s="2">
        <v>2811</v>
      </c>
      <c r="J88" s="2" t="s">
        <v>30</v>
      </c>
      <c r="K88" s="2" t="s">
        <v>31</v>
      </c>
      <c r="L88" s="2" t="s">
        <v>808</v>
      </c>
      <c r="M88" s="2" t="s">
        <v>809</v>
      </c>
      <c r="N88" s="2" t="s">
        <v>810</v>
      </c>
      <c r="O88" s="2" t="s">
        <v>33</v>
      </c>
      <c r="P88" s="2"/>
      <c r="Q88" s="2"/>
      <c r="R88" s="2"/>
      <c r="S88" s="6" t="s">
        <v>50</v>
      </c>
      <c r="T88" s="2">
        <v>29224999</v>
      </c>
      <c r="U88" s="2" t="s">
        <v>34</v>
      </c>
      <c r="V88" s="2" t="s">
        <v>38</v>
      </c>
      <c r="W88" s="2">
        <f t="shared" si="3"/>
        <v>30</v>
      </c>
    </row>
    <row r="89" spans="1:23" ht="75">
      <c r="A89" s="10" t="s">
        <v>811</v>
      </c>
      <c r="B89" s="10"/>
      <c r="C89" s="2"/>
      <c r="D89" s="2" t="s">
        <v>812</v>
      </c>
      <c r="E89" s="4" t="s">
        <v>813</v>
      </c>
      <c r="F89" s="2" t="s">
        <v>92</v>
      </c>
      <c r="G89" s="2" t="s">
        <v>814</v>
      </c>
      <c r="H89" s="2"/>
      <c r="I89" s="2">
        <v>2811</v>
      </c>
      <c r="J89" s="2" t="s">
        <v>30</v>
      </c>
      <c r="K89" s="2" t="s">
        <v>45</v>
      </c>
      <c r="L89" s="2" t="s">
        <v>815</v>
      </c>
      <c r="M89" s="2" t="s">
        <v>816</v>
      </c>
      <c r="N89" s="2" t="s">
        <v>817</v>
      </c>
      <c r="O89" s="22" t="s">
        <v>327</v>
      </c>
      <c r="P89" s="2"/>
      <c r="Q89" s="2"/>
      <c r="R89" s="2"/>
      <c r="S89" s="6" t="s">
        <v>50</v>
      </c>
      <c r="T89" s="2"/>
      <c r="U89" s="2"/>
      <c r="V89" s="2" t="s">
        <v>818</v>
      </c>
      <c r="W89" s="2">
        <f t="shared" si="3"/>
        <v>1</v>
      </c>
    </row>
    <row r="90" spans="1:23" ht="75">
      <c r="A90" s="10" t="s">
        <v>819</v>
      </c>
      <c r="B90" s="10"/>
      <c r="C90" s="2"/>
      <c r="D90" s="2" t="s">
        <v>820</v>
      </c>
      <c r="E90" s="4" t="s">
        <v>821</v>
      </c>
      <c r="F90" s="7" t="s">
        <v>822</v>
      </c>
      <c r="G90" s="2" t="s">
        <v>823</v>
      </c>
      <c r="H90" s="2"/>
      <c r="I90" s="2">
        <v>3146</v>
      </c>
      <c r="J90" s="2" t="s">
        <v>30</v>
      </c>
      <c r="K90" s="2" t="s">
        <v>65</v>
      </c>
      <c r="L90" s="2" t="s">
        <v>824</v>
      </c>
      <c r="M90" s="2" t="s">
        <v>825</v>
      </c>
      <c r="N90" s="2" t="s">
        <v>826</v>
      </c>
      <c r="O90" s="22" t="s">
        <v>295</v>
      </c>
      <c r="P90" s="2"/>
      <c r="Q90" s="2"/>
      <c r="R90" s="2"/>
      <c r="S90" s="6" t="s">
        <v>50</v>
      </c>
      <c r="T90" s="2">
        <v>29319090</v>
      </c>
      <c r="U90" s="2" t="s">
        <v>827</v>
      </c>
      <c r="V90" s="2" t="s">
        <v>87</v>
      </c>
      <c r="W90" s="2">
        <f t="shared" si="3"/>
        <v>1</v>
      </c>
    </row>
    <row r="91" spans="1:23" ht="60">
      <c r="A91" s="10" t="s">
        <v>828</v>
      </c>
      <c r="B91" s="10"/>
      <c r="C91" s="2"/>
      <c r="D91" s="2" t="s">
        <v>829</v>
      </c>
      <c r="E91" s="4" t="s">
        <v>830</v>
      </c>
      <c r="F91" s="7" t="s">
        <v>154</v>
      </c>
      <c r="G91" s="2" t="s">
        <v>831</v>
      </c>
      <c r="H91" s="2"/>
      <c r="I91" s="2"/>
      <c r="J91" s="2"/>
      <c r="K91" s="2"/>
      <c r="L91" s="2"/>
      <c r="M91" s="2" t="s">
        <v>832</v>
      </c>
      <c r="N91" s="2" t="s">
        <v>833</v>
      </c>
      <c r="O91" s="2" t="s">
        <v>33</v>
      </c>
      <c r="P91" s="2"/>
      <c r="Q91" s="2"/>
      <c r="R91" s="2"/>
      <c r="S91" s="2"/>
      <c r="T91" s="2"/>
      <c r="U91" s="2"/>
      <c r="V91" s="2"/>
      <c r="W91" s="2" t="str">
        <f t="shared" si="3"/>
        <v>Not regulated; any amount limit in internal packages</v>
      </c>
    </row>
    <row r="92" spans="1:23" ht="45">
      <c r="A92" s="10" t="s">
        <v>834</v>
      </c>
      <c r="B92" s="10"/>
      <c r="C92" s="2"/>
      <c r="D92" s="2" t="s">
        <v>835</v>
      </c>
      <c r="E92" s="4" t="s">
        <v>836</v>
      </c>
      <c r="F92" s="2" t="s">
        <v>59</v>
      </c>
      <c r="G92" s="2" t="s">
        <v>837</v>
      </c>
      <c r="H92" s="2"/>
      <c r="I92" s="2"/>
      <c r="J92" s="2"/>
      <c r="K92" s="2"/>
      <c r="L92" s="2"/>
      <c r="M92" s="2" t="s">
        <v>838</v>
      </c>
      <c r="N92" s="2" t="s">
        <v>59</v>
      </c>
      <c r="O92" s="22" t="s">
        <v>839</v>
      </c>
      <c r="P92" s="2"/>
      <c r="Q92" s="2"/>
      <c r="R92" s="2"/>
      <c r="S92" s="2"/>
      <c r="T92" s="2"/>
      <c r="U92" s="2"/>
      <c r="V92" s="2"/>
      <c r="W92" s="2" t="str">
        <f t="shared" si="3"/>
        <v>Not regulated; any amount limit in internal packages</v>
      </c>
    </row>
    <row r="93" spans="1:23" ht="75">
      <c r="A93" s="10" t="s">
        <v>840</v>
      </c>
      <c r="B93" s="10"/>
      <c r="C93" s="2"/>
      <c r="D93" s="2" t="s">
        <v>841</v>
      </c>
      <c r="E93" s="4" t="s">
        <v>842</v>
      </c>
      <c r="F93" s="2" t="s">
        <v>843</v>
      </c>
      <c r="G93" s="2" t="s">
        <v>844</v>
      </c>
      <c r="H93" s="2"/>
      <c r="I93" s="2"/>
      <c r="J93" s="2"/>
      <c r="K93" s="2"/>
      <c r="L93" s="2"/>
      <c r="M93" s="2" t="s">
        <v>845</v>
      </c>
      <c r="N93" s="2" t="s">
        <v>846</v>
      </c>
      <c r="O93" s="2" t="s">
        <v>33</v>
      </c>
      <c r="P93" s="2"/>
      <c r="Q93" s="2"/>
      <c r="R93" s="2"/>
      <c r="S93" s="2"/>
      <c r="T93" s="2"/>
      <c r="U93" s="2"/>
      <c r="V93" s="2"/>
      <c r="W93" s="2" t="str">
        <f t="shared" si="3"/>
        <v>Not regulated; any amount limit in internal packages</v>
      </c>
    </row>
    <row r="94" spans="1:23" ht="105">
      <c r="A94" s="10" t="s">
        <v>847</v>
      </c>
      <c r="B94" s="56"/>
      <c r="C94" s="14"/>
      <c r="D94" s="14" t="s">
        <v>848</v>
      </c>
      <c r="E94" s="4" t="s">
        <v>849</v>
      </c>
      <c r="F94" s="2" t="s">
        <v>850</v>
      </c>
      <c r="G94" s="2" t="s">
        <v>851</v>
      </c>
      <c r="H94" s="2"/>
      <c r="I94" s="2"/>
      <c r="J94" s="2"/>
      <c r="K94" s="2"/>
      <c r="L94" s="2"/>
      <c r="M94" s="2" t="s">
        <v>852</v>
      </c>
      <c r="N94" s="2" t="s">
        <v>853</v>
      </c>
      <c r="O94" s="2" t="s">
        <v>33</v>
      </c>
      <c r="P94" s="2"/>
      <c r="Q94" s="2"/>
      <c r="R94" s="2"/>
      <c r="S94" s="2"/>
      <c r="T94" s="2"/>
      <c r="U94" s="2"/>
      <c r="V94" s="2"/>
      <c r="W94" s="2" t="str">
        <f t="shared" si="3"/>
        <v>Not regulated; any amount limit in internal packages</v>
      </c>
    </row>
    <row r="95" spans="1:23" ht="45">
      <c r="A95" s="10" t="s">
        <v>854</v>
      </c>
      <c r="B95" s="10"/>
      <c r="C95" s="2"/>
      <c r="D95" s="2" t="s">
        <v>855</v>
      </c>
      <c r="E95" s="4" t="s">
        <v>856</v>
      </c>
      <c r="F95" s="7" t="s">
        <v>857</v>
      </c>
      <c r="G95" s="2" t="s">
        <v>858</v>
      </c>
      <c r="H95" s="2"/>
      <c r="I95" s="2"/>
      <c r="J95" s="2"/>
      <c r="K95" s="2"/>
      <c r="L95" s="2"/>
      <c r="M95" s="2" t="s">
        <v>859</v>
      </c>
      <c r="N95" s="2" t="s">
        <v>860</v>
      </c>
      <c r="O95" s="22" t="s">
        <v>584</v>
      </c>
      <c r="P95" s="2"/>
      <c r="Q95" s="2"/>
      <c r="R95" s="2"/>
      <c r="S95" s="2"/>
      <c r="T95" s="2"/>
      <c r="U95" s="2"/>
      <c r="V95" s="2"/>
      <c r="W95" s="2" t="str">
        <f t="shared" si="3"/>
        <v>Not regulated; any amount limit in internal packages</v>
      </c>
    </row>
    <row r="96" spans="1:23" ht="90">
      <c r="A96" s="10" t="s">
        <v>861</v>
      </c>
      <c r="B96" s="10"/>
      <c r="C96" s="2"/>
      <c r="D96" s="2" t="s">
        <v>862</v>
      </c>
      <c r="E96" s="4" t="s">
        <v>863</v>
      </c>
      <c r="F96" s="2" t="s">
        <v>864</v>
      </c>
      <c r="G96" s="2" t="s">
        <v>865</v>
      </c>
      <c r="H96" s="2"/>
      <c r="I96" s="2"/>
      <c r="J96" s="2"/>
      <c r="K96" s="2"/>
      <c r="L96" s="2"/>
      <c r="M96" s="2" t="s">
        <v>866</v>
      </c>
      <c r="N96" s="2" t="s">
        <v>867</v>
      </c>
      <c r="O96" s="2" t="s">
        <v>33</v>
      </c>
      <c r="P96" s="2"/>
      <c r="Q96" s="2"/>
      <c r="R96" s="2"/>
      <c r="S96" s="2"/>
      <c r="T96" s="2"/>
      <c r="U96" s="2"/>
      <c r="V96" s="2"/>
      <c r="W96" s="2" t="str">
        <f t="shared" si="3"/>
        <v>Not regulated; any amount limit in internal packages</v>
      </c>
    </row>
    <row r="97" spans="1:23" ht="60">
      <c r="A97" s="10" t="s">
        <v>868</v>
      </c>
      <c r="B97" s="10"/>
      <c r="C97" s="2"/>
      <c r="D97" s="2" t="s">
        <v>869</v>
      </c>
      <c r="E97" s="4" t="s">
        <v>870</v>
      </c>
      <c r="F97" s="7" t="s">
        <v>871</v>
      </c>
      <c r="G97" s="2" t="s">
        <v>872</v>
      </c>
      <c r="H97" s="2"/>
      <c r="I97" s="2"/>
      <c r="J97" s="2"/>
      <c r="K97" s="2"/>
      <c r="L97" s="2"/>
      <c r="M97" s="2" t="s">
        <v>873</v>
      </c>
      <c r="N97" s="2" t="s">
        <v>874</v>
      </c>
      <c r="O97" s="2" t="s">
        <v>33</v>
      </c>
      <c r="P97" s="2"/>
      <c r="Q97" s="2"/>
      <c r="R97" s="2"/>
      <c r="S97" s="2"/>
      <c r="T97" s="2"/>
      <c r="U97" s="2"/>
      <c r="V97" s="2"/>
      <c r="W97" s="2" t="str">
        <f t="shared" si="3"/>
        <v>Not regulated; any amount limit in internal packages</v>
      </c>
    </row>
    <row r="98" spans="1:23" ht="75">
      <c r="A98" s="10" t="s">
        <v>875</v>
      </c>
      <c r="B98" s="10"/>
      <c r="C98" s="2"/>
      <c r="D98" s="2" t="s">
        <v>876</v>
      </c>
      <c r="E98" s="4" t="s">
        <v>877</v>
      </c>
      <c r="F98" s="2" t="s">
        <v>878</v>
      </c>
      <c r="G98" s="2" t="s">
        <v>44</v>
      </c>
      <c r="H98" s="2"/>
      <c r="I98" s="2"/>
      <c r="J98" s="2"/>
      <c r="K98" s="2"/>
      <c r="L98" s="2"/>
      <c r="M98" s="2" t="s">
        <v>879</v>
      </c>
      <c r="N98" s="2" t="s">
        <v>880</v>
      </c>
      <c r="O98" s="2" t="s">
        <v>33</v>
      </c>
      <c r="P98" s="2"/>
      <c r="Q98" s="2"/>
      <c r="R98" s="2"/>
      <c r="S98" s="2"/>
      <c r="T98" s="2"/>
      <c r="U98" s="2"/>
      <c r="V98" s="2"/>
      <c r="W98" s="2" t="str">
        <f t="shared" si="3"/>
        <v>Not regulated; any amount limit in internal packages</v>
      </c>
    </row>
    <row r="99" spans="1:23" ht="150">
      <c r="A99" s="10" t="s">
        <v>881</v>
      </c>
      <c r="B99" s="10"/>
      <c r="C99" s="2"/>
      <c r="D99" s="2" t="s">
        <v>659</v>
      </c>
      <c r="E99" s="4" t="s">
        <v>882</v>
      </c>
      <c r="F99" s="2" t="s">
        <v>59</v>
      </c>
      <c r="G99" s="2" t="s">
        <v>883</v>
      </c>
      <c r="H99" s="2"/>
      <c r="I99" s="2">
        <v>3077</v>
      </c>
      <c r="J99" s="2">
        <v>9</v>
      </c>
      <c r="K99" s="2" t="s">
        <v>31</v>
      </c>
      <c r="L99" s="2" t="s">
        <v>884</v>
      </c>
      <c r="M99" s="2" t="s">
        <v>885</v>
      </c>
      <c r="N99" s="2" t="s">
        <v>886</v>
      </c>
      <c r="O99" s="2" t="s">
        <v>33</v>
      </c>
      <c r="P99" s="2"/>
      <c r="Q99" s="2"/>
      <c r="R99" s="2"/>
      <c r="S99" s="2"/>
      <c r="T99" s="2"/>
      <c r="U99" s="2"/>
      <c r="V99" s="2" t="s">
        <v>38</v>
      </c>
      <c r="W99" s="2">
        <f t="shared" si="3"/>
        <v>30</v>
      </c>
    </row>
    <row r="100" spans="1:23" ht="60">
      <c r="A100" s="10" t="s">
        <v>887</v>
      </c>
      <c r="B100" s="10"/>
      <c r="C100" s="2"/>
      <c r="D100" s="2" t="s">
        <v>888</v>
      </c>
      <c r="E100" s="4" t="s">
        <v>889</v>
      </c>
      <c r="F100" s="2" t="s">
        <v>890</v>
      </c>
      <c r="G100" s="2" t="s">
        <v>891</v>
      </c>
      <c r="H100" s="2"/>
      <c r="I100" s="2"/>
      <c r="J100" s="2"/>
      <c r="K100" s="2"/>
      <c r="L100" s="2"/>
      <c r="M100" s="2" t="s">
        <v>892</v>
      </c>
      <c r="N100" s="2" t="s">
        <v>893</v>
      </c>
      <c r="O100" s="22" t="s">
        <v>295</v>
      </c>
      <c r="P100" s="2"/>
      <c r="Q100" s="2"/>
      <c r="R100" s="2"/>
      <c r="S100" s="2"/>
      <c r="T100" s="2"/>
      <c r="U100" s="2"/>
      <c r="V100" s="2"/>
      <c r="W100" s="2" t="str">
        <f t="shared" si="3"/>
        <v>Not regulated; any amount limit in internal packages</v>
      </c>
    </row>
    <row r="101" spans="1:23" ht="60">
      <c r="A101" s="10" t="s">
        <v>894</v>
      </c>
      <c r="B101" s="10"/>
      <c r="C101" s="2"/>
      <c r="D101" s="2" t="s">
        <v>895</v>
      </c>
      <c r="E101" s="4" t="s">
        <v>896</v>
      </c>
      <c r="F101" s="2" t="s">
        <v>890</v>
      </c>
      <c r="G101" s="2" t="s">
        <v>44</v>
      </c>
      <c r="H101" s="2"/>
      <c r="I101" s="2"/>
      <c r="J101" s="2"/>
      <c r="K101" s="2"/>
      <c r="L101" s="2"/>
      <c r="M101" s="2" t="s">
        <v>897</v>
      </c>
      <c r="N101" s="2" t="s">
        <v>898</v>
      </c>
      <c r="O101" s="22" t="s">
        <v>295</v>
      </c>
      <c r="P101" s="2"/>
      <c r="Q101" s="2"/>
      <c r="R101" s="2"/>
      <c r="S101" s="2"/>
      <c r="T101" s="2"/>
      <c r="U101" s="2"/>
      <c r="V101" s="2"/>
      <c r="W101" s="2" t="str">
        <f t="shared" si="3"/>
        <v>Not regulated; any amount limit in internal packages</v>
      </c>
    </row>
    <row r="102" spans="1:23" ht="54" customHeight="1">
      <c r="A102" s="10" t="s">
        <v>899</v>
      </c>
      <c r="B102" s="10"/>
      <c r="C102" s="2"/>
      <c r="D102" s="2" t="s">
        <v>900</v>
      </c>
      <c r="E102" s="4" t="s">
        <v>901</v>
      </c>
      <c r="F102" s="2" t="s">
        <v>902</v>
      </c>
      <c r="G102" s="2" t="s">
        <v>903</v>
      </c>
      <c r="H102" s="2"/>
      <c r="I102" s="2"/>
      <c r="J102" s="2"/>
      <c r="K102" s="2"/>
      <c r="L102" s="2"/>
      <c r="M102" s="2" t="s">
        <v>904</v>
      </c>
      <c r="N102" s="2" t="s">
        <v>905</v>
      </c>
      <c r="O102" s="2" t="s">
        <v>33</v>
      </c>
      <c r="P102" s="2"/>
      <c r="Q102" s="2"/>
      <c r="R102" s="2"/>
      <c r="S102" s="2"/>
      <c r="T102" s="2"/>
      <c r="U102" s="2"/>
      <c r="V102" s="2"/>
      <c r="W102" s="2" t="str">
        <f t="shared" si="3"/>
        <v>Not regulated; any amount limit in internal packages</v>
      </c>
    </row>
    <row r="103" spans="1:23" ht="75">
      <c r="A103" s="10" t="s">
        <v>906</v>
      </c>
      <c r="B103" s="10"/>
      <c r="C103" s="2"/>
      <c r="D103" s="2" t="s">
        <v>907</v>
      </c>
      <c r="E103" s="4" t="s">
        <v>908</v>
      </c>
      <c r="F103" s="7" t="s">
        <v>909</v>
      </c>
      <c r="G103" s="2" t="s">
        <v>910</v>
      </c>
      <c r="H103" s="2"/>
      <c r="I103" s="2"/>
      <c r="J103" s="2"/>
      <c r="K103" s="2"/>
      <c r="L103" s="2"/>
      <c r="M103" s="2" t="s">
        <v>911</v>
      </c>
      <c r="N103" s="2" t="s">
        <v>912</v>
      </c>
      <c r="O103" s="2" t="s">
        <v>33</v>
      </c>
      <c r="P103" s="2"/>
      <c r="Q103" s="2"/>
      <c r="R103" s="2"/>
      <c r="S103" s="2"/>
      <c r="T103" s="2"/>
      <c r="U103" s="2"/>
      <c r="V103" s="2"/>
      <c r="W103" s="2" t="str">
        <f t="shared" si="3"/>
        <v>Not regulated; any amount limit in internal packages</v>
      </c>
    </row>
    <row r="104" spans="1:23" ht="90">
      <c r="A104" s="10" t="s">
        <v>913</v>
      </c>
      <c r="B104" s="10"/>
      <c r="C104" s="2"/>
      <c r="D104" s="2" t="s">
        <v>914</v>
      </c>
      <c r="E104" s="4" t="s">
        <v>915</v>
      </c>
      <c r="F104" s="7" t="s">
        <v>916</v>
      </c>
      <c r="G104" s="2" t="s">
        <v>917</v>
      </c>
      <c r="H104" s="2"/>
      <c r="I104" s="2"/>
      <c r="J104" s="2"/>
      <c r="K104" s="2"/>
      <c r="L104" s="2"/>
      <c r="M104" s="2" t="s">
        <v>918</v>
      </c>
      <c r="N104" s="2" t="s">
        <v>919</v>
      </c>
      <c r="O104" s="2" t="s">
        <v>33</v>
      </c>
      <c r="P104" s="2"/>
      <c r="Q104" s="2"/>
      <c r="R104" s="2"/>
      <c r="S104" s="2"/>
      <c r="T104" s="2"/>
      <c r="U104" s="2"/>
      <c r="V104" s="2"/>
      <c r="W104" s="2" t="str">
        <f t="shared" si="3"/>
        <v>Not regulated; any amount limit in internal packages</v>
      </c>
    </row>
    <row r="105" spans="1:23" ht="75">
      <c r="A105" s="10" t="s">
        <v>920</v>
      </c>
      <c r="B105" s="10"/>
      <c r="C105" s="2"/>
      <c r="D105" s="2" t="s">
        <v>921</v>
      </c>
      <c r="E105" s="4" t="s">
        <v>922</v>
      </c>
      <c r="F105" s="2" t="s">
        <v>59</v>
      </c>
      <c r="G105" s="2" t="s">
        <v>923</v>
      </c>
      <c r="H105" s="2"/>
      <c r="I105" s="2"/>
      <c r="J105" s="2"/>
      <c r="K105" s="2"/>
      <c r="L105" s="2"/>
      <c r="M105" s="2" t="s">
        <v>924</v>
      </c>
      <c r="N105" s="2" t="s">
        <v>925</v>
      </c>
      <c r="O105" s="2" t="s">
        <v>926</v>
      </c>
      <c r="P105" s="2"/>
      <c r="Q105" s="2"/>
      <c r="R105" s="2"/>
      <c r="S105" s="2"/>
      <c r="T105" s="2"/>
      <c r="U105" s="2"/>
      <c r="V105" s="2"/>
      <c r="W105" s="2" t="str">
        <f t="shared" si="3"/>
        <v>Not regulated; any amount limit in internal packages</v>
      </c>
    </row>
    <row r="106" spans="1:23" ht="105">
      <c r="A106" s="10" t="s">
        <v>927</v>
      </c>
      <c r="B106" s="10"/>
      <c r="C106" s="2"/>
      <c r="D106" s="2" t="s">
        <v>928</v>
      </c>
      <c r="E106" s="4" t="s">
        <v>929</v>
      </c>
      <c r="F106" s="2"/>
      <c r="G106" s="2" t="s">
        <v>930</v>
      </c>
      <c r="H106" s="2"/>
      <c r="I106" s="2"/>
      <c r="J106" s="2"/>
      <c r="K106" s="2"/>
      <c r="L106" s="2"/>
      <c r="M106" s="2" t="s">
        <v>931</v>
      </c>
      <c r="N106" s="2" t="s">
        <v>932</v>
      </c>
      <c r="O106" s="2" t="s">
        <v>933</v>
      </c>
      <c r="P106" s="2"/>
      <c r="Q106" s="2"/>
      <c r="R106" s="2"/>
      <c r="S106" s="2"/>
      <c r="T106" s="2"/>
      <c r="U106" s="2"/>
      <c r="V106" s="2"/>
      <c r="W106" s="2" t="str">
        <f t="shared" si="3"/>
        <v>Not regulated; any amount limit in internal packages</v>
      </c>
    </row>
    <row r="107" spans="1:23" ht="90">
      <c r="A107" s="10" t="s">
        <v>934</v>
      </c>
      <c r="B107" s="10"/>
      <c r="C107" s="2"/>
      <c r="D107" s="2" t="s">
        <v>935</v>
      </c>
      <c r="E107" s="4" t="s">
        <v>936</v>
      </c>
      <c r="F107" s="2"/>
      <c r="G107" s="2" t="s">
        <v>937</v>
      </c>
      <c r="H107" s="2"/>
      <c r="I107" s="2"/>
      <c r="J107" s="2"/>
      <c r="K107" s="2"/>
      <c r="L107" s="2"/>
      <c r="M107" s="2" t="s">
        <v>938</v>
      </c>
      <c r="N107" s="2" t="s">
        <v>939</v>
      </c>
      <c r="O107" s="2" t="s">
        <v>33</v>
      </c>
      <c r="P107" s="2"/>
      <c r="Q107" s="2"/>
      <c r="R107" s="2"/>
      <c r="S107" s="2"/>
      <c r="T107" s="2"/>
      <c r="U107" s="2"/>
      <c r="V107" s="2"/>
      <c r="W107" s="2" t="str">
        <f t="shared" si="3"/>
        <v>Not regulated; any amount limit in internal packages</v>
      </c>
    </row>
    <row r="108" spans="1:23" ht="75">
      <c r="A108" s="10" t="s">
        <v>940</v>
      </c>
      <c r="B108" s="119"/>
      <c r="C108" s="17"/>
      <c r="D108" s="17" t="s">
        <v>941</v>
      </c>
      <c r="E108" s="4" t="s">
        <v>942</v>
      </c>
      <c r="F108" s="2"/>
      <c r="G108" s="2" t="s">
        <v>943</v>
      </c>
      <c r="H108" s="2"/>
      <c r="I108" s="2"/>
      <c r="J108" s="2"/>
      <c r="K108" s="2"/>
      <c r="L108" s="2"/>
      <c r="M108" s="2" t="s">
        <v>944</v>
      </c>
      <c r="N108" s="2" t="s">
        <v>945</v>
      </c>
      <c r="O108" s="2" t="s">
        <v>33</v>
      </c>
      <c r="P108" s="2"/>
      <c r="Q108" s="2"/>
      <c r="R108" s="2"/>
      <c r="S108" s="2"/>
      <c r="T108" s="2"/>
      <c r="U108" s="2"/>
      <c r="V108" s="2"/>
      <c r="W108" s="2" t="str">
        <f t="shared" si="3"/>
        <v>Not regulated; any amount limit in internal packages</v>
      </c>
    </row>
    <row r="109" spans="1:23" ht="60">
      <c r="A109" s="10" t="s">
        <v>946</v>
      </c>
      <c r="B109" s="10"/>
      <c r="C109" s="2"/>
      <c r="D109" s="2" t="s">
        <v>947</v>
      </c>
      <c r="E109" s="4" t="s">
        <v>948</v>
      </c>
      <c r="F109" s="2"/>
      <c r="G109" s="2" t="s">
        <v>949</v>
      </c>
      <c r="H109" s="2"/>
      <c r="I109" s="2"/>
      <c r="J109" s="2"/>
      <c r="K109" s="2"/>
      <c r="L109" s="2"/>
      <c r="M109" s="2" t="s">
        <v>950</v>
      </c>
      <c r="N109" s="2" t="s">
        <v>951</v>
      </c>
      <c r="O109" s="2" t="s">
        <v>33</v>
      </c>
      <c r="P109" s="2"/>
      <c r="Q109" s="2"/>
      <c r="R109" s="2"/>
      <c r="S109" s="2"/>
      <c r="T109" s="2"/>
      <c r="U109" s="2"/>
      <c r="V109" s="2"/>
      <c r="W109" s="2" t="str">
        <f t="shared" ref="W109:W138" si="4">IF(V109="E0",0,IF(V109="E1",30,IF(V109="E2",30,IF(V109="E3",30,IF(V109="E4",1,IF(V109="E5",1, "Not regulated; any amount limit in internal packages"))))))</f>
        <v>Not regulated; any amount limit in internal packages</v>
      </c>
    </row>
    <row r="110" spans="1:23" ht="75">
      <c r="A110" s="10" t="s">
        <v>952</v>
      </c>
      <c r="B110" s="11"/>
      <c r="C110" s="4"/>
      <c r="D110" s="9" t="s">
        <v>59</v>
      </c>
      <c r="E110" s="4" t="s">
        <v>953</v>
      </c>
      <c r="F110" s="2"/>
      <c r="G110" s="2" t="s">
        <v>59</v>
      </c>
      <c r="H110" s="9" t="s">
        <v>59</v>
      </c>
      <c r="I110" s="2"/>
      <c r="J110" s="2"/>
      <c r="K110" s="2"/>
      <c r="L110" s="2"/>
      <c r="M110" s="2" t="s">
        <v>59</v>
      </c>
      <c r="N110" s="2" t="s">
        <v>59</v>
      </c>
      <c r="O110" s="9" t="s">
        <v>59</v>
      </c>
      <c r="P110" s="2"/>
      <c r="Q110" s="2"/>
      <c r="R110" s="2"/>
      <c r="S110" s="2"/>
      <c r="T110" s="2"/>
      <c r="U110" s="2"/>
      <c r="V110" s="2"/>
      <c r="W110" s="2" t="str">
        <f t="shared" si="4"/>
        <v>Not regulated; any amount limit in internal packages</v>
      </c>
    </row>
    <row r="111" spans="1:23" ht="45">
      <c r="A111" s="10" t="s">
        <v>954</v>
      </c>
      <c r="B111" s="10"/>
      <c r="C111" s="2"/>
      <c r="D111" s="2" t="s">
        <v>955</v>
      </c>
      <c r="E111" s="4" t="s">
        <v>956</v>
      </c>
      <c r="F111" s="2" t="s">
        <v>957</v>
      </c>
      <c r="G111" s="2" t="s">
        <v>958</v>
      </c>
      <c r="H111" s="2"/>
      <c r="I111" s="2"/>
      <c r="J111" s="2"/>
      <c r="K111" s="2"/>
      <c r="L111" s="2"/>
      <c r="M111" s="2" t="s">
        <v>959</v>
      </c>
      <c r="N111" s="2" t="s">
        <v>960</v>
      </c>
      <c r="O111" s="2" t="s">
        <v>33</v>
      </c>
      <c r="P111" s="2"/>
      <c r="Q111" s="2"/>
      <c r="R111" s="2"/>
      <c r="S111" s="2"/>
      <c r="T111" s="2"/>
      <c r="U111" s="2"/>
      <c r="V111" s="2"/>
      <c r="W111" s="2" t="str">
        <f t="shared" si="4"/>
        <v>Not regulated; any amount limit in internal packages</v>
      </c>
    </row>
    <row r="112" spans="1:23" ht="44.45" customHeight="1">
      <c r="A112" s="10" t="s">
        <v>961</v>
      </c>
      <c r="B112" s="10"/>
      <c r="C112" s="2"/>
      <c r="D112" s="2" t="s">
        <v>962</v>
      </c>
      <c r="E112" s="4" t="s">
        <v>963</v>
      </c>
      <c r="F112" s="2"/>
      <c r="G112" s="2" t="s">
        <v>964</v>
      </c>
      <c r="H112" s="2"/>
      <c r="I112" s="2"/>
      <c r="J112" s="2"/>
      <c r="K112" s="2"/>
      <c r="L112" s="2"/>
      <c r="M112" s="2" t="s">
        <v>965</v>
      </c>
      <c r="N112" s="2" t="s">
        <v>966</v>
      </c>
      <c r="O112" s="22" t="s">
        <v>967</v>
      </c>
      <c r="P112" s="2"/>
      <c r="Q112" s="2"/>
      <c r="R112" s="2"/>
      <c r="S112" s="2"/>
      <c r="T112" s="2"/>
      <c r="U112" s="2"/>
      <c r="V112" s="2"/>
      <c r="W112" s="2" t="str">
        <f t="shared" si="4"/>
        <v>Not regulated; any amount limit in internal packages</v>
      </c>
    </row>
    <row r="113" spans="1:23" ht="75">
      <c r="A113" s="10" t="s">
        <v>968</v>
      </c>
      <c r="B113" s="10"/>
      <c r="C113" s="2"/>
      <c r="D113" s="2" t="s">
        <v>969</v>
      </c>
      <c r="E113" s="4" t="s">
        <v>970</v>
      </c>
      <c r="F113" s="2" t="s">
        <v>971</v>
      </c>
      <c r="G113" s="2" t="s">
        <v>972</v>
      </c>
      <c r="H113" s="2"/>
      <c r="I113" s="2"/>
      <c r="J113" s="2"/>
      <c r="K113" s="2"/>
      <c r="L113" s="2"/>
      <c r="M113" s="2" t="s">
        <v>973</v>
      </c>
      <c r="N113" s="2" t="s">
        <v>974</v>
      </c>
      <c r="O113" s="2" t="s">
        <v>33</v>
      </c>
      <c r="P113" s="2"/>
      <c r="Q113" s="2"/>
      <c r="R113" s="2"/>
      <c r="S113" s="2"/>
      <c r="T113" s="2"/>
      <c r="U113" s="2"/>
      <c r="V113" s="2"/>
      <c r="W113" s="2" t="str">
        <f t="shared" si="4"/>
        <v>Not regulated; any amount limit in internal packages</v>
      </c>
    </row>
    <row r="114" spans="1:23" ht="75">
      <c r="A114" s="10" t="s">
        <v>975</v>
      </c>
      <c r="B114" s="10"/>
      <c r="C114" s="2"/>
      <c r="D114" s="2" t="s">
        <v>976</v>
      </c>
      <c r="E114" s="4" t="s">
        <v>977</v>
      </c>
      <c r="F114" s="2" t="s">
        <v>978</v>
      </c>
      <c r="G114" s="2" t="s">
        <v>979</v>
      </c>
      <c r="H114" s="2"/>
      <c r="I114" s="2"/>
      <c r="J114" s="2"/>
      <c r="K114" s="2"/>
      <c r="L114" s="2"/>
      <c r="M114" s="2" t="s">
        <v>980</v>
      </c>
      <c r="N114" s="2" t="s">
        <v>981</v>
      </c>
      <c r="O114" s="2" t="s">
        <v>33</v>
      </c>
      <c r="P114" s="2"/>
      <c r="Q114" s="2"/>
      <c r="R114" s="2"/>
      <c r="S114" s="2"/>
      <c r="T114" s="2"/>
      <c r="U114" s="2"/>
      <c r="V114" s="2"/>
      <c r="W114" s="2" t="str">
        <f t="shared" si="4"/>
        <v>Not regulated; any amount limit in internal packages</v>
      </c>
    </row>
    <row r="115" spans="1:23" ht="60">
      <c r="A115" s="10" t="s">
        <v>982</v>
      </c>
      <c r="B115" s="10"/>
      <c r="C115" s="2"/>
      <c r="D115" s="2" t="s">
        <v>983</v>
      </c>
      <c r="E115" s="4" t="s">
        <v>984</v>
      </c>
      <c r="F115" s="2"/>
      <c r="G115" s="2" t="s">
        <v>985</v>
      </c>
      <c r="H115" s="2"/>
      <c r="I115" s="2">
        <v>3278</v>
      </c>
      <c r="J115" s="2">
        <v>6.1</v>
      </c>
      <c r="K115" s="2" t="s">
        <v>45</v>
      </c>
      <c r="L115" s="2" t="s">
        <v>986</v>
      </c>
      <c r="M115" s="2" t="s">
        <v>987</v>
      </c>
      <c r="N115" s="2" t="s">
        <v>966</v>
      </c>
      <c r="O115" s="22" t="s">
        <v>295</v>
      </c>
      <c r="P115" s="2"/>
      <c r="Q115" s="2"/>
      <c r="R115" s="2"/>
      <c r="S115" s="2"/>
      <c r="T115" s="2"/>
      <c r="U115" s="2"/>
      <c r="V115" s="2" t="s">
        <v>818</v>
      </c>
      <c r="W115" s="2">
        <f t="shared" si="4"/>
        <v>1</v>
      </c>
    </row>
    <row r="116" spans="1:23" ht="255">
      <c r="A116" s="10" t="s">
        <v>988</v>
      </c>
      <c r="B116" s="10"/>
      <c r="C116" s="2"/>
      <c r="D116" s="2" t="s">
        <v>989</v>
      </c>
      <c r="E116" s="4" t="s">
        <v>990</v>
      </c>
      <c r="F116" s="2"/>
      <c r="G116" s="2" t="s">
        <v>991</v>
      </c>
      <c r="H116" s="2"/>
      <c r="I116" s="2"/>
      <c r="J116" s="2"/>
      <c r="K116" s="2"/>
      <c r="L116" s="2"/>
      <c r="M116" s="2" t="s">
        <v>992</v>
      </c>
      <c r="N116" s="2" t="s">
        <v>993</v>
      </c>
      <c r="O116" s="2" t="s">
        <v>33</v>
      </c>
      <c r="P116" s="2"/>
      <c r="Q116" s="2"/>
      <c r="R116" s="2"/>
      <c r="S116" s="2"/>
      <c r="T116" s="2"/>
      <c r="U116" s="2"/>
      <c r="V116" s="2"/>
      <c r="W116" s="2" t="str">
        <f t="shared" si="4"/>
        <v>Not regulated; any amount limit in internal packages</v>
      </c>
    </row>
    <row r="117" spans="1:23" ht="75">
      <c r="A117" s="10" t="s">
        <v>994</v>
      </c>
      <c r="B117" s="10"/>
      <c r="C117" s="2"/>
      <c r="D117" s="2" t="s">
        <v>995</v>
      </c>
      <c r="E117" s="4" t="s">
        <v>996</v>
      </c>
      <c r="F117" s="2"/>
      <c r="G117" s="2" t="s">
        <v>997</v>
      </c>
      <c r="H117" s="2"/>
      <c r="I117" s="2"/>
      <c r="J117" s="2"/>
      <c r="K117" s="2"/>
      <c r="L117" s="2"/>
      <c r="M117" s="2" t="s">
        <v>998</v>
      </c>
      <c r="N117" s="2" t="s">
        <v>999</v>
      </c>
      <c r="O117" s="2" t="s">
        <v>33</v>
      </c>
      <c r="P117" s="2"/>
      <c r="Q117" s="2"/>
      <c r="R117" s="2"/>
      <c r="S117" s="2"/>
      <c r="T117" s="2"/>
      <c r="U117" s="2"/>
      <c r="V117" s="2"/>
      <c r="W117" s="2" t="str">
        <f t="shared" si="4"/>
        <v>Not regulated; any amount limit in internal packages</v>
      </c>
    </row>
    <row r="118" spans="1:23" ht="75">
      <c r="A118" s="10" t="s">
        <v>1000</v>
      </c>
      <c r="B118" s="10"/>
      <c r="C118" s="2"/>
      <c r="D118" s="2" t="s">
        <v>1001</v>
      </c>
      <c r="E118" s="4" t="s">
        <v>1002</v>
      </c>
      <c r="F118" s="2" t="s">
        <v>890</v>
      </c>
      <c r="G118" s="2" t="s">
        <v>1003</v>
      </c>
      <c r="H118" s="2"/>
      <c r="I118" s="2"/>
      <c r="J118" s="2"/>
      <c r="K118" s="2"/>
      <c r="L118" s="2"/>
      <c r="M118" s="2" t="s">
        <v>1004</v>
      </c>
      <c r="N118" s="2" t="s">
        <v>1005</v>
      </c>
      <c r="O118" s="22" t="s">
        <v>295</v>
      </c>
      <c r="P118" s="2"/>
      <c r="Q118" s="2"/>
      <c r="R118" s="2"/>
      <c r="S118" s="2"/>
      <c r="T118" s="2"/>
      <c r="U118" s="2"/>
      <c r="V118" s="2"/>
      <c r="W118" s="2" t="str">
        <f t="shared" si="4"/>
        <v>Not regulated; any amount limit in internal packages</v>
      </c>
    </row>
    <row r="119" spans="1:23" ht="105">
      <c r="A119" s="10" t="s">
        <v>1006</v>
      </c>
      <c r="B119" s="10"/>
      <c r="C119" s="2"/>
      <c r="D119" s="2" t="s">
        <v>1007</v>
      </c>
      <c r="E119" s="4" t="s">
        <v>1008</v>
      </c>
      <c r="F119" s="2" t="s">
        <v>957</v>
      </c>
      <c r="G119" s="2" t="s">
        <v>1009</v>
      </c>
      <c r="H119" s="2"/>
      <c r="I119" s="2"/>
      <c r="J119" s="2"/>
      <c r="K119" s="2"/>
      <c r="L119" s="2"/>
      <c r="M119" s="2" t="s">
        <v>1010</v>
      </c>
      <c r="N119" s="2" t="s">
        <v>1011</v>
      </c>
      <c r="O119" s="2" t="s">
        <v>33</v>
      </c>
      <c r="P119" s="2"/>
      <c r="Q119" s="2"/>
      <c r="R119" s="2"/>
      <c r="S119" s="2"/>
      <c r="T119" s="2"/>
      <c r="U119" s="2"/>
      <c r="V119" s="2"/>
      <c r="W119" s="2" t="str">
        <f t="shared" si="4"/>
        <v>Not regulated; any amount limit in internal packages</v>
      </c>
    </row>
    <row r="120" spans="1:23" ht="105">
      <c r="A120" s="10" t="s">
        <v>1012</v>
      </c>
      <c r="B120" s="10"/>
      <c r="C120" s="2"/>
      <c r="D120" s="2" t="s">
        <v>1013</v>
      </c>
      <c r="E120" s="4" t="s">
        <v>1014</v>
      </c>
      <c r="F120" s="2"/>
      <c r="G120" s="2" t="s">
        <v>1015</v>
      </c>
      <c r="H120" s="2"/>
      <c r="I120" s="2"/>
      <c r="J120" s="2"/>
      <c r="K120" s="2"/>
      <c r="L120" s="2"/>
      <c r="M120" s="2" t="s">
        <v>1016</v>
      </c>
      <c r="N120" s="2" t="s">
        <v>1017</v>
      </c>
      <c r="O120" s="2" t="s">
        <v>1018</v>
      </c>
      <c r="P120" s="2"/>
      <c r="Q120" s="2"/>
      <c r="R120" s="2"/>
      <c r="S120" s="2"/>
      <c r="T120" s="2"/>
      <c r="U120" s="2"/>
      <c r="V120" s="2"/>
      <c r="W120" s="2" t="str">
        <f t="shared" si="4"/>
        <v>Not regulated; any amount limit in internal packages</v>
      </c>
    </row>
    <row r="121" spans="1:23" ht="75">
      <c r="A121" s="10" t="s">
        <v>1019</v>
      </c>
      <c r="B121" s="10"/>
      <c r="C121" s="2"/>
      <c r="D121" s="2" t="s">
        <v>1020</v>
      </c>
      <c r="E121" s="4" t="s">
        <v>1021</v>
      </c>
      <c r="F121" s="2"/>
      <c r="G121" s="2" t="s">
        <v>1022</v>
      </c>
      <c r="H121" s="2"/>
      <c r="I121" s="2"/>
      <c r="J121" s="2"/>
      <c r="K121" s="2"/>
      <c r="L121" s="2"/>
      <c r="M121" s="2" t="s">
        <v>1023</v>
      </c>
      <c r="N121" s="2" t="s">
        <v>1024</v>
      </c>
      <c r="O121" s="2" t="s">
        <v>33</v>
      </c>
      <c r="P121" s="2"/>
      <c r="Q121" s="2"/>
      <c r="R121" s="2" t="s">
        <v>1025</v>
      </c>
      <c r="S121" s="2"/>
      <c r="T121" s="2"/>
      <c r="U121" s="2"/>
      <c r="V121" s="2"/>
      <c r="W121" s="2" t="str">
        <f t="shared" si="4"/>
        <v>Not regulated; any amount limit in internal packages</v>
      </c>
    </row>
    <row r="122" spans="1:23" ht="45">
      <c r="A122" s="10" t="s">
        <v>1026</v>
      </c>
      <c r="B122" s="120"/>
      <c r="C122" s="18"/>
      <c r="D122" s="18" t="s">
        <v>1027</v>
      </c>
      <c r="E122" s="4" t="s">
        <v>1028</v>
      </c>
      <c r="F122" s="2" t="s">
        <v>957</v>
      </c>
      <c r="G122" s="2" t="s">
        <v>1029</v>
      </c>
      <c r="H122" s="2"/>
      <c r="I122" s="2"/>
      <c r="J122" s="2"/>
      <c r="K122" s="2"/>
      <c r="L122" s="2"/>
      <c r="M122" s="2" t="s">
        <v>1030</v>
      </c>
      <c r="N122" s="2" t="s">
        <v>1031</v>
      </c>
      <c r="O122" s="2" t="s">
        <v>33</v>
      </c>
      <c r="P122" s="2"/>
      <c r="Q122" s="2"/>
      <c r="R122" s="2"/>
      <c r="S122" s="2"/>
      <c r="T122" s="2"/>
      <c r="U122" s="2"/>
      <c r="V122" s="2"/>
      <c r="W122" s="2" t="str">
        <f t="shared" si="4"/>
        <v>Not regulated; any amount limit in internal packages</v>
      </c>
    </row>
    <row r="123" spans="1:23" ht="75">
      <c r="A123" s="10" t="s">
        <v>1032</v>
      </c>
      <c r="B123" s="10"/>
      <c r="C123" s="2"/>
      <c r="D123" s="2" t="s">
        <v>1033</v>
      </c>
      <c r="E123" s="4" t="s">
        <v>1034</v>
      </c>
      <c r="F123" s="2"/>
      <c r="G123" s="2" t="s">
        <v>1035</v>
      </c>
      <c r="H123" s="2"/>
      <c r="I123" s="2"/>
      <c r="J123" s="2"/>
      <c r="K123" s="2"/>
      <c r="L123" s="2"/>
      <c r="M123" s="2" t="s">
        <v>1036</v>
      </c>
      <c r="N123" s="2" t="s">
        <v>1037</v>
      </c>
      <c r="O123" s="22" t="s">
        <v>295</v>
      </c>
      <c r="P123" s="2"/>
      <c r="Q123" s="2"/>
      <c r="R123" s="2"/>
      <c r="S123" s="2"/>
      <c r="T123" s="2"/>
      <c r="U123" s="2"/>
      <c r="V123" s="2"/>
      <c r="W123" s="2" t="str">
        <f t="shared" si="4"/>
        <v>Not regulated; any amount limit in internal packages</v>
      </c>
    </row>
    <row r="124" spans="1:23" ht="105">
      <c r="A124" s="10" t="s">
        <v>1038</v>
      </c>
      <c r="B124" s="10"/>
      <c r="C124" s="2"/>
      <c r="D124" s="2" t="s">
        <v>1039</v>
      </c>
      <c r="E124" s="4" t="s">
        <v>1040</v>
      </c>
      <c r="F124" s="2"/>
      <c r="G124" s="2" t="s">
        <v>1041</v>
      </c>
      <c r="H124" s="2"/>
      <c r="I124" s="2"/>
      <c r="J124" s="2"/>
      <c r="K124" s="2"/>
      <c r="L124" s="2"/>
      <c r="M124" s="2" t="s">
        <v>1042</v>
      </c>
      <c r="N124" s="2" t="s">
        <v>1043</v>
      </c>
      <c r="O124" s="2" t="s">
        <v>33</v>
      </c>
      <c r="P124" s="2"/>
      <c r="Q124" s="2"/>
      <c r="R124" s="2"/>
      <c r="S124" s="2"/>
      <c r="T124" s="2"/>
      <c r="U124" s="2"/>
      <c r="V124" s="2"/>
      <c r="W124" s="2" t="str">
        <f t="shared" si="4"/>
        <v>Not regulated; any amount limit in internal packages</v>
      </c>
    </row>
    <row r="125" spans="1:23" ht="75">
      <c r="A125" s="10" t="s">
        <v>1044</v>
      </c>
      <c r="B125" s="10"/>
      <c r="C125" s="2"/>
      <c r="D125" s="2" t="s">
        <v>1045</v>
      </c>
      <c r="E125" s="4" t="s">
        <v>1046</v>
      </c>
      <c r="F125" s="2" t="s">
        <v>957</v>
      </c>
      <c r="G125" s="2" t="s">
        <v>44</v>
      </c>
      <c r="H125" s="2"/>
      <c r="I125" s="2"/>
      <c r="J125" s="2"/>
      <c r="K125" s="2"/>
      <c r="L125" s="2"/>
      <c r="M125" s="2" t="s">
        <v>1047</v>
      </c>
      <c r="N125" s="2" t="s">
        <v>59</v>
      </c>
      <c r="O125" s="2" t="s">
        <v>33</v>
      </c>
      <c r="P125" s="2"/>
      <c r="Q125" s="2"/>
      <c r="R125" s="2"/>
      <c r="S125" s="2"/>
      <c r="T125" s="2"/>
      <c r="U125" s="2"/>
      <c r="V125" s="2"/>
      <c r="W125" s="2" t="str">
        <f t="shared" si="4"/>
        <v>Not regulated; any amount limit in internal packages</v>
      </c>
    </row>
    <row r="126" spans="1:23" ht="60">
      <c r="A126" s="10" t="s">
        <v>1048</v>
      </c>
      <c r="B126" s="10"/>
      <c r="C126" s="2"/>
      <c r="D126" s="2" t="s">
        <v>1049</v>
      </c>
      <c r="E126" s="4" t="s">
        <v>1050</v>
      </c>
      <c r="F126" s="2" t="s">
        <v>1051</v>
      </c>
      <c r="G126" s="2" t="s">
        <v>1052</v>
      </c>
      <c r="H126" s="2"/>
      <c r="I126" s="2"/>
      <c r="J126" s="2"/>
      <c r="K126" s="2"/>
      <c r="L126" s="2"/>
      <c r="M126" s="2" t="s">
        <v>1053</v>
      </c>
      <c r="N126" s="2" t="s">
        <v>59</v>
      </c>
      <c r="O126" s="2" t="s">
        <v>33</v>
      </c>
      <c r="P126" s="2"/>
      <c r="Q126" s="2"/>
      <c r="R126" s="22" t="s">
        <v>1054</v>
      </c>
      <c r="S126" s="2"/>
      <c r="T126" s="2"/>
      <c r="U126" s="2"/>
      <c r="V126" s="2"/>
      <c r="W126" s="2" t="str">
        <f t="shared" si="4"/>
        <v>Not regulated; any amount limit in internal packages</v>
      </c>
    </row>
    <row r="127" spans="1:23" ht="60">
      <c r="A127" s="10" t="s">
        <v>1055</v>
      </c>
      <c r="B127" s="10"/>
      <c r="C127" s="2"/>
      <c r="D127" s="2" t="s">
        <v>1056</v>
      </c>
      <c r="E127" s="4" t="s">
        <v>1057</v>
      </c>
      <c r="F127" s="2"/>
      <c r="G127" s="2" t="s">
        <v>1058</v>
      </c>
      <c r="H127" s="2"/>
      <c r="I127" s="2"/>
      <c r="J127" s="2"/>
      <c r="K127" s="2"/>
      <c r="L127" s="2"/>
      <c r="M127" s="2" t="s">
        <v>1059</v>
      </c>
      <c r="N127" s="2" t="s">
        <v>1060</v>
      </c>
      <c r="O127" s="2" t="s">
        <v>33</v>
      </c>
      <c r="P127" s="2"/>
      <c r="Q127" s="2"/>
      <c r="R127" s="2"/>
      <c r="S127" s="2"/>
      <c r="T127" s="2"/>
      <c r="U127" s="2"/>
      <c r="V127" s="2"/>
      <c r="W127" s="2" t="str">
        <f t="shared" si="4"/>
        <v>Not regulated; any amount limit in internal packages</v>
      </c>
    </row>
    <row r="128" spans="1:23" ht="60">
      <c r="A128" s="10" t="s">
        <v>1061</v>
      </c>
      <c r="B128" s="10"/>
      <c r="C128" s="2"/>
      <c r="D128" s="2" t="s">
        <v>1062</v>
      </c>
      <c r="E128" s="4" t="s">
        <v>1063</v>
      </c>
      <c r="F128" s="2" t="s">
        <v>1064</v>
      </c>
      <c r="G128" s="2" t="s">
        <v>1065</v>
      </c>
      <c r="H128" s="2"/>
      <c r="I128" s="2"/>
      <c r="J128" s="2"/>
      <c r="K128" s="2"/>
      <c r="L128" s="2"/>
      <c r="M128" s="2" t="s">
        <v>1066</v>
      </c>
      <c r="N128" s="2" t="s">
        <v>1067</v>
      </c>
      <c r="O128" s="2" t="s">
        <v>33</v>
      </c>
      <c r="P128" s="2"/>
      <c r="Q128" s="2"/>
      <c r="R128" s="2"/>
      <c r="S128" s="2"/>
      <c r="T128" s="2"/>
      <c r="U128" s="2"/>
      <c r="V128" s="2"/>
      <c r="W128" s="2" t="str">
        <f t="shared" si="4"/>
        <v>Not regulated; any amount limit in internal packages</v>
      </c>
    </row>
    <row r="129" spans="1:23" ht="75">
      <c r="A129" s="10" t="s">
        <v>1068</v>
      </c>
      <c r="B129" s="10"/>
      <c r="C129" s="2"/>
      <c r="D129" s="2" t="s">
        <v>1069</v>
      </c>
      <c r="E129" s="4" t="s">
        <v>1070</v>
      </c>
      <c r="F129" s="2"/>
      <c r="G129" s="2" t="s">
        <v>1071</v>
      </c>
      <c r="H129" s="2"/>
      <c r="I129" s="2"/>
      <c r="J129" s="2"/>
      <c r="K129" s="2"/>
      <c r="L129" s="2"/>
      <c r="M129" s="2" t="s">
        <v>1072</v>
      </c>
      <c r="N129" s="2" t="s">
        <v>1073</v>
      </c>
      <c r="O129" s="2" t="s">
        <v>33</v>
      </c>
      <c r="P129" s="2"/>
      <c r="Q129" s="2"/>
      <c r="R129" s="2"/>
      <c r="S129" s="2"/>
      <c r="T129" s="2"/>
      <c r="U129" s="2"/>
      <c r="V129" s="2"/>
      <c r="W129" s="2" t="str">
        <f t="shared" si="4"/>
        <v>Not regulated; any amount limit in internal packages</v>
      </c>
    </row>
    <row r="130" spans="1:23" ht="105">
      <c r="A130" s="10" t="s">
        <v>1074</v>
      </c>
      <c r="B130" s="10"/>
      <c r="C130" s="2"/>
      <c r="D130" s="2" t="s">
        <v>1075</v>
      </c>
      <c r="E130" s="4" t="s">
        <v>1076</v>
      </c>
      <c r="F130" s="2"/>
      <c r="G130" s="2" t="s">
        <v>1077</v>
      </c>
      <c r="H130" s="2"/>
      <c r="I130" s="2"/>
      <c r="J130" s="2"/>
      <c r="K130" s="2"/>
      <c r="L130" s="2"/>
      <c r="M130" s="2" t="s">
        <v>1078</v>
      </c>
      <c r="N130" s="2" t="s">
        <v>1079</v>
      </c>
      <c r="O130" s="2" t="s">
        <v>33</v>
      </c>
      <c r="P130" s="2"/>
      <c r="Q130" s="2"/>
      <c r="R130" s="2"/>
      <c r="S130" s="2"/>
      <c r="T130" s="2"/>
      <c r="U130" s="2"/>
      <c r="V130" s="2"/>
      <c r="W130" s="2" t="str">
        <f t="shared" si="4"/>
        <v>Not regulated; any amount limit in internal packages</v>
      </c>
    </row>
    <row r="131" spans="1:23" ht="90">
      <c r="A131" s="10" t="s">
        <v>1080</v>
      </c>
      <c r="B131" s="10"/>
      <c r="C131" s="2"/>
      <c r="D131" s="2" t="s">
        <v>1081</v>
      </c>
      <c r="E131" s="20" t="s">
        <v>1082</v>
      </c>
      <c r="F131" s="2"/>
      <c r="G131" s="2" t="s">
        <v>1083</v>
      </c>
      <c r="H131" s="2"/>
      <c r="I131" s="2"/>
      <c r="J131" s="2"/>
      <c r="K131" s="2"/>
      <c r="L131" s="2"/>
      <c r="M131" s="2" t="s">
        <v>1084</v>
      </c>
      <c r="N131" s="2" t="s">
        <v>1085</v>
      </c>
      <c r="O131" s="2" t="s">
        <v>1086</v>
      </c>
      <c r="P131" s="2"/>
      <c r="Q131" s="2"/>
      <c r="R131" s="2"/>
      <c r="S131" s="2"/>
      <c r="T131" s="2"/>
      <c r="U131" s="2"/>
      <c r="V131" s="2"/>
      <c r="W131" s="2" t="str">
        <f t="shared" si="4"/>
        <v>Not regulated; any amount limit in internal packages</v>
      </c>
    </row>
    <row r="132" spans="1:23" ht="75">
      <c r="A132" s="10" t="s">
        <v>1087</v>
      </c>
      <c r="B132" s="10"/>
      <c r="C132" s="2"/>
      <c r="D132" s="2" t="s">
        <v>1088</v>
      </c>
      <c r="E132" s="4" t="s">
        <v>1089</v>
      </c>
      <c r="F132" s="2" t="s">
        <v>957</v>
      </c>
      <c r="G132" s="2" t="s">
        <v>1090</v>
      </c>
      <c r="H132" s="2"/>
      <c r="I132" s="2"/>
      <c r="J132" s="2"/>
      <c r="K132" s="2"/>
      <c r="L132" s="2"/>
      <c r="M132" s="2" t="s">
        <v>1091</v>
      </c>
      <c r="N132" s="2" t="s">
        <v>1092</v>
      </c>
      <c r="O132" s="2" t="s">
        <v>33</v>
      </c>
      <c r="P132" s="2"/>
      <c r="Q132" s="2"/>
      <c r="R132" s="2"/>
      <c r="S132" s="2"/>
      <c r="T132" s="2"/>
      <c r="U132" s="2"/>
      <c r="V132" s="2"/>
      <c r="W132" s="2" t="str">
        <f t="shared" si="4"/>
        <v>Not regulated; any amount limit in internal packages</v>
      </c>
    </row>
    <row r="133" spans="1:23" ht="75">
      <c r="A133" s="10" t="s">
        <v>1093</v>
      </c>
      <c r="B133" s="10"/>
      <c r="C133" s="2"/>
      <c r="D133" s="2" t="s">
        <v>1094</v>
      </c>
      <c r="E133" s="4" t="s">
        <v>1095</v>
      </c>
      <c r="F133" s="2" t="s">
        <v>1096</v>
      </c>
      <c r="G133" s="2" t="s">
        <v>1097</v>
      </c>
      <c r="H133" s="2"/>
      <c r="I133" s="2"/>
      <c r="J133" s="2"/>
      <c r="K133" s="2"/>
      <c r="L133" s="2"/>
      <c r="M133" s="2" t="s">
        <v>1098</v>
      </c>
      <c r="N133" s="2" t="s">
        <v>1099</v>
      </c>
      <c r="O133" s="2" t="s">
        <v>33</v>
      </c>
      <c r="P133" s="2"/>
      <c r="Q133" s="2"/>
      <c r="R133" s="2"/>
      <c r="S133" s="2"/>
      <c r="T133" s="2"/>
      <c r="U133" s="2"/>
      <c r="V133" s="2"/>
      <c r="W133" s="2" t="str">
        <f t="shared" si="4"/>
        <v>Not regulated; any amount limit in internal packages</v>
      </c>
    </row>
    <row r="134" spans="1:23" ht="45">
      <c r="A134" s="10" t="s">
        <v>1100</v>
      </c>
      <c r="B134" s="118"/>
      <c r="C134" s="13"/>
      <c r="D134" s="13" t="s">
        <v>1101</v>
      </c>
      <c r="E134" s="4" t="s">
        <v>1102</v>
      </c>
      <c r="F134" s="2"/>
      <c r="G134" s="2" t="s">
        <v>1103</v>
      </c>
      <c r="H134" s="2"/>
      <c r="I134" s="2">
        <v>2810</v>
      </c>
      <c r="J134" s="2">
        <v>6.1</v>
      </c>
      <c r="K134" s="2" t="s">
        <v>31</v>
      </c>
      <c r="L134" s="2" t="s">
        <v>1104</v>
      </c>
      <c r="M134" s="2" t="s">
        <v>1105</v>
      </c>
      <c r="N134" s="2" t="s">
        <v>59</v>
      </c>
      <c r="O134" s="22" t="s">
        <v>1106</v>
      </c>
      <c r="P134" s="2"/>
      <c r="Q134" s="2"/>
      <c r="R134" s="2"/>
      <c r="S134" s="2"/>
      <c r="T134" s="2"/>
      <c r="U134" s="2"/>
      <c r="V134" s="2" t="s">
        <v>38</v>
      </c>
      <c r="W134" s="2">
        <f t="shared" si="4"/>
        <v>30</v>
      </c>
    </row>
    <row r="135" spans="1:23" ht="109.5" customHeight="1">
      <c r="A135" s="10" t="s">
        <v>1107</v>
      </c>
      <c r="B135" s="10"/>
      <c r="C135" s="2"/>
      <c r="D135" s="2" t="s">
        <v>1108</v>
      </c>
      <c r="E135" s="4" t="s">
        <v>1109</v>
      </c>
      <c r="F135" s="2" t="s">
        <v>1110</v>
      </c>
      <c r="G135" s="2" t="s">
        <v>1111</v>
      </c>
      <c r="H135" s="2"/>
      <c r="I135" s="2"/>
      <c r="J135" s="2"/>
      <c r="K135" s="2"/>
      <c r="L135" s="2"/>
      <c r="M135" s="2" t="s">
        <v>1112</v>
      </c>
      <c r="N135" s="2" t="s">
        <v>1113</v>
      </c>
      <c r="O135" s="2" t="s">
        <v>33</v>
      </c>
      <c r="P135" s="2"/>
      <c r="Q135" s="2"/>
      <c r="R135" s="2"/>
      <c r="S135" s="2"/>
      <c r="T135" s="2"/>
      <c r="U135" s="2"/>
      <c r="V135" s="2"/>
      <c r="W135" s="2" t="str">
        <f t="shared" si="4"/>
        <v>Not regulated; any amount limit in internal packages</v>
      </c>
    </row>
    <row r="136" spans="1:23" ht="75">
      <c r="A136" s="10" t="s">
        <v>1114</v>
      </c>
      <c r="B136" s="10"/>
      <c r="C136" s="2"/>
      <c r="D136" s="2" t="s">
        <v>1115</v>
      </c>
      <c r="E136" s="4" t="s">
        <v>1116</v>
      </c>
      <c r="F136" s="2"/>
      <c r="G136" s="2" t="s">
        <v>636</v>
      </c>
      <c r="H136" s="2"/>
      <c r="I136" s="2"/>
      <c r="J136" s="2"/>
      <c r="K136" s="2"/>
      <c r="L136" s="2"/>
      <c r="M136" s="2" t="s">
        <v>1117</v>
      </c>
      <c r="N136" s="2" t="s">
        <v>1118</v>
      </c>
      <c r="O136" s="2" t="s">
        <v>1119</v>
      </c>
      <c r="P136" s="2"/>
      <c r="Q136" s="2"/>
      <c r="R136" s="2"/>
      <c r="S136" s="2"/>
      <c r="T136" s="2"/>
      <c r="U136" s="2"/>
      <c r="V136" s="2"/>
      <c r="W136" s="2" t="str">
        <f t="shared" si="4"/>
        <v>Not regulated; any amount limit in internal packages</v>
      </c>
    </row>
    <row r="137" spans="1:23" ht="105">
      <c r="A137" s="10" t="s">
        <v>1120</v>
      </c>
      <c r="B137" s="10"/>
      <c r="C137" s="2"/>
      <c r="D137" s="2" t="s">
        <v>1121</v>
      </c>
      <c r="E137" s="4" t="s">
        <v>1122</v>
      </c>
      <c r="F137" s="2" t="s">
        <v>957</v>
      </c>
      <c r="G137" s="2" t="s">
        <v>1123</v>
      </c>
      <c r="H137" s="2"/>
      <c r="I137" s="2"/>
      <c r="J137" s="2"/>
      <c r="K137" s="2"/>
      <c r="L137" s="2"/>
      <c r="M137" s="2" t="s">
        <v>1124</v>
      </c>
      <c r="N137" s="2" t="s">
        <v>1125</v>
      </c>
      <c r="O137" s="22" t="s">
        <v>295</v>
      </c>
      <c r="P137" s="2"/>
      <c r="Q137" s="2"/>
      <c r="R137" s="2"/>
      <c r="S137" s="2"/>
      <c r="T137" s="2"/>
      <c r="U137" s="2"/>
      <c r="V137" s="2"/>
      <c r="W137" s="2" t="str">
        <f t="shared" si="4"/>
        <v>Not regulated; any amount limit in internal packages</v>
      </c>
    </row>
    <row r="138" spans="1:23" ht="105">
      <c r="A138" s="10" t="s">
        <v>1126</v>
      </c>
      <c r="B138" s="118"/>
      <c r="C138" s="13"/>
      <c r="D138" s="13" t="s">
        <v>1127</v>
      </c>
      <c r="E138" s="4" t="s">
        <v>1128</v>
      </c>
      <c r="F138" s="2" t="s">
        <v>1129</v>
      </c>
      <c r="G138" s="2" t="s">
        <v>1130</v>
      </c>
      <c r="H138" s="2"/>
      <c r="I138" s="2"/>
      <c r="J138" s="2"/>
      <c r="K138" s="2"/>
      <c r="L138" s="2"/>
      <c r="M138" s="2" t="s">
        <v>1131</v>
      </c>
      <c r="N138" s="2" t="s">
        <v>1132</v>
      </c>
      <c r="O138" s="2" t="s">
        <v>33</v>
      </c>
      <c r="P138" s="2"/>
      <c r="Q138" s="2"/>
      <c r="R138" s="2"/>
      <c r="S138" s="2"/>
      <c r="T138" s="2"/>
      <c r="U138" s="2"/>
      <c r="V138" s="2"/>
      <c r="W138" s="2" t="str">
        <f t="shared" si="4"/>
        <v>Not regulated; any amount limit in internal packages</v>
      </c>
    </row>
    <row r="139" spans="1:23" ht="45">
      <c r="A139" s="10" t="s">
        <v>1133</v>
      </c>
      <c r="B139" s="118"/>
      <c r="C139" s="13"/>
      <c r="D139" s="13" t="s">
        <v>1134</v>
      </c>
      <c r="E139" s="4" t="s">
        <v>1135</v>
      </c>
      <c r="F139" s="2" t="s">
        <v>957</v>
      </c>
      <c r="G139" s="2" t="s">
        <v>1136</v>
      </c>
      <c r="H139" s="2"/>
      <c r="I139" s="2"/>
      <c r="J139" s="2"/>
      <c r="K139" s="2"/>
      <c r="L139" s="2"/>
      <c r="M139" s="2" t="s">
        <v>59</v>
      </c>
      <c r="N139" s="2" t="s">
        <v>59</v>
      </c>
      <c r="O139" s="2" t="s">
        <v>33</v>
      </c>
      <c r="P139" s="2"/>
      <c r="Q139" s="2"/>
      <c r="R139" s="2"/>
      <c r="S139" s="2"/>
      <c r="T139" s="2"/>
      <c r="U139" s="2"/>
      <c r="V139" s="2"/>
      <c r="W139" s="2" t="str">
        <f t="shared" ref="W139:W161" si="5">IF(V139="E0",0,IF(V139="E1",30,IF(V139="E2",30,IF(V139="E3",30,IF(V139="E4",1,IF(V139="E5",1, "Not regulated; any amount limit in internal packages"))))))</f>
        <v>Not regulated; any amount limit in internal packages</v>
      </c>
    </row>
    <row r="140" spans="1:23" ht="120">
      <c r="A140" s="10" t="s">
        <v>1137</v>
      </c>
      <c r="B140" s="11"/>
      <c r="C140" s="2"/>
      <c r="D140" s="2" t="s">
        <v>1138</v>
      </c>
      <c r="E140" s="4" t="s">
        <v>1139</v>
      </c>
      <c r="F140" s="2" t="s">
        <v>1140</v>
      </c>
      <c r="G140" s="2" t="s">
        <v>1141</v>
      </c>
      <c r="H140" s="2"/>
      <c r="I140" s="2"/>
      <c r="J140" s="2"/>
      <c r="K140" s="2"/>
      <c r="L140" s="2"/>
      <c r="M140" s="2" t="s">
        <v>1142</v>
      </c>
      <c r="N140" s="2" t="s">
        <v>1142</v>
      </c>
      <c r="O140" s="2" t="s">
        <v>33</v>
      </c>
      <c r="P140" s="2"/>
      <c r="Q140" s="2"/>
      <c r="R140" s="2"/>
      <c r="S140" s="2"/>
      <c r="T140" s="2"/>
      <c r="U140" s="2"/>
      <c r="V140" s="2"/>
      <c r="W140" s="2" t="str">
        <f t="shared" si="5"/>
        <v>Not regulated; any amount limit in internal packages</v>
      </c>
    </row>
    <row r="141" spans="1:23" ht="60">
      <c r="A141" s="10" t="s">
        <v>1143</v>
      </c>
      <c r="B141" s="118"/>
      <c r="C141" s="13"/>
      <c r="D141" s="13" t="s">
        <v>1144</v>
      </c>
      <c r="E141" s="4" t="s">
        <v>1145</v>
      </c>
      <c r="F141" s="2" t="s">
        <v>1146</v>
      </c>
      <c r="G141" s="2" t="s">
        <v>1147</v>
      </c>
      <c r="H141" s="2"/>
      <c r="I141" s="2"/>
      <c r="J141" s="2"/>
      <c r="K141" s="2"/>
      <c r="L141" s="2"/>
      <c r="M141" s="2" t="s">
        <v>1148</v>
      </c>
      <c r="N141" s="2" t="s">
        <v>1149</v>
      </c>
      <c r="O141" s="2" t="s">
        <v>33</v>
      </c>
      <c r="P141" s="2"/>
      <c r="Q141" s="2"/>
      <c r="R141" s="2"/>
      <c r="S141" s="2"/>
      <c r="T141" s="2"/>
      <c r="U141" s="2"/>
      <c r="V141" s="2"/>
      <c r="W141" s="2" t="str">
        <f t="shared" si="5"/>
        <v>Not regulated; any amount limit in internal packages</v>
      </c>
    </row>
    <row r="142" spans="1:23" ht="45">
      <c r="A142" s="10" t="s">
        <v>1150</v>
      </c>
      <c r="B142" s="118"/>
      <c r="C142" s="13"/>
      <c r="D142" s="13" t="s">
        <v>1151</v>
      </c>
      <c r="E142" s="4" t="s">
        <v>1152</v>
      </c>
      <c r="F142" s="2"/>
      <c r="G142" s="2" t="s">
        <v>1153</v>
      </c>
      <c r="H142" s="2"/>
      <c r="I142" s="2"/>
      <c r="J142" s="2"/>
      <c r="K142" s="2"/>
      <c r="L142" s="2"/>
      <c r="M142" s="2" t="s">
        <v>59</v>
      </c>
      <c r="N142" s="2" t="s">
        <v>59</v>
      </c>
      <c r="O142" s="22" t="s">
        <v>1154</v>
      </c>
      <c r="P142" s="2"/>
      <c r="Q142" s="2"/>
      <c r="R142" s="2"/>
      <c r="S142" s="2"/>
      <c r="T142" s="2"/>
      <c r="U142" s="2"/>
      <c r="V142" s="2"/>
      <c r="W142" s="2" t="str">
        <f t="shared" si="5"/>
        <v>Not regulated; any amount limit in internal packages</v>
      </c>
    </row>
    <row r="143" spans="1:23" ht="75">
      <c r="A143" s="10" t="s">
        <v>1155</v>
      </c>
      <c r="B143" s="10"/>
      <c r="C143" s="2"/>
      <c r="D143" s="2" t="s">
        <v>1156</v>
      </c>
      <c r="E143" s="4" t="s">
        <v>1157</v>
      </c>
      <c r="F143" s="2" t="s">
        <v>1158</v>
      </c>
      <c r="G143" s="2" t="s">
        <v>1159</v>
      </c>
      <c r="H143" s="2"/>
      <c r="I143" s="2"/>
      <c r="J143" s="2"/>
      <c r="K143" s="2"/>
      <c r="L143" s="2"/>
      <c r="M143" s="2" t="s">
        <v>1160</v>
      </c>
      <c r="N143" s="2" t="s">
        <v>1161</v>
      </c>
      <c r="O143" s="2" t="s">
        <v>33</v>
      </c>
      <c r="P143" s="2"/>
      <c r="Q143" s="2"/>
      <c r="R143" s="2"/>
      <c r="S143" s="2"/>
      <c r="T143" s="2"/>
      <c r="U143" s="2"/>
      <c r="V143" s="2"/>
      <c r="W143" s="2" t="str">
        <f t="shared" si="5"/>
        <v>Not regulated; any amount limit in internal packages</v>
      </c>
    </row>
    <row r="144" spans="1:23" ht="120">
      <c r="A144" s="10" t="s">
        <v>1162</v>
      </c>
      <c r="B144" s="10"/>
      <c r="C144" s="2"/>
      <c r="D144" s="2" t="s">
        <v>1163</v>
      </c>
      <c r="E144" s="4" t="s">
        <v>1164</v>
      </c>
      <c r="F144" s="2" t="s">
        <v>1110</v>
      </c>
      <c r="G144" s="2" t="s">
        <v>44</v>
      </c>
      <c r="H144" s="2"/>
      <c r="I144" s="2"/>
      <c r="J144" s="2"/>
      <c r="K144" s="2"/>
      <c r="L144" s="2"/>
      <c r="M144" s="2" t="s">
        <v>1165</v>
      </c>
      <c r="N144" s="2" t="s">
        <v>1166</v>
      </c>
      <c r="O144" s="2" t="s">
        <v>33</v>
      </c>
      <c r="P144" s="2"/>
      <c r="Q144" s="2"/>
      <c r="R144" s="2"/>
      <c r="S144" s="2"/>
      <c r="T144" s="2"/>
      <c r="U144" s="2"/>
      <c r="V144" s="2"/>
      <c r="W144" s="2" t="str">
        <f t="shared" si="5"/>
        <v>Not regulated; any amount limit in internal packages</v>
      </c>
    </row>
    <row r="145" spans="1:23" ht="105">
      <c r="A145" s="10" t="s">
        <v>1167</v>
      </c>
      <c r="B145" s="10"/>
      <c r="C145" s="2"/>
      <c r="D145" s="2" t="s">
        <v>1168</v>
      </c>
      <c r="E145" s="4" t="s">
        <v>1169</v>
      </c>
      <c r="F145" s="2" t="s">
        <v>1170</v>
      </c>
      <c r="G145" s="2" t="s">
        <v>44</v>
      </c>
      <c r="H145" s="2"/>
      <c r="I145" s="2"/>
      <c r="J145" s="2"/>
      <c r="K145" s="2"/>
      <c r="L145" s="2"/>
      <c r="M145" s="2" t="s">
        <v>1171</v>
      </c>
      <c r="N145" s="2" t="s">
        <v>1172</v>
      </c>
      <c r="O145" s="2" t="s">
        <v>33</v>
      </c>
      <c r="P145" s="2"/>
      <c r="Q145" s="2"/>
      <c r="R145" s="2"/>
      <c r="S145" s="2"/>
      <c r="T145" s="2"/>
      <c r="U145" s="2"/>
      <c r="V145" s="2"/>
      <c r="W145" s="2" t="str">
        <f t="shared" si="5"/>
        <v>Not regulated; any amount limit in internal packages</v>
      </c>
    </row>
    <row r="146" spans="1:23" ht="45">
      <c r="A146" s="10" t="s">
        <v>1173</v>
      </c>
      <c r="B146" s="118"/>
      <c r="C146" s="13"/>
      <c r="D146" s="13" t="s">
        <v>1174</v>
      </c>
      <c r="E146" s="4" t="s">
        <v>1175</v>
      </c>
      <c r="F146" s="2"/>
      <c r="G146" s="2" t="s">
        <v>1176</v>
      </c>
      <c r="H146" s="2"/>
      <c r="I146" s="2"/>
      <c r="J146" s="2"/>
      <c r="K146" s="2"/>
      <c r="L146" s="2"/>
      <c r="M146" s="2" t="s">
        <v>59</v>
      </c>
      <c r="N146" s="2" t="s">
        <v>59</v>
      </c>
      <c r="O146" s="2" t="s">
        <v>33</v>
      </c>
      <c r="P146" s="2"/>
      <c r="Q146" s="2"/>
      <c r="R146" s="2"/>
      <c r="S146" s="2"/>
      <c r="T146" s="2"/>
      <c r="U146" s="2"/>
      <c r="V146" s="2"/>
      <c r="W146" s="2" t="str">
        <f t="shared" si="5"/>
        <v>Not regulated; any amount limit in internal packages</v>
      </c>
    </row>
    <row r="147" spans="1:23" ht="45">
      <c r="A147" s="10" t="s">
        <v>1177</v>
      </c>
      <c r="B147" s="10"/>
      <c r="C147" s="2"/>
      <c r="D147" s="2" t="s">
        <v>365</v>
      </c>
      <c r="E147" s="4" t="s">
        <v>1178</v>
      </c>
      <c r="F147" s="2" t="s">
        <v>1179</v>
      </c>
      <c r="G147" s="2" t="s">
        <v>1180</v>
      </c>
      <c r="H147" s="2"/>
      <c r="I147" s="2"/>
      <c r="J147" s="2"/>
      <c r="K147" s="2"/>
      <c r="L147" s="2"/>
      <c r="M147" s="2" t="s">
        <v>1181</v>
      </c>
      <c r="N147" s="2" t="s">
        <v>59</v>
      </c>
      <c r="O147" s="22" t="s">
        <v>1182</v>
      </c>
      <c r="P147" s="2"/>
      <c r="Q147" s="2"/>
      <c r="R147" s="2"/>
      <c r="S147" s="2"/>
      <c r="T147" s="2"/>
      <c r="U147" s="2"/>
      <c r="V147" s="2"/>
      <c r="W147" s="2" t="str">
        <f t="shared" si="5"/>
        <v>Not regulated; any amount limit in internal packages</v>
      </c>
    </row>
    <row r="148" spans="1:23" ht="60">
      <c r="A148" s="10" t="s">
        <v>1183</v>
      </c>
      <c r="B148" s="10"/>
      <c r="C148" s="2"/>
      <c r="D148" s="2" t="s">
        <v>1184</v>
      </c>
      <c r="E148" s="4" t="s">
        <v>1185</v>
      </c>
      <c r="F148" s="2" t="s">
        <v>1186</v>
      </c>
      <c r="G148" s="2" t="s">
        <v>44</v>
      </c>
      <c r="H148" s="2"/>
      <c r="I148" s="2"/>
      <c r="J148" s="2"/>
      <c r="K148" s="2"/>
      <c r="L148" s="2"/>
      <c r="M148" s="2" t="s">
        <v>59</v>
      </c>
      <c r="N148" s="2" t="s">
        <v>59</v>
      </c>
      <c r="O148" s="22" t="s">
        <v>1182</v>
      </c>
      <c r="P148" s="2"/>
      <c r="Q148" s="2"/>
      <c r="R148" s="2"/>
      <c r="S148" s="2"/>
      <c r="T148" s="2"/>
      <c r="U148" s="2"/>
      <c r="V148" s="2"/>
      <c r="W148" s="2" t="str">
        <f t="shared" si="5"/>
        <v>Not regulated; any amount limit in internal packages</v>
      </c>
    </row>
    <row r="149" spans="1:23" ht="60">
      <c r="A149" s="10" t="s">
        <v>1187</v>
      </c>
      <c r="B149" s="10"/>
      <c r="C149" s="2"/>
      <c r="D149" s="2" t="s">
        <v>1188</v>
      </c>
      <c r="E149" s="4" t="s">
        <v>1189</v>
      </c>
      <c r="F149" s="2" t="s">
        <v>1190</v>
      </c>
      <c r="G149" s="2" t="s">
        <v>1191</v>
      </c>
      <c r="H149" s="2"/>
      <c r="I149" s="2"/>
      <c r="J149" s="2"/>
      <c r="K149" s="2"/>
      <c r="L149" s="2"/>
      <c r="M149" s="2" t="s">
        <v>1192</v>
      </c>
      <c r="N149" s="2" t="s">
        <v>1193</v>
      </c>
      <c r="O149" s="2" t="s">
        <v>33</v>
      </c>
      <c r="P149" s="2"/>
      <c r="Q149" s="2"/>
      <c r="R149" s="2"/>
      <c r="S149" s="2"/>
      <c r="T149" s="2"/>
      <c r="U149" s="2"/>
      <c r="V149" s="2"/>
      <c r="W149" s="2" t="str">
        <f t="shared" si="5"/>
        <v>Not regulated; any amount limit in internal packages</v>
      </c>
    </row>
    <row r="150" spans="1:23" ht="60">
      <c r="A150" s="10" t="s">
        <v>1194</v>
      </c>
      <c r="B150" s="10"/>
      <c r="C150" s="2"/>
      <c r="D150" s="2" t="s">
        <v>1195</v>
      </c>
      <c r="E150" s="4" t="s">
        <v>1196</v>
      </c>
      <c r="F150" s="2" t="s">
        <v>1197</v>
      </c>
      <c r="G150" s="2" t="s">
        <v>1198</v>
      </c>
      <c r="H150" s="2"/>
      <c r="I150" s="2"/>
      <c r="J150" s="2"/>
      <c r="K150" s="2"/>
      <c r="L150" s="2"/>
      <c r="M150" s="2" t="s">
        <v>59</v>
      </c>
      <c r="N150" s="2" t="s">
        <v>59</v>
      </c>
      <c r="O150" s="22" t="s">
        <v>1199</v>
      </c>
      <c r="P150" s="2"/>
      <c r="Q150" s="2"/>
      <c r="R150" s="2"/>
      <c r="S150" s="2"/>
      <c r="T150" s="2"/>
      <c r="U150" s="2"/>
      <c r="V150" s="2"/>
      <c r="W150" s="2" t="str">
        <f t="shared" si="5"/>
        <v>Not regulated; any amount limit in internal packages</v>
      </c>
    </row>
    <row r="151" spans="1:23" ht="45">
      <c r="A151" s="10" t="s">
        <v>1200</v>
      </c>
      <c r="B151" s="10"/>
      <c r="C151" s="2"/>
      <c r="D151" s="2" t="s">
        <v>1201</v>
      </c>
      <c r="E151" s="4" t="s">
        <v>1202</v>
      </c>
      <c r="F151" s="2" t="s">
        <v>59</v>
      </c>
      <c r="G151" s="2" t="s">
        <v>1203</v>
      </c>
      <c r="H151" s="2"/>
      <c r="I151" s="2"/>
      <c r="J151" s="2"/>
      <c r="K151" s="2"/>
      <c r="L151" s="2"/>
      <c r="M151" s="2" t="s">
        <v>59</v>
      </c>
      <c r="N151" s="2" t="s">
        <v>59</v>
      </c>
      <c r="O151" s="22" t="s">
        <v>295</v>
      </c>
      <c r="P151" s="2"/>
      <c r="Q151" s="2"/>
      <c r="R151" s="2"/>
      <c r="S151" s="2"/>
      <c r="T151" s="2">
        <v>293349000</v>
      </c>
      <c r="U151" s="2"/>
      <c r="V151" s="2"/>
      <c r="W151" s="2" t="str">
        <f t="shared" si="5"/>
        <v>Not regulated; any amount limit in internal packages</v>
      </c>
    </row>
    <row r="152" spans="1:23" ht="45">
      <c r="A152" s="10" t="s">
        <v>1204</v>
      </c>
      <c r="B152" s="10"/>
      <c r="C152" s="2"/>
      <c r="D152" s="2" t="s">
        <v>1205</v>
      </c>
      <c r="E152" s="4" t="s">
        <v>1206</v>
      </c>
      <c r="F152" s="2"/>
      <c r="G152" s="2" t="s">
        <v>1207</v>
      </c>
      <c r="H152" s="2"/>
      <c r="I152" s="2"/>
      <c r="J152" s="2"/>
      <c r="K152" s="2"/>
      <c r="L152" s="2"/>
      <c r="M152" s="2" t="s">
        <v>59</v>
      </c>
      <c r="N152" s="2" t="s">
        <v>59</v>
      </c>
      <c r="O152" s="22" t="s">
        <v>1182</v>
      </c>
      <c r="P152" s="2"/>
      <c r="Q152" s="2"/>
      <c r="R152" s="2"/>
      <c r="S152" s="2"/>
      <c r="T152" s="2"/>
      <c r="U152" s="2"/>
      <c r="V152" s="2"/>
      <c r="W152" s="2" t="str">
        <f t="shared" si="5"/>
        <v>Not regulated; any amount limit in internal packages</v>
      </c>
    </row>
    <row r="153" spans="1:23" ht="60">
      <c r="A153" s="10" t="s">
        <v>1208</v>
      </c>
      <c r="B153" s="10"/>
      <c r="C153" s="2"/>
      <c r="D153" s="2" t="s">
        <v>1209</v>
      </c>
      <c r="E153" s="4" t="s">
        <v>1210</v>
      </c>
      <c r="F153" s="2" t="s">
        <v>1211</v>
      </c>
      <c r="G153" s="2" t="s">
        <v>1212</v>
      </c>
      <c r="H153" s="2"/>
      <c r="I153" s="2"/>
      <c r="J153" s="2"/>
      <c r="K153" s="2"/>
      <c r="L153" s="2"/>
      <c r="M153" s="2" t="s">
        <v>1213</v>
      </c>
      <c r="N153" s="2" t="s">
        <v>1214</v>
      </c>
      <c r="O153" s="22" t="s">
        <v>1182</v>
      </c>
      <c r="P153" s="2"/>
      <c r="Q153" s="2"/>
      <c r="R153" s="2"/>
      <c r="S153" s="2"/>
      <c r="T153" s="2"/>
      <c r="U153" s="2"/>
      <c r="V153" s="2"/>
      <c r="W153" s="2" t="str">
        <f t="shared" si="5"/>
        <v>Not regulated; any amount limit in internal packages</v>
      </c>
    </row>
    <row r="154" spans="1:23" ht="120">
      <c r="A154" s="10" t="s">
        <v>1215</v>
      </c>
      <c r="B154" s="10"/>
      <c r="C154" s="2"/>
      <c r="D154" s="2" t="s">
        <v>1216</v>
      </c>
      <c r="E154" s="4" t="s">
        <v>1217</v>
      </c>
      <c r="F154" s="2" t="s">
        <v>1218</v>
      </c>
      <c r="G154" s="2" t="s">
        <v>44</v>
      </c>
      <c r="H154" s="2"/>
      <c r="I154" s="2"/>
      <c r="J154" s="2"/>
      <c r="K154" s="2"/>
      <c r="L154" s="2"/>
      <c r="M154" s="2" t="s">
        <v>1219</v>
      </c>
      <c r="N154" s="2" t="s">
        <v>1220</v>
      </c>
      <c r="O154" s="22" t="s">
        <v>295</v>
      </c>
      <c r="P154" s="2"/>
      <c r="Q154" s="2"/>
      <c r="R154" s="2"/>
      <c r="S154" s="2"/>
      <c r="T154" s="2"/>
      <c r="U154" s="2"/>
      <c r="V154" s="2"/>
      <c r="W154" s="2" t="str">
        <f t="shared" si="5"/>
        <v>Not regulated; any amount limit in internal packages</v>
      </c>
    </row>
    <row r="155" spans="1:23" ht="90">
      <c r="A155" s="10" t="s">
        <v>1221</v>
      </c>
      <c r="B155" s="10"/>
      <c r="C155" s="2"/>
      <c r="D155" s="2" t="s">
        <v>1222</v>
      </c>
      <c r="E155" s="4" t="s">
        <v>1223</v>
      </c>
      <c r="F155" s="2" t="s">
        <v>1224</v>
      </c>
      <c r="G155" s="2" t="s">
        <v>44</v>
      </c>
      <c r="H155" s="2"/>
      <c r="I155" s="2"/>
      <c r="J155" s="2"/>
      <c r="K155" s="2"/>
      <c r="L155" s="2"/>
      <c r="M155" s="2" t="s">
        <v>1225</v>
      </c>
      <c r="N155" s="2" t="s">
        <v>1226</v>
      </c>
      <c r="O155" s="21" t="s">
        <v>1227</v>
      </c>
      <c r="P155" s="2"/>
      <c r="Q155" s="2"/>
      <c r="R155" s="2"/>
      <c r="S155" s="2"/>
      <c r="T155" s="2"/>
      <c r="U155" s="2"/>
      <c r="V155" s="2"/>
      <c r="W155" s="2" t="str">
        <f t="shared" si="5"/>
        <v>Not regulated; any amount limit in internal packages</v>
      </c>
    </row>
    <row r="156" spans="1:23" ht="75">
      <c r="A156" s="10" t="s">
        <v>1228</v>
      </c>
      <c r="B156" s="10"/>
      <c r="C156" s="2"/>
      <c r="D156" s="2" t="s">
        <v>1229</v>
      </c>
      <c r="E156" s="4" t="s">
        <v>1230</v>
      </c>
      <c r="F156" s="2" t="s">
        <v>1231</v>
      </c>
      <c r="G156" s="2" t="s">
        <v>44</v>
      </c>
      <c r="H156" s="2"/>
      <c r="I156" s="2"/>
      <c r="J156" s="2"/>
      <c r="K156" s="2"/>
      <c r="L156" s="2"/>
      <c r="M156" s="2" t="s">
        <v>1232</v>
      </c>
      <c r="N156" s="2" t="s">
        <v>1233</v>
      </c>
      <c r="O156" s="2" t="s">
        <v>33</v>
      </c>
      <c r="P156" s="2"/>
      <c r="Q156" s="2"/>
      <c r="R156" s="2"/>
      <c r="S156" s="2"/>
      <c r="T156" s="2"/>
      <c r="U156" s="2"/>
      <c r="V156" s="2"/>
      <c r="W156" s="2" t="str">
        <f t="shared" si="5"/>
        <v>Not regulated; any amount limit in internal packages</v>
      </c>
    </row>
    <row r="157" spans="1:23" s="29" customFormat="1" ht="105">
      <c r="A157" s="24" t="s">
        <v>1234</v>
      </c>
      <c r="B157" s="24"/>
      <c r="C157" s="22"/>
      <c r="D157" s="22" t="s">
        <v>1235</v>
      </c>
      <c r="E157" s="22" t="s">
        <v>956</v>
      </c>
      <c r="F157" s="22" t="s">
        <v>1236</v>
      </c>
      <c r="G157" s="22" t="s">
        <v>44</v>
      </c>
      <c r="H157" s="22"/>
      <c r="I157" s="22">
        <v>3077</v>
      </c>
      <c r="J157" s="22">
        <v>9</v>
      </c>
      <c r="K157" s="22" t="s">
        <v>31</v>
      </c>
      <c r="L157" s="22" t="s">
        <v>1237</v>
      </c>
      <c r="M157" s="22" t="s">
        <v>959</v>
      </c>
      <c r="N157" s="22" t="s">
        <v>960</v>
      </c>
      <c r="O157" s="22" t="s">
        <v>33</v>
      </c>
      <c r="P157" s="22" t="s">
        <v>34</v>
      </c>
      <c r="Q157" s="22" t="s">
        <v>1238</v>
      </c>
      <c r="R157" s="22" t="s">
        <v>1239</v>
      </c>
      <c r="S157" s="22" t="s">
        <v>37</v>
      </c>
      <c r="T157" s="22" t="s">
        <v>59</v>
      </c>
      <c r="U157" s="22" t="s">
        <v>34</v>
      </c>
      <c r="V157" s="22" t="s">
        <v>38</v>
      </c>
      <c r="W157" s="22">
        <f t="shared" si="5"/>
        <v>30</v>
      </c>
    </row>
    <row r="158" spans="1:23" ht="135">
      <c r="A158" s="10" t="s">
        <v>1240</v>
      </c>
      <c r="B158" s="10"/>
      <c r="C158" s="2"/>
      <c r="D158" s="2" t="s">
        <v>1241</v>
      </c>
      <c r="E158" s="4" t="s">
        <v>1242</v>
      </c>
      <c r="F158" s="2" t="s">
        <v>1243</v>
      </c>
      <c r="G158" s="2" t="s">
        <v>1244</v>
      </c>
      <c r="H158" s="2"/>
      <c r="I158" s="2">
        <v>2788</v>
      </c>
      <c r="J158" s="2" t="s">
        <v>30</v>
      </c>
      <c r="K158" s="2" t="s">
        <v>45</v>
      </c>
      <c r="L158" s="2" t="s">
        <v>1245</v>
      </c>
      <c r="M158" s="2" t="s">
        <v>1246</v>
      </c>
      <c r="N158" s="2" t="s">
        <v>1247</v>
      </c>
      <c r="O158" s="2" t="s">
        <v>1248</v>
      </c>
      <c r="P158" s="2" t="s">
        <v>34</v>
      </c>
      <c r="Q158" s="2" t="s">
        <v>158</v>
      </c>
      <c r="R158" s="2" t="s">
        <v>1249</v>
      </c>
      <c r="S158" s="2" t="s">
        <v>37</v>
      </c>
      <c r="T158" s="19">
        <v>29310099</v>
      </c>
      <c r="U158" s="2" t="s">
        <v>34</v>
      </c>
      <c r="V158" s="2" t="s">
        <v>818</v>
      </c>
      <c r="W158" s="2">
        <f t="shared" si="5"/>
        <v>1</v>
      </c>
    </row>
    <row r="159" spans="1:23" ht="60">
      <c r="A159" s="56" t="s">
        <v>1250</v>
      </c>
      <c r="B159" s="11"/>
      <c r="C159" s="2"/>
      <c r="D159" s="2"/>
      <c r="E159" s="4" t="s">
        <v>1251</v>
      </c>
      <c r="F159" s="2"/>
      <c r="G159" s="2" t="s">
        <v>1252</v>
      </c>
      <c r="H159" s="2"/>
      <c r="I159" s="2"/>
      <c r="J159" s="2"/>
      <c r="K159" s="2"/>
      <c r="L159" s="2"/>
      <c r="M159" s="2" t="s">
        <v>1253</v>
      </c>
      <c r="N159" s="2" t="s">
        <v>1254</v>
      </c>
      <c r="O159" s="2"/>
      <c r="P159" s="2"/>
      <c r="Q159" s="2"/>
      <c r="R159" s="2"/>
      <c r="S159" s="2"/>
      <c r="T159" s="2"/>
      <c r="U159" s="2"/>
      <c r="V159" s="2"/>
      <c r="W159" s="2" t="str">
        <f t="shared" si="5"/>
        <v>Not regulated; any amount limit in internal packages</v>
      </c>
    </row>
    <row r="160" spans="1:23" ht="70.900000000000006" customHeight="1">
      <c r="A160" s="56" t="s">
        <v>1255</v>
      </c>
      <c r="B160" s="11"/>
      <c r="C160" s="2"/>
      <c r="D160" s="2"/>
      <c r="E160" s="4" t="s">
        <v>1256</v>
      </c>
      <c r="F160" s="2"/>
      <c r="G160" s="2"/>
      <c r="H160" s="2"/>
      <c r="I160" s="2"/>
      <c r="J160" s="2"/>
      <c r="K160" s="2"/>
      <c r="L160" s="2"/>
      <c r="M160" s="2" t="s">
        <v>1257</v>
      </c>
      <c r="N160" s="2" t="s">
        <v>1258</v>
      </c>
      <c r="O160" s="2"/>
      <c r="P160" s="2"/>
      <c r="Q160" s="2"/>
      <c r="R160" s="2"/>
      <c r="S160" s="2"/>
      <c r="T160" s="2"/>
      <c r="U160" s="2"/>
      <c r="V160" s="2"/>
      <c r="W160" s="2" t="str">
        <f t="shared" si="5"/>
        <v>Not regulated; any amount limit in internal packages</v>
      </c>
    </row>
    <row r="161" spans="1:23" ht="76.900000000000006" customHeight="1">
      <c r="A161" s="56" t="s">
        <v>1259</v>
      </c>
      <c r="B161" s="11"/>
      <c r="C161" s="2"/>
      <c r="D161" s="2"/>
      <c r="E161" s="4" t="s">
        <v>1260</v>
      </c>
      <c r="F161" s="2"/>
      <c r="G161" s="2"/>
      <c r="H161" s="2"/>
      <c r="I161" s="2"/>
      <c r="J161" s="2"/>
      <c r="K161" s="2"/>
      <c r="L161" s="2"/>
      <c r="M161" s="2" t="s">
        <v>1261</v>
      </c>
      <c r="N161" s="2" t="s">
        <v>1262</v>
      </c>
      <c r="O161" s="2"/>
      <c r="P161" s="2"/>
      <c r="Q161" s="2"/>
      <c r="R161" s="2"/>
      <c r="S161" s="2"/>
      <c r="T161" s="2"/>
      <c r="U161" s="2"/>
      <c r="V161" s="2"/>
      <c r="W161" s="2" t="str">
        <f t="shared" si="5"/>
        <v>Not regulated; any amount limit in internal packages</v>
      </c>
    </row>
    <row r="162" spans="1:23" ht="45">
      <c r="A162" s="65" t="s">
        <v>1263</v>
      </c>
      <c r="B162" s="10"/>
      <c r="C162" s="2"/>
      <c r="D162" s="2"/>
      <c r="E162" s="2"/>
      <c r="F162" s="2"/>
      <c r="G162" s="2"/>
      <c r="H162" s="2"/>
      <c r="I162" s="2"/>
      <c r="J162" s="2"/>
      <c r="K162" s="2"/>
      <c r="L162" s="2"/>
      <c r="M162" s="2"/>
      <c r="N162" s="2"/>
      <c r="O162" s="2"/>
      <c r="P162" s="2"/>
      <c r="Q162" s="2"/>
      <c r="R162" s="2"/>
      <c r="S162" s="2"/>
      <c r="T162" s="2"/>
      <c r="U162" s="2"/>
      <c r="V162" s="2"/>
      <c r="W162" s="2" t="str">
        <f t="shared" ref="W162:W184" si="6">IF(V162="E0",0,IF(V162="E1",30,IF(V162="E2",30,IF(V162="E3",30,IF(V162="E4",1,IF(V162="E5",1, "Not regulated; any amount limit in internal packages"))))))</f>
        <v>Not regulated; any amount limit in internal packages</v>
      </c>
    </row>
    <row r="163" spans="1:23" ht="90">
      <c r="A163" s="10" t="s">
        <v>1264</v>
      </c>
      <c r="B163" s="11" t="s">
        <v>1265</v>
      </c>
      <c r="C163" s="2"/>
      <c r="D163" s="2" t="s">
        <v>1266</v>
      </c>
      <c r="E163" s="2" t="s">
        <v>1267</v>
      </c>
      <c r="F163" s="2" t="s">
        <v>189</v>
      </c>
      <c r="G163" s="2" t="s">
        <v>1268</v>
      </c>
      <c r="H163" s="2"/>
      <c r="I163" s="2">
        <v>3077</v>
      </c>
      <c r="J163" s="2">
        <v>9</v>
      </c>
      <c r="K163" s="2" t="s">
        <v>31</v>
      </c>
      <c r="L163" s="2" t="s">
        <v>1269</v>
      </c>
      <c r="M163" s="2" t="s">
        <v>59</v>
      </c>
      <c r="N163" s="2" t="s">
        <v>59</v>
      </c>
      <c r="O163" s="2" t="s">
        <v>1182</v>
      </c>
      <c r="P163" s="2" t="s">
        <v>1270</v>
      </c>
      <c r="Q163" s="2" t="s">
        <v>158</v>
      </c>
      <c r="R163" s="2" t="s">
        <v>1271</v>
      </c>
      <c r="S163" s="6" t="s">
        <v>50</v>
      </c>
      <c r="T163" s="2">
        <v>3204179050</v>
      </c>
      <c r="U163" s="2" t="s">
        <v>34</v>
      </c>
      <c r="V163" s="2" t="s">
        <v>38</v>
      </c>
      <c r="W163" s="2">
        <f t="shared" si="6"/>
        <v>30</v>
      </c>
    </row>
    <row r="164" spans="1:23" ht="75">
      <c r="A164" s="10" t="s">
        <v>1272</v>
      </c>
      <c r="B164" s="11" t="s">
        <v>1273</v>
      </c>
      <c r="C164" s="2"/>
      <c r="D164" s="2" t="s">
        <v>1274</v>
      </c>
      <c r="E164" s="2" t="s">
        <v>1275</v>
      </c>
      <c r="F164" s="2" t="s">
        <v>500</v>
      </c>
      <c r="G164" s="2" t="s">
        <v>44</v>
      </c>
      <c r="H164" s="2"/>
      <c r="I164" s="2">
        <v>3077</v>
      </c>
      <c r="J164" s="2">
        <v>9</v>
      </c>
      <c r="K164" s="2" t="s">
        <v>31</v>
      </c>
      <c r="L164" s="2" t="s">
        <v>1276</v>
      </c>
      <c r="M164" s="2" t="s">
        <v>1277</v>
      </c>
      <c r="N164" s="2" t="s">
        <v>1278</v>
      </c>
      <c r="O164" s="2" t="s">
        <v>1279</v>
      </c>
      <c r="P164" s="2" t="s">
        <v>129</v>
      </c>
      <c r="Q164" s="2" t="s">
        <v>158</v>
      </c>
      <c r="R164" s="2" t="s">
        <v>1280</v>
      </c>
      <c r="S164" s="6" t="s">
        <v>50</v>
      </c>
      <c r="T164" s="2">
        <v>29221990</v>
      </c>
      <c r="U164" s="2" t="s">
        <v>34</v>
      </c>
      <c r="V164" s="2" t="s">
        <v>38</v>
      </c>
      <c r="W164" s="2">
        <f t="shared" si="6"/>
        <v>30</v>
      </c>
    </row>
    <row r="165" spans="1:23" ht="123" customHeight="1">
      <c r="A165" s="10" t="s">
        <v>1281</v>
      </c>
      <c r="B165" s="11" t="s">
        <v>1282</v>
      </c>
      <c r="C165" s="2" t="s">
        <v>1283</v>
      </c>
      <c r="D165" s="2" t="s">
        <v>1284</v>
      </c>
      <c r="E165" s="2" t="s">
        <v>1285</v>
      </c>
      <c r="F165" s="2" t="s">
        <v>59</v>
      </c>
      <c r="G165" s="2" t="s">
        <v>1286</v>
      </c>
      <c r="H165" s="2"/>
      <c r="I165" s="2" t="s">
        <v>34</v>
      </c>
      <c r="J165" s="2" t="s">
        <v>34</v>
      </c>
      <c r="K165" s="2" t="s">
        <v>34</v>
      </c>
      <c r="L165" s="2" t="s">
        <v>75</v>
      </c>
      <c r="M165" s="2" t="s">
        <v>1287</v>
      </c>
      <c r="N165" s="2" t="s">
        <v>1288</v>
      </c>
      <c r="O165" s="2" t="s">
        <v>33</v>
      </c>
      <c r="P165" s="2" t="s">
        <v>1289</v>
      </c>
      <c r="Q165" s="24" t="s">
        <v>1290</v>
      </c>
      <c r="R165" s="2" t="s">
        <v>1291</v>
      </c>
      <c r="S165" s="108" t="s">
        <v>37</v>
      </c>
      <c r="T165" s="2">
        <v>2924191150</v>
      </c>
      <c r="U165" s="2" t="s">
        <v>34</v>
      </c>
      <c r="V165" s="2" t="s">
        <v>34</v>
      </c>
      <c r="W165" s="2" t="str">
        <f t="shared" ref="W165:W178" si="7">IF(V165="E0",0,IF(V165="E1",30,IF(V165="E2",30,IF(V165="E3",30,IF(V165="E4",1,IF(V165="E5",1, "Not regulated; any amount limit in internal packages"))))))</f>
        <v>Not regulated; any amount limit in internal packages</v>
      </c>
    </row>
    <row r="166" spans="1:23" ht="105">
      <c r="A166" s="10" t="s">
        <v>1292</v>
      </c>
      <c r="B166" s="11" t="s">
        <v>1293</v>
      </c>
      <c r="C166" s="2" t="s">
        <v>1294</v>
      </c>
      <c r="D166" s="2" t="s">
        <v>1295</v>
      </c>
      <c r="E166" s="2" t="s">
        <v>1296</v>
      </c>
      <c r="F166" s="2" t="s">
        <v>1297</v>
      </c>
      <c r="G166" s="2" t="s">
        <v>1298</v>
      </c>
      <c r="H166" s="2"/>
      <c r="I166" s="2">
        <v>3077</v>
      </c>
      <c r="J166" s="2">
        <v>9</v>
      </c>
      <c r="K166" s="2" t="s">
        <v>31</v>
      </c>
      <c r="L166" s="2" t="s">
        <v>1299</v>
      </c>
      <c r="M166" s="2" t="s">
        <v>1300</v>
      </c>
      <c r="N166" s="2" t="s">
        <v>1301</v>
      </c>
      <c r="O166" s="2" t="s">
        <v>33</v>
      </c>
      <c r="P166" s="2" t="s">
        <v>1302</v>
      </c>
      <c r="Q166" s="2" t="s">
        <v>1303</v>
      </c>
      <c r="R166" s="2" t="s">
        <v>256</v>
      </c>
      <c r="S166" s="6" t="s">
        <v>50</v>
      </c>
      <c r="T166" s="2">
        <v>2933192300</v>
      </c>
      <c r="U166" s="2" t="s">
        <v>1304</v>
      </c>
      <c r="V166" s="2" t="s">
        <v>38</v>
      </c>
      <c r="W166" s="2">
        <f t="shared" si="7"/>
        <v>30</v>
      </c>
    </row>
    <row r="167" spans="1:23" ht="90">
      <c r="A167" s="10" t="s">
        <v>1305</v>
      </c>
      <c r="B167" s="11" t="s">
        <v>1306</v>
      </c>
      <c r="C167" s="2"/>
      <c r="D167" s="2" t="s">
        <v>1307</v>
      </c>
      <c r="E167" s="4" t="s">
        <v>1308</v>
      </c>
      <c r="F167" s="2" t="s">
        <v>1309</v>
      </c>
      <c r="G167" s="2" t="s">
        <v>1310</v>
      </c>
      <c r="H167" s="2"/>
      <c r="I167" s="2">
        <v>2811</v>
      </c>
      <c r="J167" s="2" t="s">
        <v>30</v>
      </c>
      <c r="K167" s="2" t="s">
        <v>31</v>
      </c>
      <c r="L167" s="2" t="s">
        <v>1311</v>
      </c>
      <c r="M167" s="2" t="s">
        <v>1312</v>
      </c>
      <c r="N167" s="2" t="s">
        <v>1313</v>
      </c>
      <c r="O167" s="2" t="s">
        <v>1314</v>
      </c>
      <c r="P167" s="2" t="s">
        <v>1315</v>
      </c>
      <c r="Q167" s="2" t="s">
        <v>158</v>
      </c>
      <c r="R167" s="2" t="s">
        <v>1316</v>
      </c>
      <c r="S167" s="6" t="s">
        <v>50</v>
      </c>
      <c r="T167" s="2">
        <v>2933294300</v>
      </c>
      <c r="U167" s="2" t="s">
        <v>34</v>
      </c>
      <c r="V167" s="2" t="s">
        <v>38</v>
      </c>
      <c r="W167" s="2">
        <f t="shared" si="7"/>
        <v>30</v>
      </c>
    </row>
    <row r="168" spans="1:23" ht="75">
      <c r="A168" s="10" t="s">
        <v>1317</v>
      </c>
      <c r="B168" s="11" t="s">
        <v>1318</v>
      </c>
      <c r="C168" s="2"/>
      <c r="D168" s="2" t="s">
        <v>1319</v>
      </c>
      <c r="E168" s="4" t="s">
        <v>1320</v>
      </c>
      <c r="F168" s="2" t="s">
        <v>1321</v>
      </c>
      <c r="G168" s="2" t="s">
        <v>1322</v>
      </c>
      <c r="H168" s="2"/>
      <c r="I168" s="2" t="s">
        <v>34</v>
      </c>
      <c r="J168" s="2" t="s">
        <v>34</v>
      </c>
      <c r="K168" s="2" t="s">
        <v>34</v>
      </c>
      <c r="L168" s="2" t="s">
        <v>75</v>
      </c>
      <c r="M168" s="2" t="s">
        <v>1323</v>
      </c>
      <c r="N168" s="2" t="s">
        <v>1324</v>
      </c>
      <c r="O168" s="2" t="s">
        <v>1325</v>
      </c>
      <c r="P168" s="2" t="s">
        <v>328</v>
      </c>
      <c r="Q168" s="2" t="s">
        <v>158</v>
      </c>
      <c r="R168" s="2" t="s">
        <v>351</v>
      </c>
      <c r="S168" s="108" t="s">
        <v>50</v>
      </c>
      <c r="T168" s="2">
        <v>2941905000</v>
      </c>
      <c r="U168" s="2" t="s">
        <v>34</v>
      </c>
      <c r="V168" s="2" t="s">
        <v>34</v>
      </c>
      <c r="W168" s="2" t="str">
        <f t="shared" si="7"/>
        <v>Not regulated; any amount limit in internal packages</v>
      </c>
    </row>
    <row r="169" spans="1:23" ht="75">
      <c r="A169" s="10" t="s">
        <v>1326</v>
      </c>
      <c r="B169" s="11" t="s">
        <v>1327</v>
      </c>
      <c r="C169" s="2"/>
      <c r="D169" s="2" t="s">
        <v>1328</v>
      </c>
      <c r="E169" s="4" t="s">
        <v>1329</v>
      </c>
      <c r="F169" s="2" t="s">
        <v>1330</v>
      </c>
      <c r="G169" s="2" t="s">
        <v>1331</v>
      </c>
      <c r="H169" s="2"/>
      <c r="I169" s="2" t="s">
        <v>34</v>
      </c>
      <c r="J169" s="2" t="s">
        <v>34</v>
      </c>
      <c r="K169" s="2" t="s">
        <v>34</v>
      </c>
      <c r="L169" s="2" t="s">
        <v>75</v>
      </c>
      <c r="M169" s="2" t="s">
        <v>1332</v>
      </c>
      <c r="N169" s="2" t="s">
        <v>1333</v>
      </c>
      <c r="O169" s="2" t="s">
        <v>1334</v>
      </c>
      <c r="P169" s="96" t="s">
        <v>328</v>
      </c>
      <c r="Q169" s="2" t="s">
        <v>158</v>
      </c>
      <c r="R169" s="2" t="s">
        <v>1335</v>
      </c>
      <c r="S169" s="108" t="s">
        <v>50</v>
      </c>
      <c r="T169" s="2">
        <v>2941300000</v>
      </c>
      <c r="U169" s="2" t="s">
        <v>34</v>
      </c>
      <c r="V169" s="2" t="s">
        <v>34</v>
      </c>
      <c r="W169" s="2" t="str">
        <f t="shared" si="7"/>
        <v>Not regulated; any amount limit in internal packages</v>
      </c>
    </row>
    <row r="170" spans="1:23" ht="90">
      <c r="A170" s="10" t="s">
        <v>1336</v>
      </c>
      <c r="B170" s="11" t="s">
        <v>1337</v>
      </c>
      <c r="C170" s="2"/>
      <c r="D170" s="2" t="s">
        <v>1338</v>
      </c>
      <c r="E170" s="4" t="s">
        <v>1339</v>
      </c>
      <c r="F170" s="2" t="s">
        <v>1340</v>
      </c>
      <c r="G170" s="2" t="s">
        <v>1341</v>
      </c>
      <c r="H170" s="2"/>
      <c r="I170" s="2">
        <v>2811</v>
      </c>
      <c r="J170" s="2" t="s">
        <v>30</v>
      </c>
      <c r="K170" s="2" t="s">
        <v>31</v>
      </c>
      <c r="L170" s="2" t="s">
        <v>1342</v>
      </c>
      <c r="M170" s="2" t="s">
        <v>1343</v>
      </c>
      <c r="N170" s="2" t="s">
        <v>1344</v>
      </c>
      <c r="O170" s="2" t="s">
        <v>33</v>
      </c>
      <c r="P170" s="96" t="s">
        <v>1345</v>
      </c>
      <c r="Q170" s="2" t="s">
        <v>1346</v>
      </c>
      <c r="R170" s="2" t="s">
        <v>1347</v>
      </c>
      <c r="S170" s="108" t="s">
        <v>37</v>
      </c>
      <c r="T170" s="2">
        <v>2921511000</v>
      </c>
      <c r="U170" s="2" t="s">
        <v>34</v>
      </c>
      <c r="V170" s="2" t="s">
        <v>38</v>
      </c>
      <c r="W170" s="2">
        <f t="shared" si="7"/>
        <v>30</v>
      </c>
    </row>
    <row r="171" spans="1:23" ht="150">
      <c r="A171" s="10" t="s">
        <v>1348</v>
      </c>
      <c r="B171" s="11" t="s">
        <v>1349</v>
      </c>
      <c r="C171" s="2" t="s">
        <v>1350</v>
      </c>
      <c r="D171" s="2" t="s">
        <v>1351</v>
      </c>
      <c r="E171" s="4" t="s">
        <v>1352</v>
      </c>
      <c r="F171" s="7" t="s">
        <v>154</v>
      </c>
      <c r="G171" s="2" t="s">
        <v>1286</v>
      </c>
      <c r="H171" s="2"/>
      <c r="I171" s="2">
        <v>2265</v>
      </c>
      <c r="J171" s="2">
        <v>3</v>
      </c>
      <c r="K171" s="2" t="s">
        <v>31</v>
      </c>
      <c r="L171" s="2" t="s">
        <v>737</v>
      </c>
      <c r="M171" s="2" t="s">
        <v>1353</v>
      </c>
      <c r="N171" s="2" t="s">
        <v>1354</v>
      </c>
      <c r="O171" s="2" t="s">
        <v>33</v>
      </c>
      <c r="P171" s="2" t="s">
        <v>1355</v>
      </c>
      <c r="Q171" s="24" t="s">
        <v>1356</v>
      </c>
      <c r="R171" s="2" t="s">
        <v>1357</v>
      </c>
      <c r="S171" s="108" t="s">
        <v>37</v>
      </c>
      <c r="T171" s="2">
        <v>2924191120</v>
      </c>
      <c r="U171" s="2" t="s">
        <v>34</v>
      </c>
      <c r="V171" s="2" t="s">
        <v>38</v>
      </c>
      <c r="W171" s="2">
        <f t="shared" si="7"/>
        <v>30</v>
      </c>
    </row>
    <row r="172" spans="1:23" ht="68.650000000000006" customHeight="1">
      <c r="A172" s="10" t="s">
        <v>1358</v>
      </c>
      <c r="B172" s="11" t="s">
        <v>1359</v>
      </c>
      <c r="C172" s="2"/>
      <c r="D172" s="14" t="s">
        <v>1360</v>
      </c>
      <c r="E172" s="4" t="s">
        <v>1361</v>
      </c>
      <c r="F172" s="2" t="s">
        <v>1362</v>
      </c>
      <c r="G172" s="2" t="s">
        <v>1363</v>
      </c>
      <c r="H172" s="2"/>
      <c r="I172" s="2" t="s">
        <v>34</v>
      </c>
      <c r="J172" s="2" t="s">
        <v>34</v>
      </c>
      <c r="K172" s="2" t="s">
        <v>34</v>
      </c>
      <c r="L172" s="2" t="s">
        <v>75</v>
      </c>
      <c r="M172" s="2" t="s">
        <v>59</v>
      </c>
      <c r="N172" s="2" t="s">
        <v>59</v>
      </c>
      <c r="O172" s="2" t="s">
        <v>295</v>
      </c>
      <c r="P172" s="2" t="s">
        <v>1364</v>
      </c>
      <c r="Q172" s="2" t="s">
        <v>1365</v>
      </c>
      <c r="R172" s="2" t="s">
        <v>1366</v>
      </c>
      <c r="S172" s="108" t="s">
        <v>50</v>
      </c>
      <c r="T172" s="2">
        <v>2922199690</v>
      </c>
      <c r="U172" s="2" t="s">
        <v>34</v>
      </c>
      <c r="V172" s="2" t="s">
        <v>34</v>
      </c>
      <c r="W172" s="2" t="str">
        <f t="shared" si="7"/>
        <v>Not regulated; any amount limit in internal packages</v>
      </c>
    </row>
    <row r="173" spans="1:23" ht="71.25" customHeight="1">
      <c r="A173" s="10" t="s">
        <v>1367</v>
      </c>
      <c r="B173" s="11" t="s">
        <v>1368</v>
      </c>
      <c r="C173" s="2"/>
      <c r="D173" s="2" t="s">
        <v>1369</v>
      </c>
      <c r="E173" s="4" t="s">
        <v>1370</v>
      </c>
      <c r="F173" s="7" t="s">
        <v>1371</v>
      </c>
      <c r="G173" s="2" t="s">
        <v>1372</v>
      </c>
      <c r="H173" s="2"/>
      <c r="I173" s="2">
        <v>2811</v>
      </c>
      <c r="J173" s="2" t="s">
        <v>30</v>
      </c>
      <c r="K173" s="2" t="s">
        <v>31</v>
      </c>
      <c r="L173" s="2" t="s">
        <v>1373</v>
      </c>
      <c r="M173" s="2" t="s">
        <v>1374</v>
      </c>
      <c r="N173" s="2" t="s">
        <v>59</v>
      </c>
      <c r="O173" s="2" t="s">
        <v>33</v>
      </c>
      <c r="P173" s="2" t="s">
        <v>1375</v>
      </c>
      <c r="Q173" s="2" t="s">
        <v>158</v>
      </c>
      <c r="R173" s="2" t="s">
        <v>351</v>
      </c>
      <c r="S173" s="108" t="s">
        <v>50</v>
      </c>
      <c r="T173" s="2">
        <v>2933192300</v>
      </c>
      <c r="U173" s="2" t="s">
        <v>34</v>
      </c>
      <c r="V173" s="2" t="s">
        <v>38</v>
      </c>
      <c r="W173" s="2">
        <f t="shared" si="7"/>
        <v>30</v>
      </c>
    </row>
    <row r="174" spans="1:23" ht="66" customHeight="1">
      <c r="A174" s="10" t="s">
        <v>1376</v>
      </c>
      <c r="B174" s="11" t="s">
        <v>1377</v>
      </c>
      <c r="C174" s="2"/>
      <c r="D174" s="2" t="s">
        <v>1378</v>
      </c>
      <c r="E174" s="4" t="s">
        <v>1379</v>
      </c>
      <c r="F174" s="7" t="s">
        <v>312</v>
      </c>
      <c r="G174" s="2" t="s">
        <v>1380</v>
      </c>
      <c r="H174" s="2"/>
      <c r="I174" s="2">
        <v>2512</v>
      </c>
      <c r="J174" s="2" t="s">
        <v>30</v>
      </c>
      <c r="K174" s="2" t="s">
        <v>31</v>
      </c>
      <c r="L174" s="2" t="s">
        <v>1381</v>
      </c>
      <c r="M174" s="2" t="s">
        <v>1382</v>
      </c>
      <c r="N174" s="2" t="s">
        <v>1383</v>
      </c>
      <c r="O174" s="2" t="s">
        <v>33</v>
      </c>
      <c r="P174" s="2" t="s">
        <v>129</v>
      </c>
      <c r="Q174" s="2" t="s">
        <v>1384</v>
      </c>
      <c r="R174" s="2" t="s">
        <v>307</v>
      </c>
      <c r="S174" s="108" t="s">
        <v>37</v>
      </c>
      <c r="T174" s="2">
        <v>29222908</v>
      </c>
      <c r="U174" s="2" t="s">
        <v>34</v>
      </c>
      <c r="V174" s="2" t="s">
        <v>38</v>
      </c>
      <c r="W174" s="2">
        <f t="shared" si="7"/>
        <v>30</v>
      </c>
    </row>
    <row r="175" spans="1:23" ht="75">
      <c r="A175" s="10" t="s">
        <v>1385</v>
      </c>
      <c r="B175" s="11" t="s">
        <v>1386</v>
      </c>
      <c r="C175" s="2"/>
      <c r="D175" s="2" t="s">
        <v>1387</v>
      </c>
      <c r="E175" s="4" t="s">
        <v>1388</v>
      </c>
      <c r="F175" s="2" t="s">
        <v>1389</v>
      </c>
      <c r="G175" s="2" t="s">
        <v>1390</v>
      </c>
      <c r="H175" s="2"/>
      <c r="I175" s="2">
        <v>3077</v>
      </c>
      <c r="J175" s="2">
        <v>9</v>
      </c>
      <c r="K175" s="2" t="s">
        <v>31</v>
      </c>
      <c r="L175" s="2" t="s">
        <v>1391</v>
      </c>
      <c r="M175" s="2" t="s">
        <v>59</v>
      </c>
      <c r="N175" s="2" t="s">
        <v>1392</v>
      </c>
      <c r="O175" s="97" t="s">
        <v>327</v>
      </c>
      <c r="P175" s="2" t="s">
        <v>1393</v>
      </c>
      <c r="Q175" s="2" t="s">
        <v>1394</v>
      </c>
      <c r="R175" s="2" t="s">
        <v>1395</v>
      </c>
      <c r="S175" s="108" t="s">
        <v>50</v>
      </c>
      <c r="T175" s="2">
        <v>29413000</v>
      </c>
      <c r="U175" s="2" t="s">
        <v>34</v>
      </c>
      <c r="V175" s="2" t="s">
        <v>38</v>
      </c>
      <c r="W175" s="2">
        <f t="shared" si="7"/>
        <v>30</v>
      </c>
    </row>
    <row r="176" spans="1:23" ht="75">
      <c r="A176" s="10" t="s">
        <v>1396</v>
      </c>
      <c r="B176" s="11" t="s">
        <v>1397</v>
      </c>
      <c r="C176" s="2"/>
      <c r="D176" s="2" t="s">
        <v>1398</v>
      </c>
      <c r="E176" s="4" t="s">
        <v>1223</v>
      </c>
      <c r="F176" s="2" t="s">
        <v>189</v>
      </c>
      <c r="G176" s="2" t="s">
        <v>1399</v>
      </c>
      <c r="H176" s="2"/>
      <c r="I176" s="2">
        <v>2811</v>
      </c>
      <c r="J176" s="2" t="s">
        <v>30</v>
      </c>
      <c r="K176" s="2" t="s">
        <v>65</v>
      </c>
      <c r="L176" s="2" t="s">
        <v>1400</v>
      </c>
      <c r="M176" s="2" t="s">
        <v>1401</v>
      </c>
      <c r="N176" s="2" t="s">
        <v>1402</v>
      </c>
      <c r="O176" s="2" t="s">
        <v>1403</v>
      </c>
      <c r="P176" s="2" t="s">
        <v>1404</v>
      </c>
      <c r="Q176" s="22" t="s">
        <v>1405</v>
      </c>
      <c r="R176" s="2" t="s">
        <v>351</v>
      </c>
      <c r="S176" s="108" t="s">
        <v>50</v>
      </c>
      <c r="T176" s="2">
        <v>29329990</v>
      </c>
      <c r="U176" s="2" t="s">
        <v>1304</v>
      </c>
      <c r="V176" s="2" t="s">
        <v>87</v>
      </c>
      <c r="W176" s="2">
        <f t="shared" si="7"/>
        <v>1</v>
      </c>
    </row>
    <row r="177" spans="1:23" s="61" customFormat="1" ht="135">
      <c r="A177" s="27" t="s">
        <v>1406</v>
      </c>
      <c r="B177" s="117" t="s">
        <v>1407</v>
      </c>
      <c r="C177" s="21"/>
      <c r="D177" s="21" t="s">
        <v>1408</v>
      </c>
      <c r="E177" s="28" t="s">
        <v>1409</v>
      </c>
      <c r="F177" s="21" t="s">
        <v>1243</v>
      </c>
      <c r="G177" s="21" t="s">
        <v>1410</v>
      </c>
      <c r="H177" s="21"/>
      <c r="I177" s="21">
        <v>3109</v>
      </c>
      <c r="J177" s="21" t="s">
        <v>1411</v>
      </c>
      <c r="K177" s="21" t="s">
        <v>34</v>
      </c>
      <c r="L177" s="21" t="s">
        <v>1412</v>
      </c>
      <c r="M177" s="21" t="s">
        <v>1413</v>
      </c>
      <c r="N177" s="21" t="s">
        <v>1414</v>
      </c>
      <c r="O177" s="21" t="s">
        <v>295</v>
      </c>
      <c r="P177" s="21" t="s">
        <v>1415</v>
      </c>
      <c r="Q177" s="22" t="s">
        <v>1416</v>
      </c>
      <c r="R177" s="21" t="s">
        <v>1417</v>
      </c>
      <c r="S177" s="109" t="s">
        <v>37</v>
      </c>
      <c r="T177" s="21">
        <v>2909496000</v>
      </c>
      <c r="U177" s="21" t="s">
        <v>34</v>
      </c>
      <c r="V177" s="21" t="s">
        <v>566</v>
      </c>
      <c r="W177" s="21">
        <f t="shared" si="7"/>
        <v>0</v>
      </c>
    </row>
    <row r="178" spans="1:23" s="98" customFormat="1" ht="62.45" customHeight="1">
      <c r="A178" s="57" t="s">
        <v>1418</v>
      </c>
      <c r="B178" s="11" t="s">
        <v>1419</v>
      </c>
      <c r="C178" s="14"/>
      <c r="D178" s="14" t="s">
        <v>1420</v>
      </c>
      <c r="E178" s="14" t="s">
        <v>1421</v>
      </c>
      <c r="F178" s="14" t="s">
        <v>59</v>
      </c>
      <c r="G178" s="14" t="s">
        <v>1422</v>
      </c>
      <c r="H178" s="14"/>
      <c r="I178" s="14">
        <v>3432</v>
      </c>
      <c r="J178" s="14">
        <v>9</v>
      </c>
      <c r="K178" s="14" t="s">
        <v>65</v>
      </c>
      <c r="L178" s="14" t="s">
        <v>1423</v>
      </c>
      <c r="M178" s="14" t="s">
        <v>1424</v>
      </c>
      <c r="N178" s="14" t="s">
        <v>1425</v>
      </c>
      <c r="O178" s="2" t="s">
        <v>33</v>
      </c>
      <c r="P178" s="14" t="s">
        <v>1426</v>
      </c>
      <c r="Q178" s="14" t="s">
        <v>158</v>
      </c>
      <c r="R178" s="14" t="s">
        <v>307</v>
      </c>
      <c r="S178" s="108" t="s">
        <v>50</v>
      </c>
      <c r="T178" s="9">
        <v>29039980</v>
      </c>
      <c r="U178" s="14" t="s">
        <v>34</v>
      </c>
      <c r="V178" s="14" t="s">
        <v>202</v>
      </c>
      <c r="W178" s="14">
        <f t="shared" si="7"/>
        <v>30</v>
      </c>
    </row>
    <row r="179" spans="1:23" ht="75">
      <c r="A179" s="10" t="s">
        <v>1427</v>
      </c>
      <c r="B179" s="11"/>
      <c r="C179" s="2"/>
      <c r="D179" s="2" t="s">
        <v>1428</v>
      </c>
      <c r="E179" s="2" t="s">
        <v>1429</v>
      </c>
      <c r="F179" s="2"/>
      <c r="G179" s="2" t="s">
        <v>1430</v>
      </c>
      <c r="H179" s="2"/>
      <c r="I179" s="2">
        <v>1294</v>
      </c>
      <c r="J179" s="2">
        <v>3</v>
      </c>
      <c r="K179" s="2" t="s">
        <v>65</v>
      </c>
      <c r="L179" s="2" t="s">
        <v>737</v>
      </c>
      <c r="M179" s="2" t="s">
        <v>1431</v>
      </c>
      <c r="N179" s="2" t="s">
        <v>1432</v>
      </c>
      <c r="O179" s="2"/>
      <c r="P179" s="2"/>
      <c r="Q179" s="2"/>
      <c r="R179" s="2" t="s">
        <v>1433</v>
      </c>
      <c r="S179" s="108" t="s">
        <v>50</v>
      </c>
      <c r="T179" s="2">
        <v>29023000</v>
      </c>
      <c r="U179" s="2" t="s">
        <v>34</v>
      </c>
      <c r="V179" s="2" t="s">
        <v>202</v>
      </c>
      <c r="W179" s="2">
        <f t="shared" si="6"/>
        <v>30</v>
      </c>
    </row>
    <row r="180" spans="1:23" ht="120">
      <c r="A180" s="10" t="s">
        <v>1434</v>
      </c>
      <c r="B180" s="11"/>
      <c r="C180" s="2"/>
      <c r="D180" s="2" t="s">
        <v>1435</v>
      </c>
      <c r="E180" s="2" t="s">
        <v>1436</v>
      </c>
      <c r="F180" s="2"/>
      <c r="G180" s="2" t="s">
        <v>1437</v>
      </c>
      <c r="H180" s="2"/>
      <c r="I180" s="2">
        <v>2811</v>
      </c>
      <c r="J180" s="2" t="s">
        <v>30</v>
      </c>
      <c r="K180" s="2" t="s">
        <v>31</v>
      </c>
      <c r="L180" s="2" t="s">
        <v>1438</v>
      </c>
      <c r="M180" s="2" t="s">
        <v>1439</v>
      </c>
      <c r="N180" s="2" t="s">
        <v>1440</v>
      </c>
      <c r="O180" s="2" t="s">
        <v>33</v>
      </c>
      <c r="P180" s="2"/>
      <c r="Q180" s="2"/>
      <c r="R180" s="2" t="s">
        <v>351</v>
      </c>
      <c r="S180" s="108" t="s">
        <v>50</v>
      </c>
      <c r="T180" s="2">
        <v>29349990</v>
      </c>
      <c r="U180" s="2" t="s">
        <v>34</v>
      </c>
      <c r="V180" s="2" t="s">
        <v>38</v>
      </c>
      <c r="W180" s="2">
        <f t="shared" si="6"/>
        <v>30</v>
      </c>
    </row>
    <row r="181" spans="1:23" ht="45">
      <c r="A181" s="10" t="s">
        <v>1441</v>
      </c>
      <c r="B181" s="11"/>
      <c r="C181" s="2"/>
      <c r="D181" s="2"/>
      <c r="E181" s="2" t="s">
        <v>1442</v>
      </c>
      <c r="F181" s="2"/>
      <c r="G181" s="2"/>
      <c r="H181" s="2"/>
      <c r="I181" s="2"/>
      <c r="J181" s="2"/>
      <c r="K181" s="2"/>
      <c r="L181" s="2"/>
      <c r="M181" s="2" t="s">
        <v>59</v>
      </c>
      <c r="N181" s="2" t="s">
        <v>59</v>
      </c>
      <c r="O181" s="2"/>
      <c r="P181" s="2"/>
      <c r="Q181" s="2"/>
      <c r="R181" s="2"/>
      <c r="S181" s="2"/>
      <c r="T181" s="2"/>
      <c r="U181" s="2"/>
      <c r="V181" s="2"/>
      <c r="W181" s="2" t="str">
        <f t="shared" si="6"/>
        <v>Not regulated; any amount limit in internal packages</v>
      </c>
    </row>
    <row r="182" spans="1:23" ht="75">
      <c r="A182" s="10" t="s">
        <v>1443</v>
      </c>
      <c r="B182" s="11"/>
      <c r="C182" s="2"/>
      <c r="D182" s="2"/>
      <c r="E182" s="2" t="s">
        <v>1444</v>
      </c>
      <c r="F182" s="2"/>
      <c r="G182" s="2"/>
      <c r="H182" s="2"/>
      <c r="I182" s="2"/>
      <c r="J182" s="2"/>
      <c r="K182" s="2"/>
      <c r="L182" s="2"/>
      <c r="M182" s="2" t="s">
        <v>1445</v>
      </c>
      <c r="N182" s="2" t="s">
        <v>1446</v>
      </c>
      <c r="O182" s="2"/>
      <c r="P182" s="2"/>
      <c r="Q182" s="2"/>
      <c r="R182" s="2"/>
      <c r="S182" s="2"/>
      <c r="T182" s="2"/>
      <c r="U182" s="2"/>
      <c r="V182" s="2"/>
      <c r="W182" s="2" t="str">
        <f t="shared" si="6"/>
        <v>Not regulated; any amount limit in internal packages</v>
      </c>
    </row>
    <row r="183" spans="1:23" ht="45">
      <c r="A183" s="10" t="s">
        <v>1447</v>
      </c>
      <c r="B183" s="11"/>
      <c r="C183" s="2"/>
      <c r="D183" s="2"/>
      <c r="E183" s="2" t="s">
        <v>1448</v>
      </c>
      <c r="F183" s="2"/>
      <c r="G183" s="2"/>
      <c r="H183" s="2"/>
      <c r="I183" s="2"/>
      <c r="J183" s="2"/>
      <c r="K183" s="2"/>
      <c r="L183" s="2"/>
      <c r="M183" s="2" t="s">
        <v>1449</v>
      </c>
      <c r="N183" s="2" t="s">
        <v>1450</v>
      </c>
      <c r="O183" s="2"/>
      <c r="P183" s="2"/>
      <c r="Q183" s="2"/>
      <c r="R183" s="2"/>
      <c r="S183" s="2"/>
      <c r="T183" s="2"/>
      <c r="U183" s="2"/>
      <c r="V183" s="2"/>
      <c r="W183" s="2" t="str">
        <f t="shared" si="6"/>
        <v>Not regulated; any amount limit in internal packages</v>
      </c>
    </row>
    <row r="184" spans="1:23" ht="75">
      <c r="A184" s="10" t="s">
        <v>1451</v>
      </c>
      <c r="B184" s="11"/>
      <c r="C184" s="2"/>
      <c r="D184" s="2"/>
      <c r="E184" s="2" t="s">
        <v>1452</v>
      </c>
      <c r="F184" s="2"/>
      <c r="G184" s="2"/>
      <c r="H184" s="2"/>
      <c r="I184" s="2"/>
      <c r="J184" s="2"/>
      <c r="K184" s="2"/>
      <c r="L184" s="2"/>
      <c r="M184" s="2" t="s">
        <v>1453</v>
      </c>
      <c r="N184" s="2" t="s">
        <v>1454</v>
      </c>
      <c r="O184" s="2"/>
      <c r="P184" s="2"/>
      <c r="Q184" s="2"/>
      <c r="R184" s="2"/>
      <c r="S184" s="2"/>
      <c r="T184" s="2"/>
      <c r="U184" s="2"/>
      <c r="V184" s="2"/>
      <c r="W184" s="2" t="str">
        <f t="shared" si="6"/>
        <v>Not regulated; any amount limit in internal packages</v>
      </c>
    </row>
    <row r="185" spans="1:23" ht="75">
      <c r="A185" s="57" t="s">
        <v>1455</v>
      </c>
      <c r="B185" s="11"/>
      <c r="C185" s="2"/>
      <c r="D185" s="2"/>
      <c r="E185" s="2" t="s">
        <v>1456</v>
      </c>
      <c r="F185" s="2"/>
      <c r="G185" s="2"/>
      <c r="H185" s="2"/>
      <c r="I185" s="2"/>
      <c r="J185" s="2"/>
      <c r="K185" s="2"/>
      <c r="L185" s="2"/>
      <c r="M185" s="2" t="s">
        <v>1457</v>
      </c>
      <c r="N185" s="2" t="s">
        <v>1458</v>
      </c>
      <c r="O185" s="2"/>
      <c r="P185" s="2"/>
      <c r="Q185" s="2"/>
      <c r="R185" s="2"/>
      <c r="S185" s="2"/>
      <c r="T185" s="2"/>
      <c r="U185" s="2"/>
      <c r="V185" s="2"/>
      <c r="W185" s="2" t="str">
        <f t="shared" ref="W185:W189" si="8">IF(V185="E0",0,IF(V185="E1",30,IF(V185="E2",30,IF(V185="E3",30,IF(V185="E4",1,IF(V185="E5",1, "Not regulated; any amount limit in internal packages"))))))</f>
        <v>Not regulated; any amount limit in internal packages</v>
      </c>
    </row>
    <row r="186" spans="1:23" ht="75">
      <c r="A186" s="10" t="s">
        <v>1459</v>
      </c>
      <c r="B186" s="11"/>
      <c r="C186" s="2"/>
      <c r="D186" s="2"/>
      <c r="E186" s="2" t="s">
        <v>1460</v>
      </c>
      <c r="F186" s="2"/>
      <c r="G186" s="2"/>
      <c r="H186" s="2"/>
      <c r="I186" s="2"/>
      <c r="J186" s="2"/>
      <c r="K186" s="2"/>
      <c r="L186" s="2"/>
      <c r="M186" s="2" t="s">
        <v>1461</v>
      </c>
      <c r="N186" s="2" t="s">
        <v>1462</v>
      </c>
      <c r="O186" s="2"/>
      <c r="P186" s="2"/>
      <c r="Q186" s="2"/>
      <c r="R186" s="2"/>
      <c r="S186" s="2"/>
      <c r="T186" s="2"/>
      <c r="U186" s="2"/>
      <c r="V186" s="2"/>
      <c r="W186" s="2" t="str">
        <f t="shared" si="8"/>
        <v>Not regulated; any amount limit in internal packages</v>
      </c>
    </row>
    <row r="187" spans="1:23" ht="75">
      <c r="A187" s="10" t="s">
        <v>1463</v>
      </c>
      <c r="B187" s="11"/>
      <c r="C187" s="2"/>
      <c r="D187" s="2"/>
      <c r="E187" s="2" t="s">
        <v>1464</v>
      </c>
      <c r="F187" s="2"/>
      <c r="G187" s="2"/>
      <c r="H187" s="2"/>
      <c r="I187" s="2"/>
      <c r="J187" s="2"/>
      <c r="K187" s="2"/>
      <c r="L187" s="2"/>
      <c r="M187" s="2" t="s">
        <v>1465</v>
      </c>
      <c r="N187" s="2" t="s">
        <v>1466</v>
      </c>
      <c r="O187" s="2"/>
      <c r="P187" s="2"/>
      <c r="Q187" s="2"/>
      <c r="R187" s="2"/>
      <c r="S187" s="2"/>
      <c r="T187" s="2"/>
      <c r="U187" s="2"/>
      <c r="V187" s="2"/>
      <c r="W187" s="2" t="str">
        <f t="shared" si="8"/>
        <v>Not regulated; any amount limit in internal packages</v>
      </c>
    </row>
    <row r="188" spans="1:23" ht="45">
      <c r="A188" s="10" t="s">
        <v>1467</v>
      </c>
      <c r="B188" s="11"/>
      <c r="C188" s="2"/>
      <c r="D188" s="2"/>
      <c r="E188" s="2" t="s">
        <v>1468</v>
      </c>
      <c r="F188" s="2"/>
      <c r="G188" s="2"/>
      <c r="H188" s="2"/>
      <c r="I188" s="2"/>
      <c r="J188" s="2"/>
      <c r="K188" s="2"/>
      <c r="L188" s="2"/>
      <c r="M188" s="2" t="s">
        <v>1469</v>
      </c>
      <c r="N188" s="2" t="s">
        <v>1469</v>
      </c>
      <c r="O188" s="5"/>
      <c r="P188" s="2"/>
      <c r="Q188" s="2"/>
      <c r="R188" s="2"/>
      <c r="S188" s="2"/>
      <c r="T188" s="2"/>
      <c r="U188" s="2"/>
      <c r="V188" s="2"/>
      <c r="W188" s="2" t="str">
        <f t="shared" si="8"/>
        <v>Not regulated; any amount limit in internal packages</v>
      </c>
    </row>
    <row r="189" spans="1:23" ht="75">
      <c r="A189" s="10" t="s">
        <v>1470</v>
      </c>
      <c r="B189" s="11"/>
      <c r="C189" s="2"/>
      <c r="D189" s="2"/>
      <c r="E189" s="2" t="s">
        <v>1471</v>
      </c>
      <c r="F189" s="2"/>
      <c r="G189" s="2"/>
      <c r="H189" s="2"/>
      <c r="I189" s="2"/>
      <c r="J189" s="2"/>
      <c r="K189" s="2"/>
      <c r="L189" s="2"/>
      <c r="M189" s="2" t="s">
        <v>1472</v>
      </c>
      <c r="N189" s="2" t="s">
        <v>1473</v>
      </c>
      <c r="O189" s="2"/>
      <c r="P189" s="2"/>
      <c r="Q189" s="2"/>
      <c r="R189" s="2"/>
      <c r="S189" s="2"/>
      <c r="T189" s="2"/>
      <c r="U189" s="2"/>
      <c r="V189" s="2"/>
      <c r="W189" s="2" t="str">
        <f t="shared" si="8"/>
        <v>Not regulated; any amount limit in internal packages</v>
      </c>
    </row>
    <row r="190" spans="1:23" ht="45">
      <c r="A190" s="9" t="s">
        <v>1474</v>
      </c>
      <c r="B190" s="9"/>
      <c r="C190" s="5"/>
      <c r="D190" s="5"/>
      <c r="E190" s="5" t="s">
        <v>1475</v>
      </c>
      <c r="F190" s="2"/>
      <c r="G190" s="2"/>
      <c r="H190" s="2"/>
      <c r="I190" s="2"/>
      <c r="J190" s="2"/>
      <c r="K190" s="2"/>
      <c r="L190" s="2"/>
      <c r="M190" s="2"/>
      <c r="N190" s="2"/>
      <c r="O190" s="2"/>
      <c r="P190" s="2"/>
      <c r="Q190" s="2"/>
      <c r="R190" s="2"/>
      <c r="S190" s="2"/>
      <c r="T190" s="2"/>
      <c r="U190" s="2"/>
      <c r="V190" s="2"/>
      <c r="W190" s="2" t="str">
        <f t="shared" ref="W190:W209" si="9">IF(V190="E0",0,IF(V190="E1",30,IF(V190="E2",30,IF(V190="E3",30,IF(V190="E4",1,IF(V190="E5",1, "Not regulated; any amount limit in internal packages"))))))</f>
        <v>Not regulated; any amount limit in internal packages</v>
      </c>
    </row>
    <row r="191" spans="1:23" ht="75">
      <c r="A191" s="9" t="s">
        <v>1476</v>
      </c>
      <c r="B191" s="9"/>
      <c r="C191" s="5"/>
      <c r="D191" s="5"/>
      <c r="E191" s="5" t="s">
        <v>1477</v>
      </c>
      <c r="F191" s="2"/>
      <c r="G191" s="2"/>
      <c r="H191" s="2"/>
      <c r="I191" s="2"/>
      <c r="J191" s="2"/>
      <c r="K191" s="2"/>
      <c r="L191" s="2"/>
      <c r="M191" s="2" t="s">
        <v>1478</v>
      </c>
      <c r="N191" s="2" t="s">
        <v>1479</v>
      </c>
      <c r="O191" s="2"/>
      <c r="P191" s="2"/>
      <c r="Q191" s="2"/>
      <c r="R191" s="2"/>
      <c r="S191" s="2"/>
      <c r="T191" s="2"/>
      <c r="U191" s="2"/>
      <c r="V191" s="2"/>
      <c r="W191" s="2" t="str">
        <f t="shared" si="9"/>
        <v>Not regulated; any amount limit in internal packages</v>
      </c>
    </row>
    <row r="192" spans="1:23" ht="120">
      <c r="A192" s="10" t="s">
        <v>1480</v>
      </c>
      <c r="B192" s="11"/>
      <c r="C192" s="2"/>
      <c r="D192" s="2"/>
      <c r="E192" s="4" t="s">
        <v>1481</v>
      </c>
      <c r="F192" s="2" t="s">
        <v>1482</v>
      </c>
      <c r="G192" s="2"/>
      <c r="H192" s="2"/>
      <c r="I192" s="2"/>
      <c r="J192" s="2"/>
      <c r="K192" s="2"/>
      <c r="L192" s="2"/>
      <c r="M192" s="2" t="s">
        <v>1483</v>
      </c>
      <c r="N192" s="2" t="s">
        <v>1483</v>
      </c>
      <c r="O192" s="2"/>
      <c r="P192" s="2"/>
      <c r="Q192" s="2"/>
      <c r="R192" s="2"/>
      <c r="S192" s="2"/>
      <c r="T192" s="2"/>
      <c r="U192" s="2"/>
      <c r="V192" s="2"/>
      <c r="W192" s="2" t="str">
        <f t="shared" si="9"/>
        <v>Not regulated; any amount limit in internal packages</v>
      </c>
    </row>
    <row r="193" spans="1:23" ht="45">
      <c r="A193" s="10" t="s">
        <v>1484</v>
      </c>
      <c r="B193" s="11"/>
      <c r="C193" s="2"/>
      <c r="D193" s="2"/>
      <c r="E193" s="4" t="s">
        <v>1485</v>
      </c>
      <c r="F193" s="2"/>
      <c r="G193" s="2"/>
      <c r="H193" s="2"/>
      <c r="I193" s="2"/>
      <c r="J193" s="2"/>
      <c r="K193" s="2"/>
      <c r="L193" s="2"/>
      <c r="M193" s="2" t="s">
        <v>59</v>
      </c>
      <c r="N193" s="2" t="s">
        <v>1486</v>
      </c>
      <c r="O193" s="2"/>
      <c r="P193" s="2"/>
      <c r="Q193" s="2"/>
      <c r="R193" s="2"/>
      <c r="S193" s="2"/>
      <c r="T193" s="2"/>
      <c r="U193" s="2"/>
      <c r="V193" s="2"/>
      <c r="W193" s="2" t="str">
        <f t="shared" si="9"/>
        <v>Not regulated; any amount limit in internal packages</v>
      </c>
    </row>
    <row r="194" spans="1:23" ht="45">
      <c r="A194" s="9" t="s">
        <v>1487</v>
      </c>
      <c r="B194" s="9"/>
      <c r="C194" s="5"/>
      <c r="D194" s="5"/>
      <c r="E194" s="5" t="s">
        <v>1488</v>
      </c>
      <c r="F194" s="2"/>
      <c r="G194" s="2"/>
      <c r="H194" s="2"/>
      <c r="I194" s="2"/>
      <c r="J194" s="2"/>
      <c r="K194" s="2"/>
      <c r="L194" s="2"/>
      <c r="M194" s="2"/>
      <c r="N194" s="2"/>
      <c r="O194" s="2"/>
      <c r="P194" s="2"/>
      <c r="Q194" s="2"/>
      <c r="R194" s="2"/>
      <c r="S194" s="2"/>
      <c r="T194" s="2"/>
      <c r="U194" s="2"/>
      <c r="V194" s="2"/>
      <c r="W194" s="2" t="str">
        <f t="shared" si="9"/>
        <v>Not regulated; any amount limit in internal packages</v>
      </c>
    </row>
    <row r="195" spans="1:23" ht="75">
      <c r="A195" s="10" t="s">
        <v>1489</v>
      </c>
      <c r="B195" s="11"/>
      <c r="C195" s="2"/>
      <c r="D195" s="2"/>
      <c r="E195" s="4" t="s">
        <v>1490</v>
      </c>
      <c r="F195" s="2"/>
      <c r="G195" s="2"/>
      <c r="H195" s="2"/>
      <c r="I195" s="2"/>
      <c r="J195" s="2"/>
      <c r="K195" s="2"/>
      <c r="L195" s="2"/>
      <c r="M195" s="2" t="s">
        <v>1491</v>
      </c>
      <c r="N195" s="2" t="s">
        <v>1492</v>
      </c>
      <c r="O195" s="2"/>
      <c r="P195" s="2"/>
      <c r="Q195" s="2"/>
      <c r="R195" s="2"/>
      <c r="S195" s="2"/>
      <c r="T195" s="2"/>
      <c r="U195" s="2"/>
      <c r="V195" s="2"/>
      <c r="W195" s="2" t="str">
        <f t="shared" si="9"/>
        <v>Not regulated; any amount limit in internal packages</v>
      </c>
    </row>
    <row r="196" spans="1:23" ht="75">
      <c r="A196" s="9" t="s">
        <v>1493</v>
      </c>
      <c r="B196" s="9"/>
      <c r="C196" s="5"/>
      <c r="D196" s="5"/>
      <c r="E196" s="5" t="s">
        <v>1494</v>
      </c>
      <c r="F196" s="2"/>
      <c r="G196" s="2"/>
      <c r="H196" s="2"/>
      <c r="I196" s="2"/>
      <c r="J196" s="2"/>
      <c r="K196" s="2"/>
      <c r="L196" s="2"/>
      <c r="M196" s="2" t="s">
        <v>1495</v>
      </c>
      <c r="N196" s="2" t="s">
        <v>1496</v>
      </c>
      <c r="O196" s="2"/>
      <c r="P196" s="2"/>
      <c r="Q196" s="2"/>
      <c r="R196" s="2"/>
      <c r="S196" s="2"/>
      <c r="T196" s="2"/>
      <c r="U196" s="2"/>
      <c r="V196" s="2"/>
      <c r="W196" s="2" t="str">
        <f t="shared" si="9"/>
        <v>Not regulated; any amount limit in internal packages</v>
      </c>
    </row>
    <row r="197" spans="1:23" ht="45">
      <c r="A197" s="9" t="s">
        <v>1497</v>
      </c>
      <c r="B197" s="9"/>
      <c r="C197" s="5"/>
      <c r="D197" s="5"/>
      <c r="E197" s="5" t="s">
        <v>1498</v>
      </c>
      <c r="F197" s="2"/>
      <c r="G197" s="2"/>
      <c r="H197" s="2"/>
      <c r="I197" s="2"/>
      <c r="J197" s="2"/>
      <c r="K197" s="2"/>
      <c r="L197" s="2"/>
      <c r="M197" s="2"/>
      <c r="N197" s="2"/>
      <c r="O197" s="2"/>
      <c r="P197" s="2"/>
      <c r="Q197" s="2"/>
      <c r="R197" s="2"/>
      <c r="S197" s="2"/>
      <c r="T197" s="2"/>
      <c r="U197" s="2"/>
      <c r="V197" s="2"/>
      <c r="W197" s="2" t="str">
        <f t="shared" si="9"/>
        <v>Not regulated; any amount limit in internal packages</v>
      </c>
    </row>
    <row r="198" spans="1:23" ht="45">
      <c r="A198" s="10" t="s">
        <v>1499</v>
      </c>
      <c r="B198" s="11"/>
      <c r="C198" s="2"/>
      <c r="D198" s="2"/>
      <c r="E198" s="4" t="s">
        <v>1500</v>
      </c>
      <c r="F198" s="2"/>
      <c r="G198" s="2"/>
      <c r="H198" s="2"/>
      <c r="I198" s="2"/>
      <c r="J198" s="2"/>
      <c r="K198" s="2"/>
      <c r="L198" s="2"/>
      <c r="M198" s="2" t="s">
        <v>1501</v>
      </c>
      <c r="N198" s="2" t="s">
        <v>1502</v>
      </c>
      <c r="O198" s="2"/>
      <c r="P198" s="2"/>
      <c r="Q198" s="2"/>
      <c r="R198" s="2"/>
      <c r="S198" s="2"/>
      <c r="T198" s="2"/>
      <c r="U198" s="2"/>
      <c r="V198" s="2"/>
      <c r="W198" s="2" t="str">
        <f t="shared" si="9"/>
        <v>Not regulated; any amount limit in internal packages</v>
      </c>
    </row>
    <row r="199" spans="1:23" ht="45">
      <c r="A199" s="9" t="s">
        <v>1503</v>
      </c>
      <c r="B199" s="9"/>
      <c r="C199" s="5"/>
      <c r="D199" s="5"/>
      <c r="E199" s="5" t="s">
        <v>1504</v>
      </c>
      <c r="F199" s="2"/>
      <c r="G199" s="2"/>
      <c r="H199" s="2"/>
      <c r="I199" s="2"/>
      <c r="J199" s="2"/>
      <c r="K199" s="2"/>
      <c r="L199" s="2"/>
      <c r="M199" s="2" t="s">
        <v>34</v>
      </c>
      <c r="N199" s="2" t="s">
        <v>34</v>
      </c>
      <c r="O199" s="2"/>
      <c r="P199" s="2"/>
      <c r="Q199" s="2"/>
      <c r="R199" s="2"/>
      <c r="S199" s="2"/>
      <c r="T199" s="2"/>
      <c r="U199" s="2"/>
      <c r="V199" s="2"/>
      <c r="W199" s="2" t="str">
        <f t="shared" si="9"/>
        <v>Not regulated; any amount limit in internal packages</v>
      </c>
    </row>
    <row r="200" spans="1:23" ht="45">
      <c r="A200" s="10" t="s">
        <v>1505</v>
      </c>
      <c r="B200" s="11"/>
      <c r="C200" s="2"/>
      <c r="D200" s="2"/>
      <c r="E200" s="4" t="s">
        <v>1506</v>
      </c>
      <c r="F200" s="2"/>
      <c r="G200" s="2"/>
      <c r="H200" s="2"/>
      <c r="I200" s="2"/>
      <c r="J200" s="2"/>
      <c r="K200" s="2"/>
      <c r="L200" s="2"/>
      <c r="M200" s="2" t="s">
        <v>59</v>
      </c>
      <c r="N200" s="2" t="s">
        <v>59</v>
      </c>
      <c r="O200" s="2"/>
      <c r="P200" s="2"/>
      <c r="Q200" s="2"/>
      <c r="R200" s="2"/>
      <c r="S200" s="2"/>
      <c r="T200" s="2"/>
      <c r="U200" s="2"/>
      <c r="V200" s="2"/>
      <c r="W200" s="2" t="str">
        <f t="shared" si="9"/>
        <v>Not regulated; any amount limit in internal packages</v>
      </c>
    </row>
    <row r="201" spans="1:23" ht="105">
      <c r="A201" s="10" t="s">
        <v>1507</v>
      </c>
      <c r="B201" s="11"/>
      <c r="C201" s="2"/>
      <c r="D201" s="2"/>
      <c r="E201" s="4" t="s">
        <v>1508</v>
      </c>
      <c r="F201" s="2"/>
      <c r="G201" s="2"/>
      <c r="H201" s="2"/>
      <c r="I201" s="2"/>
      <c r="J201" s="2"/>
      <c r="K201" s="2"/>
      <c r="L201" s="2"/>
      <c r="M201" s="2" t="s">
        <v>1509</v>
      </c>
      <c r="N201" s="2" t="s">
        <v>1510</v>
      </c>
      <c r="O201" s="2"/>
      <c r="P201" s="2"/>
      <c r="Q201" s="2"/>
      <c r="R201" s="2"/>
      <c r="S201" s="2"/>
      <c r="T201" s="2"/>
      <c r="U201" s="2"/>
      <c r="V201" s="2"/>
      <c r="W201" s="2" t="str">
        <f t="shared" si="9"/>
        <v>Not regulated; any amount limit in internal packages</v>
      </c>
    </row>
    <row r="202" spans="1:23" ht="45">
      <c r="A202" s="9" t="s">
        <v>1511</v>
      </c>
      <c r="B202" s="11"/>
      <c r="C202" s="2"/>
      <c r="D202" s="2"/>
      <c r="E202" s="5" t="s">
        <v>63</v>
      </c>
      <c r="F202" s="2"/>
      <c r="G202" s="2"/>
      <c r="H202" s="2"/>
      <c r="I202" s="2"/>
      <c r="J202" s="2"/>
      <c r="K202" s="2"/>
      <c r="L202" s="2"/>
      <c r="M202" s="2" t="s">
        <v>34</v>
      </c>
      <c r="N202" s="2" t="s">
        <v>34</v>
      </c>
      <c r="O202" s="2"/>
      <c r="P202" s="2"/>
      <c r="Q202" s="2"/>
      <c r="R202" s="2"/>
      <c r="S202" s="2"/>
      <c r="T202" s="2"/>
      <c r="U202" s="2"/>
      <c r="V202" s="2"/>
      <c r="W202" s="2" t="str">
        <f t="shared" si="9"/>
        <v>Not regulated; any amount limit in internal packages</v>
      </c>
    </row>
    <row r="203" spans="1:23" ht="45">
      <c r="A203" s="10" t="s">
        <v>1512</v>
      </c>
      <c r="B203" s="11"/>
      <c r="C203" s="2"/>
      <c r="D203" s="2"/>
      <c r="E203" s="4" t="s">
        <v>1513</v>
      </c>
      <c r="F203" s="2"/>
      <c r="G203" s="2"/>
      <c r="H203" s="2"/>
      <c r="I203" s="2"/>
      <c r="J203" s="2"/>
      <c r="K203" s="2"/>
      <c r="L203" s="2"/>
      <c r="M203" s="2" t="s">
        <v>1514</v>
      </c>
      <c r="N203" s="2" t="s">
        <v>59</v>
      </c>
      <c r="O203" s="2"/>
      <c r="P203" s="2"/>
      <c r="Q203" s="2"/>
      <c r="R203" s="2"/>
      <c r="S203" s="2"/>
      <c r="T203" s="2"/>
      <c r="U203" s="2"/>
      <c r="V203" s="2"/>
      <c r="W203" s="2" t="str">
        <f t="shared" si="9"/>
        <v>Not regulated; any amount limit in internal packages</v>
      </c>
    </row>
    <row r="204" spans="1:23" ht="75">
      <c r="A204" s="10" t="s">
        <v>1515</v>
      </c>
      <c r="B204" s="11"/>
      <c r="C204" s="2"/>
      <c r="D204" s="2"/>
      <c r="E204" s="4" t="s">
        <v>1516</v>
      </c>
      <c r="F204" s="2"/>
      <c r="G204" s="2"/>
      <c r="H204" s="2"/>
      <c r="I204" s="2"/>
      <c r="J204" s="2"/>
      <c r="K204" s="2"/>
      <c r="L204" s="2"/>
      <c r="M204" s="2" t="s">
        <v>1517</v>
      </c>
      <c r="N204" s="2" t="s">
        <v>1518</v>
      </c>
      <c r="O204" s="2"/>
      <c r="P204" s="2"/>
      <c r="Q204" s="2"/>
      <c r="R204" s="2"/>
      <c r="S204" s="2"/>
      <c r="T204" s="2"/>
      <c r="U204" s="2"/>
      <c r="V204" s="2"/>
      <c r="W204" s="2" t="str">
        <f t="shared" si="9"/>
        <v>Not regulated; any amount limit in internal packages</v>
      </c>
    </row>
    <row r="205" spans="1:23" ht="72" customHeight="1">
      <c r="A205" s="10" t="s">
        <v>1519</v>
      </c>
      <c r="B205" s="11"/>
      <c r="C205" s="2"/>
      <c r="D205" s="2" t="s">
        <v>1520</v>
      </c>
      <c r="E205" s="4" t="s">
        <v>1521</v>
      </c>
      <c r="F205" s="2"/>
      <c r="G205" s="7" t="s">
        <v>154</v>
      </c>
      <c r="H205" s="2"/>
      <c r="I205" s="2">
        <v>2810</v>
      </c>
      <c r="J205" s="2" t="s">
        <v>30</v>
      </c>
      <c r="K205" s="2" t="s">
        <v>31</v>
      </c>
      <c r="L205" s="2" t="s">
        <v>1522</v>
      </c>
      <c r="M205" s="2" t="s">
        <v>1523</v>
      </c>
      <c r="N205" s="2" t="s">
        <v>1524</v>
      </c>
      <c r="O205" s="2" t="s">
        <v>33</v>
      </c>
      <c r="P205" s="2"/>
      <c r="Q205" s="2"/>
      <c r="R205" s="2"/>
      <c r="S205" s="2"/>
      <c r="T205" s="2"/>
      <c r="U205" s="2"/>
      <c r="V205" s="2"/>
      <c r="W205" s="2" t="str">
        <f t="shared" si="9"/>
        <v>Not regulated; any amount limit in internal packages</v>
      </c>
    </row>
    <row r="206" spans="1:23" ht="60">
      <c r="A206" s="10" t="s">
        <v>1525</v>
      </c>
      <c r="B206" s="11"/>
      <c r="C206" s="2"/>
      <c r="D206" s="2"/>
      <c r="E206" s="4" t="s">
        <v>1526</v>
      </c>
      <c r="F206" s="2"/>
      <c r="G206" s="2"/>
      <c r="H206" s="2"/>
      <c r="I206" s="2"/>
      <c r="J206" s="2"/>
      <c r="K206" s="2"/>
      <c r="L206" s="2"/>
      <c r="M206" s="2" t="s">
        <v>1527</v>
      </c>
      <c r="N206" s="2" t="s">
        <v>1528</v>
      </c>
      <c r="O206" s="2"/>
      <c r="P206" s="2"/>
      <c r="Q206" s="2"/>
      <c r="R206" s="2"/>
      <c r="S206" s="2"/>
      <c r="T206" s="2"/>
      <c r="U206" s="2"/>
      <c r="V206" s="2"/>
      <c r="W206" s="2" t="str">
        <f t="shared" si="9"/>
        <v>Not regulated; any amount limit in internal packages</v>
      </c>
    </row>
    <row r="207" spans="1:23" ht="60">
      <c r="A207" s="10" t="s">
        <v>1529</v>
      </c>
      <c r="B207" s="11"/>
      <c r="C207" s="2"/>
      <c r="D207" s="2"/>
      <c r="E207" s="4" t="s">
        <v>1530</v>
      </c>
      <c r="F207" s="2"/>
      <c r="G207" s="2"/>
      <c r="H207" s="2"/>
      <c r="I207" s="2"/>
      <c r="J207" s="2"/>
      <c r="K207" s="2"/>
      <c r="L207" s="2"/>
      <c r="M207" s="2" t="s">
        <v>1531</v>
      </c>
      <c r="N207" s="2" t="s">
        <v>1532</v>
      </c>
      <c r="O207" s="2"/>
      <c r="P207" s="2"/>
      <c r="Q207" s="2"/>
      <c r="R207" s="2"/>
      <c r="S207" s="2"/>
      <c r="T207" s="2"/>
      <c r="U207" s="2"/>
      <c r="V207" s="2"/>
      <c r="W207" s="2" t="str">
        <f t="shared" si="9"/>
        <v>Not regulated; any amount limit in internal packages</v>
      </c>
    </row>
    <row r="208" spans="1:23" ht="85.15" customHeight="1">
      <c r="A208" s="10" t="s">
        <v>1533</v>
      </c>
      <c r="B208" s="11"/>
      <c r="C208" s="2"/>
      <c r="D208" s="2"/>
      <c r="E208" s="4" t="s">
        <v>1534</v>
      </c>
      <c r="F208" s="2"/>
      <c r="G208" s="2"/>
      <c r="H208" s="2"/>
      <c r="I208" s="2"/>
      <c r="J208" s="2"/>
      <c r="K208" s="2"/>
      <c r="L208" s="2"/>
      <c r="M208" s="2" t="s">
        <v>1535</v>
      </c>
      <c r="N208" s="2" t="s">
        <v>1536</v>
      </c>
      <c r="O208" s="2"/>
      <c r="P208" s="2"/>
      <c r="Q208" s="2"/>
      <c r="R208" s="2"/>
      <c r="S208" s="2"/>
      <c r="T208" s="2"/>
      <c r="U208" s="2"/>
      <c r="V208" s="2"/>
      <c r="W208" s="2" t="str">
        <f t="shared" si="9"/>
        <v>Not regulated; any amount limit in internal packages</v>
      </c>
    </row>
    <row r="209" spans="1:23" ht="45">
      <c r="A209" s="9" t="s">
        <v>454</v>
      </c>
      <c r="B209" s="11"/>
      <c r="C209" s="2"/>
      <c r="D209" s="2"/>
      <c r="E209" s="5" t="s">
        <v>457</v>
      </c>
      <c r="F209" s="2"/>
      <c r="G209" s="2"/>
      <c r="H209" s="2"/>
      <c r="I209" s="2"/>
      <c r="J209" s="2"/>
      <c r="K209" s="2"/>
      <c r="L209" s="2"/>
      <c r="M209" s="2"/>
      <c r="N209" s="2"/>
      <c r="O209" s="2"/>
      <c r="P209" s="2"/>
      <c r="Q209" s="2"/>
      <c r="R209" s="2"/>
      <c r="S209" s="2"/>
      <c r="T209" s="2"/>
      <c r="U209" s="2"/>
      <c r="V209" s="2"/>
      <c r="W209" s="2" t="str">
        <f t="shared" si="9"/>
        <v>Not regulated; any amount limit in internal packages</v>
      </c>
    </row>
    <row r="210" spans="1:23" ht="45">
      <c r="A210" s="10" t="s">
        <v>1537</v>
      </c>
      <c r="B210" s="11"/>
      <c r="C210" s="2"/>
      <c r="D210" s="2"/>
      <c r="E210" s="4" t="s">
        <v>1538</v>
      </c>
      <c r="F210" s="2"/>
      <c r="G210" s="2"/>
      <c r="H210" s="2"/>
      <c r="I210" s="2"/>
      <c r="J210" s="2"/>
      <c r="K210" s="2"/>
      <c r="L210" s="2"/>
      <c r="M210" s="2" t="s">
        <v>59</v>
      </c>
      <c r="N210" s="2" t="s">
        <v>59</v>
      </c>
      <c r="O210" s="2"/>
      <c r="P210" s="2"/>
      <c r="Q210" s="2"/>
      <c r="R210" s="2"/>
      <c r="S210" s="2"/>
      <c r="T210" s="2"/>
      <c r="U210" s="2"/>
      <c r="V210" s="2"/>
      <c r="W210" s="2" t="str">
        <f t="shared" ref="W210:W221" si="10">IF(V210="E0",0,IF(V210="E1",30,IF(V210="E2",30,IF(V210="E3",30,IF(V210="E4",1,IF(V210="E5",1, "Not regulated; any amount limit in internal packages"))))))</f>
        <v>Not regulated; any amount limit in internal packages</v>
      </c>
    </row>
    <row r="211" spans="1:23" ht="45">
      <c r="A211" s="9" t="s">
        <v>1539</v>
      </c>
      <c r="B211" s="9"/>
      <c r="C211" s="5"/>
      <c r="D211" s="2"/>
      <c r="E211" s="5" t="s">
        <v>1540</v>
      </c>
      <c r="F211" s="2"/>
      <c r="G211" s="2"/>
      <c r="H211" s="2"/>
      <c r="I211" s="2"/>
      <c r="J211" s="2"/>
      <c r="K211" s="2"/>
      <c r="L211" s="2"/>
      <c r="M211" s="2"/>
      <c r="N211" s="2"/>
      <c r="O211" s="2"/>
      <c r="P211" s="2"/>
      <c r="Q211" s="2"/>
      <c r="R211" s="2"/>
      <c r="S211" s="2"/>
      <c r="T211" s="2"/>
      <c r="U211" s="2"/>
      <c r="V211" s="2"/>
      <c r="W211" s="2" t="str">
        <f t="shared" si="10"/>
        <v>Not regulated; any amount limit in internal packages</v>
      </c>
    </row>
    <row r="212" spans="1:23" ht="45">
      <c r="A212" s="10" t="s">
        <v>1541</v>
      </c>
      <c r="B212" s="11"/>
      <c r="C212" s="2"/>
      <c r="D212" s="2"/>
      <c r="E212" s="4" t="s">
        <v>1542</v>
      </c>
      <c r="F212" s="2"/>
      <c r="G212" s="2"/>
      <c r="H212" s="2"/>
      <c r="I212" s="2"/>
      <c r="J212" s="2"/>
      <c r="K212" s="2"/>
      <c r="L212" s="2"/>
      <c r="M212" s="2" t="s">
        <v>59</v>
      </c>
      <c r="N212" s="2" t="s">
        <v>59</v>
      </c>
      <c r="O212" s="2"/>
      <c r="P212" s="2"/>
      <c r="Q212" s="2"/>
      <c r="R212" s="2"/>
      <c r="S212" s="2"/>
      <c r="T212" s="2"/>
      <c r="U212" s="2"/>
      <c r="V212" s="2"/>
      <c r="W212" s="2" t="str">
        <f t="shared" si="10"/>
        <v>Not regulated; any amount limit in internal packages</v>
      </c>
    </row>
    <row r="213" spans="1:23" ht="45">
      <c r="A213" s="10" t="s">
        <v>1543</v>
      </c>
      <c r="B213" s="11"/>
      <c r="C213" s="2"/>
      <c r="D213" s="2"/>
      <c r="E213" s="4" t="s">
        <v>1544</v>
      </c>
      <c r="F213" s="2"/>
      <c r="G213" s="2"/>
      <c r="H213" s="2"/>
      <c r="I213" s="2"/>
      <c r="J213" s="2"/>
      <c r="K213" s="2"/>
      <c r="L213" s="2"/>
      <c r="M213" s="2" t="s">
        <v>1545</v>
      </c>
      <c r="N213" s="2" t="s">
        <v>1546</v>
      </c>
      <c r="O213" s="2"/>
      <c r="P213" s="2"/>
      <c r="Q213" s="2"/>
      <c r="R213" s="2"/>
      <c r="S213" s="2"/>
      <c r="T213" s="2"/>
      <c r="U213" s="2"/>
      <c r="V213" s="2"/>
      <c r="W213" s="2" t="str">
        <f t="shared" si="10"/>
        <v>Not regulated; any amount limit in internal packages</v>
      </c>
    </row>
    <row r="214" spans="1:23" ht="45">
      <c r="A214" s="10" t="s">
        <v>1547</v>
      </c>
      <c r="B214" s="11"/>
      <c r="C214" s="2"/>
      <c r="D214" s="2"/>
      <c r="E214" s="4" t="s">
        <v>1548</v>
      </c>
      <c r="F214" s="2"/>
      <c r="G214" s="2"/>
      <c r="H214" s="2"/>
      <c r="I214" s="2"/>
      <c r="J214" s="2"/>
      <c r="K214" s="2"/>
      <c r="L214" s="2"/>
      <c r="M214" s="2" t="s">
        <v>1549</v>
      </c>
      <c r="N214" s="2" t="s">
        <v>59</v>
      </c>
      <c r="O214" s="2"/>
      <c r="P214" s="2"/>
      <c r="Q214" s="2"/>
      <c r="R214" s="2"/>
      <c r="S214" s="2"/>
      <c r="T214" s="2"/>
      <c r="U214" s="2"/>
      <c r="V214" s="2"/>
      <c r="W214" s="2" t="str">
        <f t="shared" si="10"/>
        <v>Not regulated; any amount limit in internal packages</v>
      </c>
    </row>
    <row r="215" spans="1:23" ht="195">
      <c r="A215" s="57" t="s">
        <v>1550</v>
      </c>
      <c r="B215" s="11"/>
      <c r="C215" s="2"/>
      <c r="D215" s="2"/>
      <c r="E215" s="4" t="s">
        <v>1551</v>
      </c>
      <c r="F215" s="2"/>
      <c r="G215" s="2"/>
      <c r="H215" s="2"/>
      <c r="I215" s="2"/>
      <c r="J215" s="2"/>
      <c r="K215" s="2"/>
      <c r="L215" s="2"/>
      <c r="M215" s="2" t="s">
        <v>1552</v>
      </c>
      <c r="N215" s="2" t="s">
        <v>1553</v>
      </c>
      <c r="O215" s="2"/>
      <c r="P215" s="2"/>
      <c r="Q215" s="2"/>
      <c r="R215" s="2"/>
      <c r="S215" s="2"/>
      <c r="T215" s="2"/>
      <c r="U215" s="2"/>
      <c r="V215" s="2"/>
      <c r="W215" s="2" t="str">
        <f t="shared" si="10"/>
        <v>Not regulated; any amount limit in internal packages</v>
      </c>
    </row>
    <row r="216" spans="1:23" ht="45">
      <c r="A216" s="10" t="s">
        <v>1554</v>
      </c>
      <c r="B216" s="11"/>
      <c r="C216" s="2"/>
      <c r="D216" s="2"/>
      <c r="E216" s="4" t="s">
        <v>1555</v>
      </c>
      <c r="F216" s="2"/>
      <c r="G216" s="2"/>
      <c r="H216" s="2"/>
      <c r="I216" s="2"/>
      <c r="J216" s="2"/>
      <c r="K216" s="2"/>
      <c r="L216" s="2"/>
      <c r="M216" s="2" t="s">
        <v>1556</v>
      </c>
      <c r="N216" s="2" t="s">
        <v>1557</v>
      </c>
      <c r="O216" s="2"/>
      <c r="P216" s="2"/>
      <c r="Q216" s="2"/>
      <c r="R216" s="2"/>
      <c r="S216" s="2"/>
      <c r="T216" s="2"/>
      <c r="U216" s="2"/>
      <c r="V216" s="2"/>
      <c r="W216" s="2" t="str">
        <f t="shared" si="10"/>
        <v>Not regulated; any amount limit in internal packages</v>
      </c>
    </row>
    <row r="217" spans="1:23" ht="45">
      <c r="A217" s="9" t="s">
        <v>1558</v>
      </c>
      <c r="B217" s="9"/>
      <c r="C217" s="5"/>
      <c r="D217" s="5"/>
      <c r="E217" s="5" t="s">
        <v>1559</v>
      </c>
      <c r="F217" s="5"/>
      <c r="G217" s="2"/>
      <c r="H217" s="2"/>
      <c r="I217" s="2"/>
      <c r="J217" s="2"/>
      <c r="K217" s="2"/>
      <c r="L217" s="2"/>
      <c r="M217" s="2"/>
      <c r="N217" s="2"/>
      <c r="O217" s="2"/>
      <c r="P217" s="2"/>
      <c r="Q217" s="2"/>
      <c r="R217" s="2"/>
      <c r="S217" s="2"/>
      <c r="T217" s="2"/>
      <c r="U217" s="2"/>
      <c r="V217" s="2"/>
      <c r="W217" s="2" t="str">
        <f t="shared" si="10"/>
        <v>Not regulated; any amount limit in internal packages</v>
      </c>
    </row>
    <row r="218" spans="1:23" ht="60">
      <c r="A218" s="10" t="s">
        <v>1560</v>
      </c>
      <c r="B218" s="11"/>
      <c r="C218" s="2"/>
      <c r="D218" s="2"/>
      <c r="E218" s="4" t="s">
        <v>1561</v>
      </c>
      <c r="F218" s="2"/>
      <c r="G218" s="2"/>
      <c r="H218" s="2"/>
      <c r="I218" s="2"/>
      <c r="J218" s="2"/>
      <c r="K218" s="2"/>
      <c r="L218" s="2"/>
      <c r="M218" s="2" t="s">
        <v>1562</v>
      </c>
      <c r="N218" s="2" t="s">
        <v>1563</v>
      </c>
      <c r="O218" s="2"/>
      <c r="P218" s="2"/>
      <c r="Q218" s="2"/>
      <c r="R218" s="2"/>
      <c r="S218" s="2"/>
      <c r="T218" s="2"/>
      <c r="U218" s="2"/>
      <c r="V218" s="2"/>
      <c r="W218" s="2" t="str">
        <f t="shared" si="10"/>
        <v>Not regulated; any amount limit in internal packages</v>
      </c>
    </row>
    <row r="219" spans="1:23" ht="75">
      <c r="A219" s="10" t="s">
        <v>1564</v>
      </c>
      <c r="B219" s="11"/>
      <c r="C219" s="2"/>
      <c r="D219" s="2"/>
      <c r="E219" s="20" t="s">
        <v>1565</v>
      </c>
      <c r="F219" s="2"/>
      <c r="G219" s="2"/>
      <c r="H219" s="2"/>
      <c r="I219" s="2"/>
      <c r="J219" s="2"/>
      <c r="K219" s="2"/>
      <c r="L219" s="2"/>
      <c r="M219" s="2" t="s">
        <v>1566</v>
      </c>
      <c r="N219" s="2" t="s">
        <v>1567</v>
      </c>
      <c r="O219" s="2"/>
      <c r="P219" s="2"/>
      <c r="Q219" s="2"/>
      <c r="R219" s="2"/>
      <c r="S219" s="2"/>
      <c r="T219" s="2"/>
      <c r="U219" s="2"/>
      <c r="V219" s="2"/>
      <c r="W219" s="2" t="str">
        <f t="shared" si="10"/>
        <v>Not regulated; any amount limit in internal packages</v>
      </c>
    </row>
    <row r="220" spans="1:23" ht="45">
      <c r="A220" s="9" t="s">
        <v>1568</v>
      </c>
      <c r="B220" s="9"/>
      <c r="C220" s="5"/>
      <c r="D220" s="5"/>
      <c r="E220" s="5" t="s">
        <v>1569</v>
      </c>
      <c r="F220" s="2"/>
      <c r="G220" s="2"/>
      <c r="H220" s="2"/>
      <c r="I220" s="2"/>
      <c r="J220" s="2"/>
      <c r="K220" s="2"/>
      <c r="L220" s="2"/>
      <c r="M220" s="2"/>
      <c r="N220" s="2"/>
      <c r="O220" s="2"/>
      <c r="P220" s="2"/>
      <c r="Q220" s="2"/>
      <c r="R220" s="2"/>
      <c r="S220" s="2"/>
      <c r="T220" s="2"/>
      <c r="U220" s="2"/>
      <c r="V220" s="2"/>
      <c r="W220" s="2" t="str">
        <f t="shared" si="10"/>
        <v>Not regulated; any amount limit in internal packages</v>
      </c>
    </row>
    <row r="221" spans="1:23" ht="45">
      <c r="A221" s="9" t="s">
        <v>1570</v>
      </c>
      <c r="B221" s="9"/>
      <c r="C221" s="5"/>
      <c r="D221" s="5"/>
      <c r="E221" s="5" t="s">
        <v>1388</v>
      </c>
      <c r="F221" s="2"/>
      <c r="G221" s="2"/>
      <c r="H221" s="2"/>
      <c r="I221" s="2"/>
      <c r="J221" s="2"/>
      <c r="K221" s="2"/>
      <c r="L221" s="2"/>
      <c r="M221" s="2"/>
      <c r="N221" s="2"/>
      <c r="O221" s="2"/>
      <c r="P221" s="2"/>
      <c r="Q221" s="2"/>
      <c r="R221" s="2"/>
      <c r="S221" s="2"/>
      <c r="T221" s="2"/>
      <c r="U221" s="2"/>
      <c r="V221" s="2"/>
      <c r="W221" s="2" t="str">
        <f t="shared" si="10"/>
        <v>Not regulated; any amount limit in internal packages</v>
      </c>
    </row>
    <row r="222" spans="1:23" ht="45">
      <c r="A222" s="65" t="s">
        <v>1571</v>
      </c>
      <c r="B222" s="11"/>
      <c r="C222" s="2"/>
      <c r="D222" s="2"/>
      <c r="E222" s="2"/>
      <c r="F222" s="2"/>
      <c r="G222" s="2"/>
      <c r="H222" s="2"/>
      <c r="I222" s="2"/>
      <c r="J222" s="2"/>
      <c r="K222" s="2"/>
      <c r="L222" s="2"/>
      <c r="M222" s="2"/>
      <c r="N222" s="2"/>
      <c r="O222" s="2"/>
      <c r="P222" s="2"/>
      <c r="Q222" s="2"/>
      <c r="R222" s="2"/>
      <c r="S222" s="2"/>
      <c r="T222" s="2"/>
      <c r="U222" s="2"/>
      <c r="V222" s="2"/>
      <c r="W222" s="2" t="str">
        <f>IF(V222="E0",0,IF(V222="E1",30,IF(V222="E2",30,IF(V222="E3",30,IF(V222="E4",1,IF(V222="E5",1, "Not regulated; any amount limit in internal packages"))))))</f>
        <v>Not regulated; any amount limit in internal packages</v>
      </c>
    </row>
    <row r="223" spans="1:23" ht="75">
      <c r="A223" s="10" t="s">
        <v>1572</v>
      </c>
      <c r="B223" s="11" t="s">
        <v>1573</v>
      </c>
      <c r="C223" s="2"/>
      <c r="D223" s="2" t="s">
        <v>1574</v>
      </c>
      <c r="E223" s="2" t="s">
        <v>1575</v>
      </c>
      <c r="F223" s="14" t="s">
        <v>1297</v>
      </c>
      <c r="G223" s="2" t="s">
        <v>758</v>
      </c>
      <c r="H223" s="2"/>
      <c r="I223" s="2" t="s">
        <v>34</v>
      </c>
      <c r="J223" s="2" t="s">
        <v>34</v>
      </c>
      <c r="K223" s="2" t="s">
        <v>34</v>
      </c>
      <c r="L223" s="2" t="s">
        <v>75</v>
      </c>
      <c r="M223" s="2" t="s">
        <v>1576</v>
      </c>
      <c r="N223" s="2" t="s">
        <v>1577</v>
      </c>
      <c r="O223" s="2" t="s">
        <v>33</v>
      </c>
      <c r="P223" s="2" t="s">
        <v>1578</v>
      </c>
      <c r="Q223" s="2" t="s">
        <v>34</v>
      </c>
      <c r="R223" s="2" t="s">
        <v>307</v>
      </c>
      <c r="S223" s="2" t="s">
        <v>37</v>
      </c>
      <c r="T223" s="2">
        <v>2924296210</v>
      </c>
      <c r="U223" s="2" t="s">
        <v>34</v>
      </c>
      <c r="V223" s="2" t="s">
        <v>34</v>
      </c>
      <c r="W223" s="2" t="str">
        <f>IF(V223="E0",0,IF(V223="E1",30,IF(V223="E2",30,IF(V223="E3",30,IF(V223="E4",1,IF(V223="E5",1, "Not regulated; any amount limit in internal packages"))))))</f>
        <v>Not regulated; any amount limit in internal packages</v>
      </c>
    </row>
    <row r="224" spans="1:23" ht="45">
      <c r="A224" s="65" t="s">
        <v>1579</v>
      </c>
      <c r="B224" s="11"/>
      <c r="C224" s="2"/>
      <c r="D224" s="2"/>
      <c r="E224" s="2"/>
      <c r="F224" s="2"/>
      <c r="G224" s="2"/>
      <c r="H224" s="2"/>
      <c r="I224" s="2"/>
      <c r="J224" s="2"/>
      <c r="K224" s="2"/>
      <c r="L224" s="2"/>
      <c r="M224" s="2"/>
      <c r="N224" s="2"/>
      <c r="O224" s="2"/>
      <c r="P224" s="2"/>
      <c r="Q224" s="2"/>
      <c r="R224" s="2"/>
      <c r="S224" s="2"/>
      <c r="T224" s="2"/>
      <c r="U224" s="2"/>
      <c r="V224" s="2"/>
      <c r="W224" s="2" t="str">
        <f>IF(V224="E0",0,IF(V224="E1",30,IF(V224="E2",30,IF(V224="E3",30,IF(V224="E4",1,IF(V224="E5",1, "Not regulated; any amount limit in internal packages"))))))</f>
        <v>Not regulated; any amount limit in internal packages</v>
      </c>
    </row>
    <row r="225" spans="1:23" ht="50.25" customHeight="1">
      <c r="A225" s="10" t="s">
        <v>1580</v>
      </c>
      <c r="B225" s="11" t="s">
        <v>1581</v>
      </c>
      <c r="C225" s="2"/>
      <c r="D225" s="2" t="s">
        <v>1582</v>
      </c>
      <c r="E225" s="4" t="s">
        <v>1583</v>
      </c>
      <c r="F225" s="2"/>
      <c r="G225" s="7" t="s">
        <v>154</v>
      </c>
      <c r="H225" s="2"/>
      <c r="I225" s="133">
        <v>3077</v>
      </c>
      <c r="J225" s="133">
        <v>9</v>
      </c>
      <c r="K225" s="133" t="s">
        <v>31</v>
      </c>
      <c r="L225" s="2" t="s">
        <v>1584</v>
      </c>
      <c r="M225" s="133">
        <v>0.7</v>
      </c>
      <c r="N225" s="133">
        <v>5.0000000000000002E-5</v>
      </c>
      <c r="O225" s="21" t="s">
        <v>317</v>
      </c>
      <c r="P225" s="2" t="s">
        <v>1585</v>
      </c>
      <c r="Q225" s="2" t="s">
        <v>158</v>
      </c>
      <c r="R225" s="2" t="s">
        <v>1586</v>
      </c>
      <c r="S225" s="6" t="s">
        <v>50</v>
      </c>
      <c r="T225" s="2">
        <v>29319090</v>
      </c>
      <c r="U225" s="2" t="s">
        <v>1587</v>
      </c>
      <c r="V225" s="133" t="s">
        <v>38</v>
      </c>
      <c r="W225" s="2">
        <f t="shared" ref="W225:W254" si="11">IF(V225="E0",0,IF(V225="E1",30,IF(V225="E2",30,IF(V225="E3",30,IF(V225="E4",1,IF(V225="E5",1, "Not regulated; any amount limit in internal packages"))))))</f>
        <v>30</v>
      </c>
    </row>
    <row r="226" spans="1:23" ht="57" customHeight="1">
      <c r="A226" s="10" t="s">
        <v>1588</v>
      </c>
      <c r="B226" s="11" t="s">
        <v>1589</v>
      </c>
      <c r="C226" s="2"/>
      <c r="D226" s="2" t="s">
        <v>1590</v>
      </c>
      <c r="E226" s="4" t="s">
        <v>1591</v>
      </c>
      <c r="F226" s="2"/>
      <c r="G226" s="7" t="s">
        <v>678</v>
      </c>
      <c r="H226" s="2"/>
      <c r="I226" s="133" t="s">
        <v>34</v>
      </c>
      <c r="J226" s="133" t="s">
        <v>34</v>
      </c>
      <c r="K226" s="133" t="s">
        <v>34</v>
      </c>
      <c r="L226" s="2" t="s">
        <v>75</v>
      </c>
      <c r="M226" s="133" t="s">
        <v>1592</v>
      </c>
      <c r="N226" s="133">
        <v>8.6999999999999993</v>
      </c>
      <c r="O226" s="133" t="s">
        <v>1593</v>
      </c>
      <c r="P226" s="2" t="s">
        <v>1594</v>
      </c>
      <c r="Q226" s="2" t="s">
        <v>34</v>
      </c>
      <c r="R226" s="2" t="s">
        <v>1595</v>
      </c>
      <c r="S226" s="6" t="s">
        <v>50</v>
      </c>
      <c r="T226" s="2">
        <v>29332100</v>
      </c>
      <c r="U226" s="2" t="s">
        <v>34</v>
      </c>
      <c r="V226" s="133" t="s">
        <v>34</v>
      </c>
      <c r="W226" s="2" t="str">
        <f t="shared" si="11"/>
        <v>Not regulated; any amount limit in internal packages</v>
      </c>
    </row>
    <row r="227" spans="1:23" ht="93.75" customHeight="1">
      <c r="A227" s="10" t="s">
        <v>1596</v>
      </c>
      <c r="B227" s="11" t="s">
        <v>1597</v>
      </c>
      <c r="C227" s="2"/>
      <c r="D227" s="2" t="s">
        <v>1598</v>
      </c>
      <c r="E227" s="4" t="s">
        <v>1599</v>
      </c>
      <c r="F227" s="2"/>
      <c r="G227" s="2" t="s">
        <v>59</v>
      </c>
      <c r="H227" s="2"/>
      <c r="I227" s="133">
        <v>3077</v>
      </c>
      <c r="J227" s="133">
        <v>9</v>
      </c>
      <c r="K227" s="133" t="s">
        <v>31</v>
      </c>
      <c r="L227" s="2" t="s">
        <v>1600</v>
      </c>
      <c r="M227" s="133">
        <v>8.6999999999999993</v>
      </c>
      <c r="N227" s="133" t="s">
        <v>59</v>
      </c>
      <c r="O227" s="133" t="s">
        <v>1593</v>
      </c>
      <c r="P227" s="2" t="s">
        <v>1601</v>
      </c>
      <c r="Q227" s="2" t="s">
        <v>158</v>
      </c>
      <c r="R227" s="133" t="s">
        <v>1602</v>
      </c>
      <c r="S227" s="6" t="s">
        <v>50</v>
      </c>
      <c r="T227" s="2">
        <v>29339946</v>
      </c>
      <c r="U227" s="2" t="s">
        <v>34</v>
      </c>
      <c r="V227" s="133" t="s">
        <v>38</v>
      </c>
      <c r="W227" s="2">
        <f t="shared" si="11"/>
        <v>30</v>
      </c>
    </row>
    <row r="228" spans="1:23" ht="90.75">
      <c r="A228" s="10" t="s">
        <v>1603</v>
      </c>
      <c r="B228" s="11" t="s">
        <v>1604</v>
      </c>
      <c r="C228" s="2"/>
      <c r="D228" s="2" t="s">
        <v>1605</v>
      </c>
      <c r="E228" s="4" t="s">
        <v>1606</v>
      </c>
      <c r="F228" s="2" t="s">
        <v>1607</v>
      </c>
      <c r="G228" s="2" t="s">
        <v>59</v>
      </c>
      <c r="H228" s="2"/>
      <c r="I228" s="133">
        <v>2875</v>
      </c>
      <c r="J228" s="133">
        <v>6.1</v>
      </c>
      <c r="K228" s="133" t="s">
        <v>31</v>
      </c>
      <c r="L228" s="2" t="s">
        <v>1603</v>
      </c>
      <c r="M228" s="133">
        <v>1.9E-2</v>
      </c>
      <c r="N228" s="133">
        <v>0.2</v>
      </c>
      <c r="O228" s="133" t="s">
        <v>1593</v>
      </c>
      <c r="P228" s="2" t="s">
        <v>1608</v>
      </c>
      <c r="Q228" s="2" t="s">
        <v>158</v>
      </c>
      <c r="R228" s="145" t="s">
        <v>351</v>
      </c>
      <c r="S228" s="2" t="s">
        <v>1609</v>
      </c>
      <c r="T228" s="2">
        <v>29072990</v>
      </c>
      <c r="U228" s="2" t="s">
        <v>34</v>
      </c>
      <c r="V228" s="133" t="s">
        <v>38</v>
      </c>
      <c r="W228" s="2">
        <f t="shared" si="11"/>
        <v>30</v>
      </c>
    </row>
    <row r="229" spans="1:23" ht="90">
      <c r="A229" s="10" t="s">
        <v>1610</v>
      </c>
      <c r="B229" s="11" t="s">
        <v>1611</v>
      </c>
      <c r="C229" s="2" t="s">
        <v>1612</v>
      </c>
      <c r="D229" s="2" t="s">
        <v>1613</v>
      </c>
      <c r="E229" s="4" t="s">
        <v>1614</v>
      </c>
      <c r="F229" s="2"/>
      <c r="G229" s="2" t="s">
        <v>59</v>
      </c>
      <c r="H229" s="2"/>
      <c r="I229" s="133">
        <v>3146</v>
      </c>
      <c r="J229" s="133">
        <v>6.1</v>
      </c>
      <c r="K229" s="133" t="s">
        <v>31</v>
      </c>
      <c r="L229" s="2" t="s">
        <v>1615</v>
      </c>
      <c r="M229" s="133">
        <v>0.75</v>
      </c>
      <c r="N229" s="133">
        <v>0.26</v>
      </c>
      <c r="O229" s="5" t="s">
        <v>1616</v>
      </c>
      <c r="P229" s="2" t="s">
        <v>1617</v>
      </c>
      <c r="Q229" s="22" t="s">
        <v>1618</v>
      </c>
      <c r="R229" s="2" t="s">
        <v>1619</v>
      </c>
      <c r="S229" s="2" t="s">
        <v>37</v>
      </c>
      <c r="T229" s="2">
        <v>2931490050</v>
      </c>
      <c r="U229" s="2" t="s">
        <v>34</v>
      </c>
      <c r="V229" s="133" t="s">
        <v>38</v>
      </c>
      <c r="W229" s="2">
        <f t="shared" si="11"/>
        <v>30</v>
      </c>
    </row>
    <row r="230" spans="1:23" ht="95.25" customHeight="1">
      <c r="A230" s="10" t="s">
        <v>1620</v>
      </c>
      <c r="B230" s="11" t="s">
        <v>1621</v>
      </c>
      <c r="C230" s="2" t="s">
        <v>1622</v>
      </c>
      <c r="D230" s="2" t="s">
        <v>1623</v>
      </c>
      <c r="E230" s="4" t="s">
        <v>1624</v>
      </c>
      <c r="F230" s="2"/>
      <c r="G230" s="2" t="s">
        <v>1625</v>
      </c>
      <c r="H230" s="2"/>
      <c r="I230" s="133">
        <v>3261</v>
      </c>
      <c r="J230" s="133">
        <v>8</v>
      </c>
      <c r="K230" s="133" t="s">
        <v>31</v>
      </c>
      <c r="L230" s="2" t="s">
        <v>1626</v>
      </c>
      <c r="M230" s="133">
        <v>51</v>
      </c>
      <c r="N230" s="133">
        <v>199.51</v>
      </c>
      <c r="O230" s="14" t="s">
        <v>33</v>
      </c>
      <c r="P230" s="2" t="s">
        <v>1627</v>
      </c>
      <c r="Q230" s="2" t="s">
        <v>34</v>
      </c>
      <c r="R230" s="145" t="s">
        <v>351</v>
      </c>
      <c r="S230" s="2" t="s">
        <v>1628</v>
      </c>
      <c r="T230" s="2">
        <v>29043100</v>
      </c>
      <c r="U230" s="2" t="s">
        <v>34</v>
      </c>
      <c r="V230" s="133" t="s">
        <v>38</v>
      </c>
      <c r="W230" s="2">
        <f t="shared" si="11"/>
        <v>30</v>
      </c>
    </row>
    <row r="231" spans="1:23" ht="63" customHeight="1">
      <c r="A231" s="10" t="s">
        <v>1629</v>
      </c>
      <c r="B231" s="11" t="s">
        <v>1630</v>
      </c>
      <c r="C231" s="2" t="s">
        <v>1631</v>
      </c>
      <c r="D231" s="2" t="s">
        <v>1632</v>
      </c>
      <c r="E231" s="4" t="s">
        <v>1633</v>
      </c>
      <c r="F231" s="2"/>
      <c r="G231" s="2" t="s">
        <v>59</v>
      </c>
      <c r="H231" s="2"/>
      <c r="I231" s="133">
        <v>3077</v>
      </c>
      <c r="J231" s="133">
        <v>9</v>
      </c>
      <c r="K231" s="133" t="s">
        <v>31</v>
      </c>
      <c r="L231" s="2" t="s">
        <v>1634</v>
      </c>
      <c r="M231" s="133">
        <v>1.47E-3</v>
      </c>
      <c r="N231" s="133" t="s">
        <v>1592</v>
      </c>
      <c r="O231" s="149" t="s">
        <v>1635</v>
      </c>
      <c r="P231" s="2" t="s">
        <v>1636</v>
      </c>
      <c r="Q231" s="22" t="s">
        <v>1637</v>
      </c>
      <c r="R231" s="145" t="s">
        <v>351</v>
      </c>
      <c r="S231" s="2" t="s">
        <v>37</v>
      </c>
      <c r="T231" s="2">
        <v>29362100</v>
      </c>
      <c r="U231" s="2" t="s">
        <v>34</v>
      </c>
      <c r="V231" s="133" t="s">
        <v>38</v>
      </c>
      <c r="W231" s="2">
        <f t="shared" si="11"/>
        <v>30</v>
      </c>
    </row>
    <row r="232" spans="1:23" ht="63" customHeight="1">
      <c r="A232" s="10" t="s">
        <v>1638</v>
      </c>
      <c r="B232" s="11" t="s">
        <v>1639</v>
      </c>
      <c r="C232" s="2"/>
      <c r="D232" s="2" t="s">
        <v>1640</v>
      </c>
      <c r="E232" s="4" t="s">
        <v>1641</v>
      </c>
      <c r="F232" s="2"/>
      <c r="G232" s="2" t="s">
        <v>59</v>
      </c>
      <c r="H232" s="2"/>
      <c r="I232" s="133">
        <v>2811</v>
      </c>
      <c r="J232" s="133">
        <v>6.1</v>
      </c>
      <c r="K232" s="133" t="s">
        <v>31</v>
      </c>
      <c r="L232" s="2" t="s">
        <v>1642</v>
      </c>
      <c r="M232" s="133">
        <v>8.3000000000000007</v>
      </c>
      <c r="N232" s="133">
        <v>22</v>
      </c>
      <c r="O232" s="14" t="s">
        <v>33</v>
      </c>
      <c r="P232" s="2" t="s">
        <v>1643</v>
      </c>
      <c r="Q232" s="2" t="s">
        <v>158</v>
      </c>
      <c r="R232" s="145" t="s">
        <v>351</v>
      </c>
      <c r="S232" s="6" t="s">
        <v>50</v>
      </c>
      <c r="T232" s="2">
        <v>29333931</v>
      </c>
      <c r="U232" s="2" t="s">
        <v>34</v>
      </c>
      <c r="V232" s="133" t="s">
        <v>38</v>
      </c>
      <c r="W232" s="2">
        <f t="shared" si="11"/>
        <v>30</v>
      </c>
    </row>
    <row r="233" spans="1:23" ht="63" customHeight="1">
      <c r="A233" s="10" t="s">
        <v>1644</v>
      </c>
      <c r="B233" s="11" t="s">
        <v>1645</v>
      </c>
      <c r="C233" s="2"/>
      <c r="D233" s="2" t="s">
        <v>1646</v>
      </c>
      <c r="E233" s="2" t="s">
        <v>1647</v>
      </c>
      <c r="F233" s="2"/>
      <c r="G233" s="2" t="s">
        <v>189</v>
      </c>
      <c r="H233" s="2"/>
      <c r="I233" s="133" t="s">
        <v>34</v>
      </c>
      <c r="J233" s="133" t="s">
        <v>34</v>
      </c>
      <c r="K233" s="133" t="s">
        <v>34</v>
      </c>
      <c r="L233" s="2" t="s">
        <v>75</v>
      </c>
      <c r="M233" s="133" t="s">
        <v>1592</v>
      </c>
      <c r="N233" s="133">
        <v>1805</v>
      </c>
      <c r="O233" s="14" t="s">
        <v>33</v>
      </c>
      <c r="P233" s="2" t="s">
        <v>1648</v>
      </c>
      <c r="Q233" s="2" t="s">
        <v>158</v>
      </c>
      <c r="R233" s="2" t="s">
        <v>1649</v>
      </c>
      <c r="S233" s="2" t="s">
        <v>37</v>
      </c>
      <c r="T233" s="2">
        <v>29343023</v>
      </c>
      <c r="U233" s="2" t="s">
        <v>34</v>
      </c>
      <c r="V233" s="133" t="s">
        <v>34</v>
      </c>
      <c r="W233" s="2" t="str">
        <f t="shared" si="11"/>
        <v>Not regulated; any amount limit in internal packages</v>
      </c>
    </row>
    <row r="234" spans="1:23" ht="63" customHeight="1">
      <c r="A234" s="10" t="s">
        <v>1650</v>
      </c>
      <c r="B234" s="11" t="s">
        <v>1651</v>
      </c>
      <c r="C234" s="2"/>
      <c r="D234" s="2" t="s">
        <v>1652</v>
      </c>
      <c r="E234" s="4" t="s">
        <v>1653</v>
      </c>
      <c r="F234" s="2"/>
      <c r="G234" s="2" t="s">
        <v>59</v>
      </c>
      <c r="H234" s="2"/>
      <c r="I234" s="133" t="s">
        <v>34</v>
      </c>
      <c r="J234" s="133" t="s">
        <v>34</v>
      </c>
      <c r="K234" s="133" t="s">
        <v>34</v>
      </c>
      <c r="L234" s="2" t="s">
        <v>75</v>
      </c>
      <c r="M234" s="133">
        <v>100</v>
      </c>
      <c r="N234" s="133">
        <v>97.817436000000001</v>
      </c>
      <c r="O234" s="133" t="s">
        <v>295</v>
      </c>
      <c r="P234" s="2" t="s">
        <v>1654</v>
      </c>
      <c r="Q234" s="2" t="s">
        <v>158</v>
      </c>
      <c r="R234" s="145" t="s">
        <v>351</v>
      </c>
      <c r="S234" s="6" t="s">
        <v>50</v>
      </c>
      <c r="T234" s="2">
        <v>29339965</v>
      </c>
      <c r="U234" s="2" t="s">
        <v>34</v>
      </c>
      <c r="V234" s="133" t="s">
        <v>34</v>
      </c>
      <c r="W234" s="2" t="str">
        <f t="shared" si="11"/>
        <v>Not regulated; any amount limit in internal packages</v>
      </c>
    </row>
    <row r="235" spans="1:23" ht="63" customHeight="1">
      <c r="A235" s="10" t="s">
        <v>1655</v>
      </c>
      <c r="B235" s="11" t="s">
        <v>1656</v>
      </c>
      <c r="C235" s="2"/>
      <c r="D235" s="2" t="s">
        <v>1657</v>
      </c>
      <c r="E235" s="4" t="s">
        <v>1658</v>
      </c>
      <c r="F235" s="2"/>
      <c r="G235" s="2" t="s">
        <v>1659</v>
      </c>
      <c r="H235" s="2"/>
      <c r="I235" s="133">
        <v>3077</v>
      </c>
      <c r="J235" s="133">
        <v>9</v>
      </c>
      <c r="K235" s="133" t="s">
        <v>31</v>
      </c>
      <c r="L235" s="2" t="s">
        <v>1660</v>
      </c>
      <c r="M235" s="133">
        <v>211</v>
      </c>
      <c r="N235" s="133">
        <v>85</v>
      </c>
      <c r="O235" s="2" t="s">
        <v>1661</v>
      </c>
      <c r="P235" s="2" t="s">
        <v>1662</v>
      </c>
      <c r="Q235" s="21" t="s">
        <v>1663</v>
      </c>
      <c r="R235" s="145" t="s">
        <v>307</v>
      </c>
      <c r="S235" s="6" t="s">
        <v>50</v>
      </c>
      <c r="T235" s="2">
        <v>29333927</v>
      </c>
      <c r="U235" s="2" t="s">
        <v>1664</v>
      </c>
      <c r="V235" s="133" t="s">
        <v>38</v>
      </c>
      <c r="W235" s="2">
        <f t="shared" si="11"/>
        <v>30</v>
      </c>
    </row>
    <row r="236" spans="1:23" ht="63" customHeight="1">
      <c r="A236" s="24" t="s">
        <v>1665</v>
      </c>
      <c r="B236" s="11" t="s">
        <v>1666</v>
      </c>
      <c r="C236" s="2"/>
      <c r="D236" s="2" t="s">
        <v>1667</v>
      </c>
      <c r="E236" s="4" t="s">
        <v>1668</v>
      </c>
      <c r="F236" s="2"/>
      <c r="G236" s="2" t="s">
        <v>1669</v>
      </c>
      <c r="H236" s="2"/>
      <c r="I236" s="133">
        <v>2811</v>
      </c>
      <c r="J236" s="133">
        <v>6.1</v>
      </c>
      <c r="K236" s="133" t="s">
        <v>31</v>
      </c>
      <c r="L236" s="2" t="s">
        <v>1670</v>
      </c>
      <c r="M236" s="133">
        <v>0.43</v>
      </c>
      <c r="N236" s="133">
        <v>1.3999999999999999E-4</v>
      </c>
      <c r="O236" s="14" t="s">
        <v>33</v>
      </c>
      <c r="P236" s="2" t="s">
        <v>1671</v>
      </c>
      <c r="Q236" s="2" t="s">
        <v>158</v>
      </c>
      <c r="R236" s="145" t="s">
        <v>1672</v>
      </c>
      <c r="S236" s="6" t="s">
        <v>50</v>
      </c>
      <c r="T236" s="2">
        <v>29331923</v>
      </c>
      <c r="U236" s="2" t="s">
        <v>1673</v>
      </c>
      <c r="V236" s="133" t="s">
        <v>38</v>
      </c>
      <c r="W236" s="2">
        <f t="shared" si="11"/>
        <v>30</v>
      </c>
    </row>
    <row r="237" spans="1:23" ht="63" customHeight="1">
      <c r="A237" s="24" t="s">
        <v>1674</v>
      </c>
      <c r="B237" s="11" t="s">
        <v>1675</v>
      </c>
      <c r="C237" s="2"/>
      <c r="D237" s="2" t="s">
        <v>1676</v>
      </c>
      <c r="E237" s="4" t="s">
        <v>1677</v>
      </c>
      <c r="F237" s="2"/>
      <c r="G237" s="2" t="s">
        <v>59</v>
      </c>
      <c r="H237" s="2"/>
      <c r="I237" s="133">
        <v>3077</v>
      </c>
      <c r="J237" s="133">
        <v>9</v>
      </c>
      <c r="K237" s="133" t="s">
        <v>31</v>
      </c>
      <c r="L237" s="2" t="s">
        <v>1678</v>
      </c>
      <c r="M237" s="133">
        <v>125</v>
      </c>
      <c r="N237" s="133">
        <v>8.4</v>
      </c>
      <c r="O237" s="14" t="s">
        <v>33</v>
      </c>
      <c r="P237" s="2" t="s">
        <v>1648</v>
      </c>
      <c r="Q237" s="2" t="s">
        <v>158</v>
      </c>
      <c r="R237" s="145" t="s">
        <v>1679</v>
      </c>
      <c r="S237" s="6" t="s">
        <v>50</v>
      </c>
      <c r="T237" s="2">
        <v>29349990</v>
      </c>
      <c r="U237" s="2" t="s">
        <v>1673</v>
      </c>
      <c r="V237" s="133" t="s">
        <v>38</v>
      </c>
      <c r="W237" s="2">
        <f t="shared" si="11"/>
        <v>30</v>
      </c>
    </row>
    <row r="238" spans="1:23" ht="63" customHeight="1">
      <c r="A238" s="10" t="s">
        <v>1680</v>
      </c>
      <c r="B238" s="11" t="s">
        <v>1681</v>
      </c>
      <c r="C238" s="2"/>
      <c r="D238" s="2" t="s">
        <v>1682</v>
      </c>
      <c r="E238" s="4" t="s">
        <v>1683</v>
      </c>
      <c r="F238" s="2"/>
      <c r="G238" s="2" t="s">
        <v>1029</v>
      </c>
      <c r="H238" s="2"/>
      <c r="I238" s="133">
        <v>2811</v>
      </c>
      <c r="J238" s="133">
        <v>6.1</v>
      </c>
      <c r="K238" s="133" t="s">
        <v>31</v>
      </c>
      <c r="L238" s="2" t="s">
        <v>1684</v>
      </c>
      <c r="M238" s="133" t="s">
        <v>1592</v>
      </c>
      <c r="N238" s="133">
        <v>0.25900000000000001</v>
      </c>
      <c r="O238" s="14" t="s">
        <v>33</v>
      </c>
      <c r="P238" s="2" t="s">
        <v>1654</v>
      </c>
      <c r="Q238" s="2" t="s">
        <v>158</v>
      </c>
      <c r="R238" s="145" t="s">
        <v>1685</v>
      </c>
      <c r="S238" s="6" t="s">
        <v>50</v>
      </c>
      <c r="T238" s="2">
        <v>29335980</v>
      </c>
      <c r="U238" s="2" t="s">
        <v>34</v>
      </c>
      <c r="V238" s="133" t="s">
        <v>38</v>
      </c>
      <c r="W238" s="2">
        <f t="shared" si="11"/>
        <v>30</v>
      </c>
    </row>
    <row r="239" spans="1:23" ht="63" customHeight="1">
      <c r="A239" s="10" t="s">
        <v>1686</v>
      </c>
      <c r="B239" s="11" t="s">
        <v>1687</v>
      </c>
      <c r="C239" s="2"/>
      <c r="D239" s="2" t="s">
        <v>1688</v>
      </c>
      <c r="E239" s="20" t="s">
        <v>1689</v>
      </c>
      <c r="F239" s="2"/>
      <c r="G239" s="2" t="s">
        <v>1690</v>
      </c>
      <c r="H239" s="2"/>
      <c r="I239" s="133">
        <v>1544</v>
      </c>
      <c r="J239" s="133">
        <v>6.1</v>
      </c>
      <c r="K239" s="133" t="s">
        <v>31</v>
      </c>
      <c r="L239" s="2" t="s">
        <v>1691</v>
      </c>
      <c r="M239" s="133" t="s">
        <v>1592</v>
      </c>
      <c r="N239" s="133" t="s">
        <v>1592</v>
      </c>
      <c r="O239" s="133" t="s">
        <v>295</v>
      </c>
      <c r="P239" s="2" t="s">
        <v>1654</v>
      </c>
      <c r="Q239" s="2" t="s">
        <v>158</v>
      </c>
      <c r="R239" s="145" t="s">
        <v>351</v>
      </c>
      <c r="S239" s="6" t="s">
        <v>50</v>
      </c>
      <c r="T239" s="2">
        <v>29349930</v>
      </c>
      <c r="U239" s="2" t="s">
        <v>34</v>
      </c>
      <c r="V239" s="133" t="s">
        <v>38</v>
      </c>
      <c r="W239" s="2">
        <f t="shared" si="11"/>
        <v>30</v>
      </c>
    </row>
    <row r="240" spans="1:23" ht="63" customHeight="1">
      <c r="A240" s="10" t="s">
        <v>1692</v>
      </c>
      <c r="B240" s="11" t="s">
        <v>1693</v>
      </c>
      <c r="C240" s="2"/>
      <c r="D240" s="2" t="s">
        <v>1694</v>
      </c>
      <c r="E240" s="4" t="s">
        <v>1695</v>
      </c>
      <c r="F240" s="2"/>
      <c r="G240" s="2" t="s">
        <v>1696</v>
      </c>
      <c r="H240" s="2"/>
      <c r="I240" s="133">
        <v>3077</v>
      </c>
      <c r="J240" s="133">
        <v>9</v>
      </c>
      <c r="K240" s="133" t="s">
        <v>31</v>
      </c>
      <c r="L240" s="2" t="s">
        <v>1697</v>
      </c>
      <c r="M240" s="133">
        <v>6.7000000000000004E-2</v>
      </c>
      <c r="N240" s="133">
        <v>0.12</v>
      </c>
      <c r="O240" s="14" t="s">
        <v>33</v>
      </c>
      <c r="P240" s="2" t="s">
        <v>1698</v>
      </c>
      <c r="Q240" s="2" t="s">
        <v>158</v>
      </c>
      <c r="R240" s="145" t="s">
        <v>1699</v>
      </c>
      <c r="S240" s="2" t="s">
        <v>37</v>
      </c>
      <c r="T240" s="2">
        <v>29303060</v>
      </c>
      <c r="U240" s="2" t="s">
        <v>34</v>
      </c>
      <c r="V240" s="133" t="s">
        <v>38</v>
      </c>
      <c r="W240" s="2">
        <f t="shared" si="11"/>
        <v>30</v>
      </c>
    </row>
    <row r="241" spans="1:23" ht="63" customHeight="1">
      <c r="A241" s="10" t="s">
        <v>1700</v>
      </c>
      <c r="B241" s="11" t="s">
        <v>1701</v>
      </c>
      <c r="C241" s="2"/>
      <c r="D241" s="2" t="s">
        <v>1702</v>
      </c>
      <c r="E241" s="4" t="s">
        <v>1703</v>
      </c>
      <c r="F241" s="2"/>
      <c r="G241" s="7" t="s">
        <v>1704</v>
      </c>
      <c r="H241" s="2"/>
      <c r="I241" s="133" t="s">
        <v>34</v>
      </c>
      <c r="J241" s="133" t="s">
        <v>34</v>
      </c>
      <c r="K241" s="133" t="s">
        <v>34</v>
      </c>
      <c r="L241" s="2" t="s">
        <v>75</v>
      </c>
      <c r="M241" s="133">
        <v>3.53</v>
      </c>
      <c r="N241" s="133" t="s">
        <v>1592</v>
      </c>
      <c r="O241" s="14" t="s">
        <v>33</v>
      </c>
      <c r="P241" s="2" t="s">
        <v>328</v>
      </c>
      <c r="Q241" s="2" t="s">
        <v>158</v>
      </c>
      <c r="R241" s="145" t="s">
        <v>245</v>
      </c>
      <c r="S241" s="6" t="s">
        <v>50</v>
      </c>
      <c r="T241" s="2">
        <v>29339946</v>
      </c>
      <c r="U241" s="2" t="s">
        <v>34</v>
      </c>
      <c r="V241" s="133" t="s">
        <v>34</v>
      </c>
      <c r="W241" s="2" t="str">
        <f t="shared" si="11"/>
        <v>Not regulated; any amount limit in internal packages</v>
      </c>
    </row>
    <row r="242" spans="1:23" ht="63" customHeight="1">
      <c r="A242" s="10" t="s">
        <v>1705</v>
      </c>
      <c r="B242" s="11" t="s">
        <v>1706</v>
      </c>
      <c r="C242" s="2"/>
      <c r="D242" s="2" t="s">
        <v>1707</v>
      </c>
      <c r="E242" s="4" t="s">
        <v>1708</v>
      </c>
      <c r="F242" s="2"/>
      <c r="G242" s="2" t="s">
        <v>1709</v>
      </c>
      <c r="H242" s="2"/>
      <c r="I242" s="133" t="s">
        <v>34</v>
      </c>
      <c r="J242" s="133" t="s">
        <v>34</v>
      </c>
      <c r="K242" s="133" t="s">
        <v>34</v>
      </c>
      <c r="L242" s="2" t="s">
        <v>75</v>
      </c>
      <c r="M242" s="133" t="s">
        <v>1592</v>
      </c>
      <c r="N242" s="133">
        <v>20</v>
      </c>
      <c r="O242" s="14" t="s">
        <v>1710</v>
      </c>
      <c r="P242" s="2" t="s">
        <v>1711</v>
      </c>
      <c r="Q242" s="2" t="s">
        <v>1346</v>
      </c>
      <c r="R242" s="145" t="s">
        <v>1712</v>
      </c>
      <c r="S242" s="6" t="s">
        <v>50</v>
      </c>
      <c r="T242" s="2">
        <v>29339961</v>
      </c>
      <c r="U242" s="2" t="s">
        <v>34</v>
      </c>
      <c r="V242" s="133" t="s">
        <v>34</v>
      </c>
      <c r="W242" s="2" t="str">
        <f t="shared" si="11"/>
        <v>Not regulated; any amount limit in internal packages</v>
      </c>
    </row>
    <row r="243" spans="1:23" ht="63" customHeight="1">
      <c r="A243" s="10" t="s">
        <v>1713</v>
      </c>
      <c r="B243" s="11" t="s">
        <v>1714</v>
      </c>
      <c r="C243" s="2"/>
      <c r="D243" s="2" t="s">
        <v>1715</v>
      </c>
      <c r="E243" s="4" t="s">
        <v>1716</v>
      </c>
      <c r="F243" s="2"/>
      <c r="G243" s="7" t="s">
        <v>1717</v>
      </c>
      <c r="H243" s="2"/>
      <c r="I243" s="133" t="s">
        <v>34</v>
      </c>
      <c r="J243" s="133" t="s">
        <v>34</v>
      </c>
      <c r="K243" s="133" t="s">
        <v>34</v>
      </c>
      <c r="L243" s="2" t="s">
        <v>75</v>
      </c>
      <c r="M243" s="133" t="s">
        <v>1592</v>
      </c>
      <c r="N243" s="133">
        <v>100</v>
      </c>
      <c r="O243" s="14" t="s">
        <v>33</v>
      </c>
      <c r="P243" s="2" t="s">
        <v>328</v>
      </c>
      <c r="Q243" s="2" t="s">
        <v>158</v>
      </c>
      <c r="R243" s="145" t="s">
        <v>1602</v>
      </c>
      <c r="S243" s="2" t="s">
        <v>37</v>
      </c>
      <c r="T243" s="2">
        <v>29242957</v>
      </c>
      <c r="U243" s="2" t="s">
        <v>34</v>
      </c>
      <c r="V243" s="133" t="s">
        <v>34</v>
      </c>
      <c r="W243" s="2" t="str">
        <f t="shared" si="11"/>
        <v>Not regulated; any amount limit in internal packages</v>
      </c>
    </row>
    <row r="244" spans="1:23" ht="63" customHeight="1">
      <c r="A244" s="10" t="s">
        <v>1718</v>
      </c>
      <c r="B244" s="11" t="s">
        <v>1719</v>
      </c>
      <c r="C244" s="2"/>
      <c r="D244" s="2" t="s">
        <v>1720</v>
      </c>
      <c r="E244" s="4" t="s">
        <v>1721</v>
      </c>
      <c r="F244" s="2"/>
      <c r="G244" s="2" t="s">
        <v>1722</v>
      </c>
      <c r="H244" s="2"/>
      <c r="I244" s="133">
        <v>3464</v>
      </c>
      <c r="J244" s="133">
        <v>6.1</v>
      </c>
      <c r="K244" s="133" t="s">
        <v>31</v>
      </c>
      <c r="L244" s="2" t="s">
        <v>1723</v>
      </c>
      <c r="M244" s="133" t="s">
        <v>1592</v>
      </c>
      <c r="N244" s="133">
        <v>1000</v>
      </c>
      <c r="O244" s="133" t="s">
        <v>295</v>
      </c>
      <c r="P244" s="2" t="s">
        <v>1724</v>
      </c>
      <c r="Q244" s="2" t="s">
        <v>158</v>
      </c>
      <c r="R244" s="145" t="s">
        <v>351</v>
      </c>
      <c r="S244" s="6" t="s">
        <v>50</v>
      </c>
      <c r="T244" s="2">
        <v>29349947</v>
      </c>
      <c r="U244" s="2" t="s">
        <v>34</v>
      </c>
      <c r="V244" s="133" t="s">
        <v>38</v>
      </c>
      <c r="W244" s="2">
        <f t="shared" si="11"/>
        <v>30</v>
      </c>
    </row>
    <row r="245" spans="1:23" ht="63" customHeight="1">
      <c r="A245" s="10" t="s">
        <v>1725</v>
      </c>
      <c r="B245" s="11" t="s">
        <v>1726</v>
      </c>
      <c r="C245" s="2"/>
      <c r="D245" s="2" t="s">
        <v>1727</v>
      </c>
      <c r="E245" s="4" t="s">
        <v>1728</v>
      </c>
      <c r="F245" s="2"/>
      <c r="G245" s="2" t="s">
        <v>1729</v>
      </c>
      <c r="H245" s="2"/>
      <c r="I245" s="34" t="s">
        <v>34</v>
      </c>
      <c r="J245" s="34" t="s">
        <v>34</v>
      </c>
      <c r="K245" s="34" t="s">
        <v>34</v>
      </c>
      <c r="L245" s="2" t="s">
        <v>75</v>
      </c>
      <c r="M245" s="34">
        <v>2.75</v>
      </c>
      <c r="N245" s="34" t="s">
        <v>59</v>
      </c>
      <c r="O245" s="14" t="s">
        <v>1730</v>
      </c>
      <c r="P245" s="2" t="s">
        <v>1698</v>
      </c>
      <c r="Q245" s="2" t="s">
        <v>1303</v>
      </c>
      <c r="R245" s="107" t="s">
        <v>307</v>
      </c>
      <c r="S245" s="2" t="s">
        <v>37</v>
      </c>
      <c r="T245" s="2">
        <v>29335995</v>
      </c>
      <c r="U245" s="2" t="s">
        <v>34</v>
      </c>
      <c r="V245" s="34" t="s">
        <v>34</v>
      </c>
      <c r="W245" s="2" t="str">
        <f t="shared" si="11"/>
        <v>Not regulated; any amount limit in internal packages</v>
      </c>
    </row>
    <row r="246" spans="1:23" ht="63" customHeight="1">
      <c r="A246" s="10" t="s">
        <v>1731</v>
      </c>
      <c r="B246" s="11" t="s">
        <v>1732</v>
      </c>
      <c r="C246" s="2"/>
      <c r="D246" s="2" t="s">
        <v>1733</v>
      </c>
      <c r="E246" s="4" t="s">
        <v>1734</v>
      </c>
      <c r="F246" s="2"/>
      <c r="G246" s="2" t="s">
        <v>1735</v>
      </c>
      <c r="H246" s="2"/>
      <c r="I246" s="34" t="s">
        <v>34</v>
      </c>
      <c r="J246" s="34" t="s">
        <v>34</v>
      </c>
      <c r="K246" s="34" t="s">
        <v>34</v>
      </c>
      <c r="L246" s="2" t="s">
        <v>75</v>
      </c>
      <c r="M246" s="34" t="s">
        <v>59</v>
      </c>
      <c r="N246" s="34">
        <v>7.54</v>
      </c>
      <c r="O246" s="14" t="s">
        <v>1730</v>
      </c>
      <c r="P246" s="2" t="s">
        <v>1736</v>
      </c>
      <c r="Q246" s="2" t="s">
        <v>158</v>
      </c>
      <c r="R246" s="107" t="s">
        <v>1679</v>
      </c>
      <c r="S246" s="2" t="s">
        <v>37</v>
      </c>
      <c r="T246" s="2">
        <v>29332990</v>
      </c>
      <c r="U246" s="2" t="s">
        <v>34</v>
      </c>
      <c r="V246" s="34" t="s">
        <v>34</v>
      </c>
      <c r="W246" s="2" t="str">
        <f t="shared" si="11"/>
        <v>Not regulated; any amount limit in internal packages</v>
      </c>
    </row>
    <row r="247" spans="1:23" ht="63" customHeight="1">
      <c r="A247" s="10" t="s">
        <v>1737</v>
      </c>
      <c r="B247" s="11" t="s">
        <v>1738</v>
      </c>
      <c r="C247" s="2"/>
      <c r="D247" s="2" t="s">
        <v>1739</v>
      </c>
      <c r="E247" s="4" t="s">
        <v>1740</v>
      </c>
      <c r="F247" s="2"/>
      <c r="G247" s="2" t="s">
        <v>1741</v>
      </c>
      <c r="H247" s="2"/>
      <c r="I247" s="34">
        <v>3077</v>
      </c>
      <c r="J247" s="34">
        <v>9</v>
      </c>
      <c r="K247" s="34" t="s">
        <v>31</v>
      </c>
      <c r="L247" s="2" t="s">
        <v>1742</v>
      </c>
      <c r="M247" s="150">
        <v>2.4166666666666665</v>
      </c>
      <c r="N247" s="150">
        <v>3.6666666666666665</v>
      </c>
      <c r="O247" s="149" t="s">
        <v>327</v>
      </c>
      <c r="P247" s="2" t="s">
        <v>1743</v>
      </c>
      <c r="Q247" s="2" t="s">
        <v>158</v>
      </c>
      <c r="R247" s="107" t="s">
        <v>351</v>
      </c>
      <c r="S247" s="6" t="s">
        <v>50</v>
      </c>
      <c r="T247" s="2">
        <v>29349990</v>
      </c>
      <c r="U247" s="2" t="s">
        <v>34</v>
      </c>
      <c r="V247" s="34" t="s">
        <v>38</v>
      </c>
      <c r="W247" s="2">
        <f t="shared" si="11"/>
        <v>30</v>
      </c>
    </row>
    <row r="248" spans="1:23" ht="63" customHeight="1">
      <c r="A248" s="10" t="s">
        <v>1744</v>
      </c>
      <c r="B248" s="11" t="s">
        <v>1745</v>
      </c>
      <c r="C248" s="2"/>
      <c r="D248" s="2" t="s">
        <v>1746</v>
      </c>
      <c r="E248" s="4" t="s">
        <v>1747</v>
      </c>
      <c r="F248" s="2"/>
      <c r="G248" s="2" t="s">
        <v>189</v>
      </c>
      <c r="H248" s="2"/>
      <c r="I248" s="34" t="s">
        <v>34</v>
      </c>
      <c r="J248" s="34" t="s">
        <v>34</v>
      </c>
      <c r="K248" s="34" t="s">
        <v>34</v>
      </c>
      <c r="L248" s="2" t="s">
        <v>75</v>
      </c>
      <c r="M248" s="34" t="s">
        <v>59</v>
      </c>
      <c r="N248" s="34">
        <v>200</v>
      </c>
      <c r="O248" s="34" t="s">
        <v>1182</v>
      </c>
      <c r="P248" s="2" t="s">
        <v>1654</v>
      </c>
      <c r="Q248" s="2" t="s">
        <v>158</v>
      </c>
      <c r="R248" s="107" t="s">
        <v>256</v>
      </c>
      <c r="S248" s="6" t="s">
        <v>50</v>
      </c>
      <c r="T248" s="2">
        <v>29335995</v>
      </c>
      <c r="U248" s="2" t="s">
        <v>34</v>
      </c>
      <c r="V248" s="34" t="s">
        <v>34</v>
      </c>
      <c r="W248" s="2" t="str">
        <f t="shared" si="11"/>
        <v>Not regulated; any amount limit in internal packages</v>
      </c>
    </row>
    <row r="249" spans="1:23" ht="63" customHeight="1">
      <c r="A249" s="10" t="s">
        <v>1748</v>
      </c>
      <c r="B249" s="11" t="s">
        <v>1749</v>
      </c>
      <c r="C249" s="2"/>
      <c r="D249" s="2" t="s">
        <v>1750</v>
      </c>
      <c r="E249" s="4" t="s">
        <v>1751</v>
      </c>
      <c r="F249" s="2"/>
      <c r="G249" s="2" t="s">
        <v>189</v>
      </c>
      <c r="H249" s="2"/>
      <c r="I249" s="34" t="s">
        <v>34</v>
      </c>
      <c r="J249" s="34" t="s">
        <v>34</v>
      </c>
      <c r="K249" s="34" t="s">
        <v>34</v>
      </c>
      <c r="L249" s="2" t="s">
        <v>75</v>
      </c>
      <c r="M249" s="34">
        <v>180</v>
      </c>
      <c r="N249" s="34">
        <v>100</v>
      </c>
      <c r="O249" s="107" t="s">
        <v>1752</v>
      </c>
      <c r="P249" s="2" t="s">
        <v>328</v>
      </c>
      <c r="Q249" s="2" t="s">
        <v>158</v>
      </c>
      <c r="R249" s="107" t="s">
        <v>351</v>
      </c>
      <c r="S249" s="6" t="s">
        <v>50</v>
      </c>
      <c r="T249" s="2">
        <v>29242150</v>
      </c>
      <c r="U249" s="2" t="s">
        <v>34</v>
      </c>
      <c r="V249" s="34" t="s">
        <v>34</v>
      </c>
      <c r="W249" s="2" t="str">
        <f t="shared" si="11"/>
        <v>Not regulated; any amount limit in internal packages</v>
      </c>
    </row>
    <row r="250" spans="1:23" ht="63" customHeight="1">
      <c r="A250" s="24" t="s">
        <v>1753</v>
      </c>
      <c r="B250" s="11" t="s">
        <v>1754</v>
      </c>
      <c r="C250" s="2"/>
      <c r="D250" s="2" t="s">
        <v>1755</v>
      </c>
      <c r="E250" s="4" t="s">
        <v>1555</v>
      </c>
      <c r="F250" s="2"/>
      <c r="G250" s="2" t="s">
        <v>489</v>
      </c>
      <c r="H250" s="2"/>
      <c r="I250" s="34">
        <v>1544</v>
      </c>
      <c r="J250" s="34">
        <v>6.1</v>
      </c>
      <c r="K250" s="34" t="s">
        <v>65</v>
      </c>
      <c r="L250" s="2" t="s">
        <v>1756</v>
      </c>
      <c r="M250" s="34">
        <v>90</v>
      </c>
      <c r="N250" s="34" t="s">
        <v>59</v>
      </c>
      <c r="O250" s="22" t="s">
        <v>265</v>
      </c>
      <c r="P250" s="2" t="s">
        <v>1654</v>
      </c>
      <c r="Q250" s="2" t="s">
        <v>158</v>
      </c>
      <c r="R250" s="107" t="s">
        <v>1757</v>
      </c>
      <c r="S250" s="2" t="s">
        <v>37</v>
      </c>
      <c r="T250" s="2">
        <v>29398000</v>
      </c>
      <c r="U250" s="2" t="s">
        <v>34</v>
      </c>
      <c r="V250" s="34" t="s">
        <v>87</v>
      </c>
      <c r="W250" s="2">
        <f t="shared" si="11"/>
        <v>1</v>
      </c>
    </row>
    <row r="251" spans="1:23" ht="63" customHeight="1">
      <c r="A251" s="10" t="s">
        <v>1758</v>
      </c>
      <c r="B251" s="11" t="s">
        <v>1759</v>
      </c>
      <c r="C251" s="2"/>
      <c r="D251" s="2" t="s">
        <v>1760</v>
      </c>
      <c r="E251" s="4" t="s">
        <v>1761</v>
      </c>
      <c r="F251" s="2"/>
      <c r="G251" s="7" t="s">
        <v>1762</v>
      </c>
      <c r="H251" s="2" t="s">
        <v>34</v>
      </c>
      <c r="I251" s="34" t="s">
        <v>34</v>
      </c>
      <c r="J251" s="34" t="s">
        <v>34</v>
      </c>
      <c r="K251" s="34" t="s">
        <v>34</v>
      </c>
      <c r="L251" s="2" t="s">
        <v>75</v>
      </c>
      <c r="M251" s="34">
        <v>10000</v>
      </c>
      <c r="N251" s="34" t="s">
        <v>59</v>
      </c>
      <c r="O251" s="14" t="s">
        <v>1730</v>
      </c>
      <c r="P251" s="2" t="s">
        <v>1654</v>
      </c>
      <c r="Q251" s="2" t="s">
        <v>158</v>
      </c>
      <c r="R251" s="107" t="s">
        <v>34</v>
      </c>
      <c r="S251" s="2" t="s">
        <v>37</v>
      </c>
      <c r="T251" s="2">
        <v>29242910</v>
      </c>
      <c r="U251" s="2" t="s">
        <v>34</v>
      </c>
      <c r="V251" s="34" t="s">
        <v>34</v>
      </c>
      <c r="W251" s="2" t="str">
        <f t="shared" si="11"/>
        <v>Not regulated; any amount limit in internal packages</v>
      </c>
    </row>
    <row r="252" spans="1:23" ht="63" customHeight="1">
      <c r="A252" s="10" t="s">
        <v>1763</v>
      </c>
      <c r="B252" s="11" t="s">
        <v>1764</v>
      </c>
      <c r="C252" s="2" t="s">
        <v>1765</v>
      </c>
      <c r="D252" s="2" t="s">
        <v>1766</v>
      </c>
      <c r="E252" s="4" t="s">
        <v>1767</v>
      </c>
      <c r="F252" s="2"/>
      <c r="G252" s="2" t="s">
        <v>1768</v>
      </c>
      <c r="H252" s="2"/>
      <c r="I252" s="34">
        <v>2811</v>
      </c>
      <c r="J252" s="34">
        <v>6.1</v>
      </c>
      <c r="K252" s="34" t="s">
        <v>31</v>
      </c>
      <c r="L252" s="2" t="s">
        <v>1769</v>
      </c>
      <c r="M252" s="34">
        <v>1000</v>
      </c>
      <c r="N252" s="34">
        <v>319</v>
      </c>
      <c r="O252" s="14" t="s">
        <v>1730</v>
      </c>
      <c r="P252" s="2" t="s">
        <v>1770</v>
      </c>
      <c r="Q252" s="2" t="s">
        <v>34</v>
      </c>
      <c r="R252" s="107" t="s">
        <v>1672</v>
      </c>
      <c r="S252" s="2" t="s">
        <v>37</v>
      </c>
      <c r="T252" s="2">
        <v>29335995</v>
      </c>
      <c r="U252" s="2" t="s">
        <v>34</v>
      </c>
      <c r="V252" s="34" t="s">
        <v>38</v>
      </c>
      <c r="W252" s="2">
        <f t="shared" si="11"/>
        <v>30</v>
      </c>
    </row>
    <row r="253" spans="1:23" ht="63" customHeight="1">
      <c r="A253" s="10" t="s">
        <v>1771</v>
      </c>
      <c r="B253" s="11" t="s">
        <v>1772</v>
      </c>
      <c r="C253" s="4" t="s">
        <v>1773</v>
      </c>
      <c r="D253" s="2" t="s">
        <v>1774</v>
      </c>
      <c r="E253" s="2" t="s">
        <v>1775</v>
      </c>
      <c r="F253" s="2"/>
      <c r="G253" s="2" t="s">
        <v>59</v>
      </c>
      <c r="H253" s="2"/>
      <c r="I253" s="34">
        <v>1544</v>
      </c>
      <c r="J253" s="34">
        <v>6.1</v>
      </c>
      <c r="K253" s="34" t="s">
        <v>31</v>
      </c>
      <c r="L253" s="2" t="s">
        <v>1776</v>
      </c>
      <c r="M253" s="34">
        <v>85</v>
      </c>
      <c r="N253" s="34">
        <v>1000</v>
      </c>
      <c r="O253" s="146" t="s">
        <v>327</v>
      </c>
      <c r="P253" s="2" t="s">
        <v>1654</v>
      </c>
      <c r="Q253" s="2" t="s">
        <v>235</v>
      </c>
      <c r="R253" s="107" t="s">
        <v>351</v>
      </c>
      <c r="S253" s="2" t="s">
        <v>1777</v>
      </c>
      <c r="T253" s="2">
        <v>29339982</v>
      </c>
      <c r="U253" s="2" t="s">
        <v>34</v>
      </c>
      <c r="V253" s="34" t="s">
        <v>38</v>
      </c>
      <c r="W253" s="2">
        <f t="shared" si="11"/>
        <v>30</v>
      </c>
    </row>
    <row r="254" spans="1:23" ht="63" customHeight="1">
      <c r="A254" s="10" t="s">
        <v>1778</v>
      </c>
      <c r="B254" s="11" t="s">
        <v>1779</v>
      </c>
      <c r="C254" s="2" t="s">
        <v>1780</v>
      </c>
      <c r="D254" s="2" t="s">
        <v>1781</v>
      </c>
      <c r="E254" s="4" t="s">
        <v>1782</v>
      </c>
      <c r="F254" s="2"/>
      <c r="G254" s="2" t="s">
        <v>1722</v>
      </c>
      <c r="H254" s="2"/>
      <c r="I254" s="34" t="s">
        <v>34</v>
      </c>
      <c r="J254" s="34" t="s">
        <v>34</v>
      </c>
      <c r="K254" s="34" t="s">
        <v>34</v>
      </c>
      <c r="L254" s="2" t="s">
        <v>75</v>
      </c>
      <c r="M254" s="34" t="s">
        <v>59</v>
      </c>
      <c r="N254" s="34" t="s">
        <v>59</v>
      </c>
      <c r="O254" s="146" t="s">
        <v>327</v>
      </c>
      <c r="P254" s="2" t="s">
        <v>1783</v>
      </c>
      <c r="Q254" s="2" t="s">
        <v>34</v>
      </c>
      <c r="R254" s="107" t="s">
        <v>351</v>
      </c>
      <c r="S254" s="2" t="s">
        <v>37</v>
      </c>
      <c r="T254" s="2">
        <v>29349990</v>
      </c>
      <c r="U254" s="2" t="s">
        <v>34</v>
      </c>
      <c r="V254" s="34" t="s">
        <v>34</v>
      </c>
      <c r="W254" s="2" t="str">
        <f t="shared" si="11"/>
        <v>Not regulated; any amount limit in internal packages</v>
      </c>
    </row>
    <row r="259" spans="1:1">
      <c r="A259" s="1"/>
    </row>
  </sheetData>
  <phoneticPr fontId="1" type="noConversion"/>
  <conditionalFormatting sqref="Q252:Q254 O2:O27 O29:O225">
    <cfRule type="containsText" dxfId="124" priority="25" operator="containsText" text="2 - 8 °C">
      <formula>NOT(ISERROR(SEARCH("2 - 8 °C",O2)))</formula>
    </cfRule>
    <cfRule type="containsText" dxfId="123" priority="26" operator="containsText" text="20 °C">
      <formula>NOT(ISERROR(SEARCH("20 °C",O2)))</formula>
    </cfRule>
  </conditionalFormatting>
  <conditionalFormatting sqref="K253:K254 V253:V254 K235:K251 V235:V251">
    <cfRule type="containsText" dxfId="122" priority="23" operator="containsText" text="YES">
      <formula>NOT(ISERROR(SEARCH("YES",K235)))</formula>
    </cfRule>
  </conditionalFormatting>
  <conditionalFormatting sqref="V235:V241 V243:V251 V253:V254">
    <cfRule type="cellIs" dxfId="121" priority="22" operator="equal">
      <formula>0</formula>
    </cfRule>
  </conditionalFormatting>
  <conditionalFormatting sqref="O235 O239 O244 O248:O250 O253:O254">
    <cfRule type="containsText" dxfId="120" priority="16" operator="containsText" text="8">
      <formula>NOT(ISERROR(SEARCH("8",O235)))</formula>
    </cfRule>
    <cfRule type="containsText" dxfId="119" priority="18" operator="containsText" text="refrigerat">
      <formula>NOT(ISERROR(SEARCH("refrigerat",O235)))</formula>
    </cfRule>
  </conditionalFormatting>
  <conditionalFormatting sqref="R235:R254">
    <cfRule type="containsText" dxfId="118" priority="13" operator="containsText" text="8">
      <formula>NOT(ISERROR(SEARCH("8",R235)))</formula>
    </cfRule>
    <cfRule type="containsText" dxfId="117" priority="15" operator="containsText" text="refrigerat">
      <formula>NOT(ISERROR(SEARCH("refrigerat",R235)))</formula>
    </cfRule>
  </conditionalFormatting>
  <conditionalFormatting sqref="O231">
    <cfRule type="containsText" dxfId="116" priority="10" operator="containsText" text="8">
      <formula>NOT(ISERROR(SEARCH("8",O231)))</formula>
    </cfRule>
    <cfRule type="containsText" dxfId="115" priority="12" operator="containsText" text="refrigerat">
      <formula>NOT(ISERROR(SEARCH("refrigerat",O231)))</formula>
    </cfRule>
  </conditionalFormatting>
  <conditionalFormatting sqref="O234">
    <cfRule type="containsText" dxfId="114" priority="7" operator="containsText" text="8">
      <formula>NOT(ISERROR(SEARCH("8",O234)))</formula>
    </cfRule>
    <cfRule type="containsText" dxfId="113" priority="9" operator="containsText" text="refrigerat">
      <formula>NOT(ISERROR(SEARCH("refrigerat",O234)))</formula>
    </cfRule>
  </conditionalFormatting>
  <conditionalFormatting sqref="Q235">
    <cfRule type="containsText" dxfId="112" priority="4" operator="containsText" text="8">
      <formula>NOT(ISERROR(SEARCH("8",Q235)))</formula>
    </cfRule>
    <cfRule type="containsText" dxfId="111" priority="6" operator="containsText" text="refrigerat">
      <formula>NOT(ISERROR(SEARCH("refrigerat",Q235)))</formula>
    </cfRule>
  </conditionalFormatting>
  <conditionalFormatting sqref="O247">
    <cfRule type="containsText" dxfId="110" priority="1" operator="containsText" text="8">
      <formula>NOT(ISERROR(SEARCH("8",O247)))</formula>
    </cfRule>
    <cfRule type="containsText" dxfId="109" priority="3" operator="containsText" text="refrigerat">
      <formula>NOT(ISERROR(SEARCH("refrigerat",O247)))</formula>
    </cfRule>
  </conditionalFormatting>
  <pageMargins left="0.7" right="0.7" top="0.75" bottom="0.75" header="0.3" footer="0.3"/>
  <pageSetup paperSize="9"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17" operator="containsText" id="{E1A3DB15-B2EE-4A8A-9058-7340E0F4B799}">
            <xm:f>NOT(ISERROR(SEARCH(-20,O235)))</xm:f>
            <xm:f>-20</xm:f>
            <x14:dxf>
              <font>
                <color rgb="FFFF0000"/>
              </font>
              <fill>
                <patternFill>
                  <bgColor theme="7" tint="0.79998168889431442"/>
                </patternFill>
              </fill>
            </x14:dxf>
          </x14:cfRule>
          <xm:sqref>O235 O239 O244 O248:O250 O253:O254</xm:sqref>
        </x14:conditionalFormatting>
        <x14:conditionalFormatting xmlns:xm="http://schemas.microsoft.com/office/excel/2006/main">
          <x14:cfRule type="containsText" priority="14" operator="containsText" id="{35741B52-4FA0-4ACE-8C0B-AC3133ADFC8C}">
            <xm:f>NOT(ISERROR(SEARCH(-20,R235)))</xm:f>
            <xm:f>-20</xm:f>
            <x14:dxf>
              <font>
                <color rgb="FFFF0000"/>
              </font>
              <fill>
                <patternFill>
                  <bgColor theme="7" tint="0.79998168889431442"/>
                </patternFill>
              </fill>
            </x14:dxf>
          </x14:cfRule>
          <xm:sqref>R235:R254</xm:sqref>
        </x14:conditionalFormatting>
        <x14:conditionalFormatting xmlns:xm="http://schemas.microsoft.com/office/excel/2006/main">
          <x14:cfRule type="containsText" priority="11" operator="containsText" id="{A7B16CF3-D8D9-4AC4-8B9E-E532DC73FAB8}">
            <xm:f>NOT(ISERROR(SEARCH(-20,O231)))</xm:f>
            <xm:f>-20</xm:f>
            <x14:dxf>
              <font>
                <color rgb="FFFF0000"/>
              </font>
              <fill>
                <patternFill>
                  <bgColor theme="7" tint="0.79998168889431442"/>
                </patternFill>
              </fill>
            </x14:dxf>
          </x14:cfRule>
          <xm:sqref>O231</xm:sqref>
        </x14:conditionalFormatting>
        <x14:conditionalFormatting xmlns:xm="http://schemas.microsoft.com/office/excel/2006/main">
          <x14:cfRule type="containsText" priority="8" operator="containsText" id="{140FC72D-C32A-497E-8E5D-A3386DF72AC6}">
            <xm:f>NOT(ISERROR(SEARCH(-20,O234)))</xm:f>
            <xm:f>-20</xm:f>
            <x14:dxf>
              <font>
                <color rgb="FFFF0000"/>
              </font>
              <fill>
                <patternFill>
                  <bgColor theme="7" tint="0.79998168889431442"/>
                </patternFill>
              </fill>
            </x14:dxf>
          </x14:cfRule>
          <xm:sqref>O234</xm:sqref>
        </x14:conditionalFormatting>
        <x14:conditionalFormatting xmlns:xm="http://schemas.microsoft.com/office/excel/2006/main">
          <x14:cfRule type="containsText" priority="5" operator="containsText" id="{28D0DDBA-B01A-472D-86D9-198D26F3DA19}">
            <xm:f>NOT(ISERROR(SEARCH(-20,Q235)))</xm:f>
            <xm:f>-20</xm:f>
            <x14:dxf>
              <font>
                <color rgb="FFFF0000"/>
              </font>
              <fill>
                <patternFill>
                  <bgColor theme="7" tint="0.79998168889431442"/>
                </patternFill>
              </fill>
            </x14:dxf>
          </x14:cfRule>
          <xm:sqref>Q235</xm:sqref>
        </x14:conditionalFormatting>
        <x14:conditionalFormatting xmlns:xm="http://schemas.microsoft.com/office/excel/2006/main">
          <x14:cfRule type="containsText" priority="2" operator="containsText" id="{03638F20-5D34-44A2-92EB-125D9FB8A4CB}">
            <xm:f>NOT(ISERROR(SEARCH(-20,O247)))</xm:f>
            <xm:f>-20</xm:f>
            <x14:dxf>
              <font>
                <color rgb="FFFF0000"/>
              </font>
              <fill>
                <patternFill>
                  <bgColor theme="7" tint="0.79998168889431442"/>
                </patternFill>
              </fill>
            </x14:dxf>
          </x14:cfRule>
          <xm:sqref>O247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166C-9406-4595-AFAA-8EEC8055A9B3}">
  <dimension ref="A1:B23"/>
  <sheetViews>
    <sheetView workbookViewId="0">
      <selection activeCell="B2" sqref="B2"/>
    </sheetView>
  </sheetViews>
  <sheetFormatPr defaultColWidth="11.42578125" defaultRowHeight="16.899999999999999" customHeight="1"/>
  <cols>
    <col min="1" max="1" width="30.7109375" bestFit="1" customWidth="1"/>
  </cols>
  <sheetData>
    <row r="1" spans="1:2" ht="16.899999999999999" customHeight="1">
      <c r="A1" t="s">
        <v>0</v>
      </c>
      <c r="B1" t="s">
        <v>1784</v>
      </c>
    </row>
    <row r="2" spans="1:2" ht="16.899999999999999" customHeight="1">
      <c r="A2" t="s">
        <v>1</v>
      </c>
    </row>
    <row r="3" spans="1:2" ht="16.899999999999999" customHeight="1">
      <c r="A3" t="s">
        <v>2</v>
      </c>
    </row>
    <row r="4" spans="1:2" ht="16.899999999999999" customHeight="1">
      <c r="A4" t="s">
        <v>3</v>
      </c>
    </row>
    <row r="5" spans="1:2" ht="16.899999999999999" customHeight="1">
      <c r="A5" t="s">
        <v>4</v>
      </c>
    </row>
    <row r="6" spans="1:2" ht="16.899999999999999" customHeight="1">
      <c r="A6" t="s">
        <v>5</v>
      </c>
    </row>
    <row r="7" spans="1:2" ht="16.899999999999999" customHeight="1">
      <c r="A7" t="s">
        <v>6</v>
      </c>
    </row>
    <row r="8" spans="1:2" ht="16.899999999999999" customHeight="1">
      <c r="A8" t="s">
        <v>7</v>
      </c>
    </row>
    <row r="9" spans="1:2" ht="16.899999999999999" customHeight="1">
      <c r="A9" t="s">
        <v>8</v>
      </c>
    </row>
    <row r="10" spans="1:2" ht="16.899999999999999" customHeight="1">
      <c r="A10" t="s">
        <v>9</v>
      </c>
    </row>
    <row r="11" spans="1:2" ht="16.899999999999999" customHeight="1">
      <c r="A11" t="s">
        <v>10</v>
      </c>
    </row>
    <row r="12" spans="1:2" ht="16.899999999999999" customHeight="1">
      <c r="A12" t="s">
        <v>11</v>
      </c>
    </row>
    <row r="13" spans="1:2" ht="16.899999999999999" customHeight="1">
      <c r="A13" t="s">
        <v>12</v>
      </c>
    </row>
    <row r="14" spans="1:2" ht="16.899999999999999" customHeight="1">
      <c r="A14" t="s">
        <v>13</v>
      </c>
    </row>
    <row r="15" spans="1:2" ht="16.899999999999999" customHeight="1">
      <c r="A15" t="s">
        <v>14</v>
      </c>
    </row>
    <row r="16" spans="1:2" ht="16.899999999999999" customHeight="1">
      <c r="A16" t="s">
        <v>15</v>
      </c>
    </row>
    <row r="17" spans="1:1" ht="16.899999999999999" customHeight="1">
      <c r="A17" t="s">
        <v>16</v>
      </c>
    </row>
    <row r="18" spans="1:1" ht="16.899999999999999" customHeight="1">
      <c r="A18" t="s">
        <v>17</v>
      </c>
    </row>
    <row r="19" spans="1:1" ht="16.899999999999999" customHeight="1">
      <c r="A19" t="s">
        <v>18</v>
      </c>
    </row>
    <row r="20" spans="1:1" ht="16.899999999999999" customHeight="1">
      <c r="A20" t="s">
        <v>19</v>
      </c>
    </row>
    <row r="21" spans="1:1" ht="16.899999999999999" customHeight="1">
      <c r="A21" t="s">
        <v>20</v>
      </c>
    </row>
    <row r="22" spans="1:1" ht="16.899999999999999" customHeight="1">
      <c r="A22" t="s">
        <v>21</v>
      </c>
    </row>
    <row r="23" spans="1:1" ht="16.899999999999999" customHeight="1">
      <c r="A2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1501A-84CA-45C8-8A00-E64EA268A133}">
  <dimension ref="A1:X254"/>
  <sheetViews>
    <sheetView zoomScale="55" zoomScaleNormal="55" workbookViewId="0">
      <pane xSplit="2" ySplit="1" topLeftCell="L2" activePane="bottomRight" state="frozen"/>
      <selection pane="bottomRight" activeCell="O1" sqref="O1:X1"/>
      <selection pane="bottomLeft" activeCell="A2" sqref="A2"/>
      <selection pane="topRight" activeCell="C1" sqref="C1"/>
    </sheetView>
  </sheetViews>
  <sheetFormatPr defaultColWidth="11.5703125" defaultRowHeight="15"/>
  <cols>
    <col min="1" max="1" width="26.42578125" style="12" customWidth="1"/>
    <col min="2" max="2" width="14.7109375" style="1" customWidth="1"/>
    <col min="3" max="3" width="13.28515625" style="1" bestFit="1" customWidth="1"/>
    <col min="4" max="4" width="15.42578125" style="1" customWidth="1"/>
    <col min="5" max="5" width="15.140625" customWidth="1"/>
    <col min="6" max="6" width="15.140625" style="1" customWidth="1"/>
    <col min="7" max="7" width="12.85546875" style="1" customWidth="1"/>
    <col min="8" max="8" width="17.28515625" style="1" customWidth="1"/>
    <col min="9" max="9" width="17.28515625" customWidth="1"/>
    <col min="10" max="10" width="16.7109375" customWidth="1"/>
    <col min="11" max="11" width="11.5703125" style="1"/>
    <col min="12" max="12" width="14.7109375" style="1" customWidth="1"/>
    <col min="13" max="13" width="6.28515625" style="1" customWidth="1"/>
    <col min="14" max="14" width="7.5703125" style="1" customWidth="1"/>
    <col min="15" max="16" width="17.140625" style="1" customWidth="1"/>
    <col min="17" max="17" width="12.7109375" customWidth="1"/>
    <col min="18" max="18" width="19.5703125" style="1" customWidth="1"/>
    <col min="19" max="19" width="13.5703125" style="1" customWidth="1"/>
    <col min="20" max="21" width="14.7109375" style="1" customWidth="1"/>
    <col min="22" max="22" width="19.140625" style="1" bestFit="1" customWidth="1"/>
    <col min="23" max="23" width="17.42578125" style="1" customWidth="1"/>
    <col min="24" max="16384" width="11.5703125" style="1"/>
  </cols>
  <sheetData>
    <row r="1" spans="1:24" s="2" customFormat="1" ht="105">
      <c r="A1" s="10" t="s">
        <v>0</v>
      </c>
      <c r="B1" s="2" t="s">
        <v>1</v>
      </c>
      <c r="C1" s="2" t="s">
        <v>3</v>
      </c>
      <c r="D1" s="2" t="s">
        <v>4</v>
      </c>
      <c r="E1" s="2" t="s">
        <v>14</v>
      </c>
      <c r="F1" s="2" t="s">
        <v>5</v>
      </c>
      <c r="G1" s="2" t="s">
        <v>6</v>
      </c>
      <c r="H1" s="2" t="s">
        <v>12</v>
      </c>
      <c r="I1" s="2" t="s">
        <v>13</v>
      </c>
      <c r="J1" s="2" t="s">
        <v>1785</v>
      </c>
      <c r="K1" s="2" t="s">
        <v>1786</v>
      </c>
      <c r="L1" s="2" t="s">
        <v>1787</v>
      </c>
      <c r="M1" s="2" t="s">
        <v>1788</v>
      </c>
      <c r="N1" s="2" t="s">
        <v>1789</v>
      </c>
      <c r="O1" s="30" t="s">
        <v>1790</v>
      </c>
      <c r="P1" s="30" t="s">
        <v>1791</v>
      </c>
      <c r="Q1" s="31" t="s">
        <v>1792</v>
      </c>
      <c r="R1" s="2" t="s">
        <v>1793</v>
      </c>
      <c r="S1" s="2" t="s">
        <v>1794</v>
      </c>
      <c r="T1" s="2" t="s">
        <v>1795</v>
      </c>
      <c r="U1" s="2" t="s">
        <v>1796</v>
      </c>
      <c r="V1" s="2" t="s">
        <v>1797</v>
      </c>
      <c r="W1" s="32" t="s">
        <v>1798</v>
      </c>
      <c r="X1" s="32" t="s">
        <v>1799</v>
      </c>
    </row>
    <row r="2" spans="1:24" s="2" customFormat="1" ht="59.45" customHeight="1">
      <c r="A2" s="65" t="s">
        <v>23</v>
      </c>
      <c r="B2" s="11"/>
    </row>
    <row r="3" spans="1:24" s="2" customFormat="1" ht="52.9" customHeight="1">
      <c r="A3" s="11" t="s">
        <v>24</v>
      </c>
      <c r="B3" s="10" t="s">
        <v>25</v>
      </c>
      <c r="C3" s="4" t="s">
        <v>26</v>
      </c>
      <c r="D3" s="2" t="s">
        <v>27</v>
      </c>
      <c r="E3" s="2" t="s">
        <v>33</v>
      </c>
      <c r="F3" s="2" t="s">
        <v>28</v>
      </c>
      <c r="G3" s="2" t="s">
        <v>29</v>
      </c>
      <c r="H3" s="2" t="s">
        <v>1800</v>
      </c>
      <c r="I3" s="2" t="s">
        <v>32</v>
      </c>
      <c r="J3" s="2" t="s">
        <v>1801</v>
      </c>
      <c r="K3" s="2" t="s">
        <v>34</v>
      </c>
      <c r="L3" s="2">
        <f>0.036*100</f>
        <v>3.5999999999999996</v>
      </c>
      <c r="M3" s="2">
        <v>200</v>
      </c>
      <c r="N3" s="59">
        <f>(Tabla13[[#This Row],['[max.'] to reach 100% mortality (mg/L)]]/1000)*1000/Tabla13[[#This Row],[Stock concentration (g/L)]]</f>
        <v>1.7999999999999999E-2</v>
      </c>
      <c r="O3" s="42">
        <f>6*Tabla13[[#This Row],[Minimum stock volume (per partner; ml)]]*Tabla13[[#This Row],[Stock concentration (g/L)]]/1000</f>
        <v>2.1599999999999998E-2</v>
      </c>
      <c r="P3" s="30" t="s">
        <v>59</v>
      </c>
      <c r="Q3" s="2">
        <f>MAX(Tabla13[[#This Row],[Needed amount of chemical (g); Ruben Leitat calculations]:[Needed amount of chemical (g); Stefan UFZ calculations]])</f>
        <v>2.1599999999999998E-2</v>
      </c>
      <c r="S3" s="2">
        <v>5</v>
      </c>
      <c r="T3" s="2" t="s">
        <v>1802</v>
      </c>
      <c r="U3" s="2" t="s">
        <v>1802</v>
      </c>
      <c r="V3" s="2" t="s">
        <v>1803</v>
      </c>
      <c r="W3" s="2" t="s">
        <v>1804</v>
      </c>
      <c r="X3" s="2">
        <v>1</v>
      </c>
    </row>
    <row r="4" spans="1:24" s="2" customFormat="1" ht="45">
      <c r="A4" s="11" t="s">
        <v>39</v>
      </c>
      <c r="B4" s="10" t="s">
        <v>40</v>
      </c>
      <c r="C4" s="4" t="s">
        <v>41</v>
      </c>
      <c r="D4" s="2" t="s">
        <v>42</v>
      </c>
      <c r="E4" s="22" t="s">
        <v>47</v>
      </c>
      <c r="F4" s="2" t="s">
        <v>458</v>
      </c>
      <c r="G4" s="5" t="s">
        <v>44</v>
      </c>
      <c r="H4" s="2" t="s">
        <v>1805</v>
      </c>
      <c r="I4" s="2" t="s">
        <v>46</v>
      </c>
      <c r="J4" s="2" t="s">
        <v>1806</v>
      </c>
      <c r="K4" s="2" t="s">
        <v>34</v>
      </c>
      <c r="L4" s="2">
        <f>0.64*100</f>
        <v>64</v>
      </c>
      <c r="M4" s="2">
        <v>200</v>
      </c>
      <c r="N4" s="59">
        <f>(Tabla13[[#This Row],['[max.'] to reach 100% mortality (mg/L)]]/1000)*1000/Tabla13[[#This Row],[Stock concentration (g/L)]]</f>
        <v>0.32</v>
      </c>
      <c r="O4" s="42">
        <f>6*Tabla13[[#This Row],[Minimum stock volume (per partner; ml)]]*Tabla13[[#This Row],[Stock concentration (g/L)]]/1000</f>
        <v>0.38400000000000001</v>
      </c>
      <c r="P4" s="30" t="s">
        <v>59</v>
      </c>
      <c r="Q4" s="2">
        <f>MAX(Tabla13[[#This Row],[Needed amount of chemical (g); Ruben Leitat calculations]:[Needed amount of chemical (g); Stefan UFZ calculations]])</f>
        <v>0.38400000000000001</v>
      </c>
      <c r="S4" s="2">
        <v>0.1</v>
      </c>
      <c r="T4" s="2" t="s">
        <v>1802</v>
      </c>
      <c r="U4" s="2" t="s">
        <v>1802</v>
      </c>
      <c r="V4" s="2" t="s">
        <v>1807</v>
      </c>
      <c r="W4" s="2" t="s">
        <v>1808</v>
      </c>
      <c r="X4" s="2">
        <v>1</v>
      </c>
    </row>
    <row r="5" spans="1:24" s="2" customFormat="1" ht="45">
      <c r="A5" s="11" t="s">
        <v>53</v>
      </c>
      <c r="B5" s="10" t="s">
        <v>54</v>
      </c>
      <c r="C5" s="4" t="s">
        <v>55</v>
      </c>
      <c r="D5" s="2" t="s">
        <v>56</v>
      </c>
      <c r="E5" s="2" t="s">
        <v>33</v>
      </c>
      <c r="F5" s="3" t="s">
        <v>57</v>
      </c>
      <c r="G5" s="3" t="s">
        <v>58</v>
      </c>
      <c r="H5" s="2" t="s">
        <v>59</v>
      </c>
      <c r="I5" s="2" t="s">
        <v>59</v>
      </c>
      <c r="J5" s="2" t="s">
        <v>1809</v>
      </c>
      <c r="K5" s="2" t="s">
        <v>34</v>
      </c>
      <c r="L5" s="2">
        <f t="shared" ref="L5" si="0">0.036*100</f>
        <v>3.5999999999999996</v>
      </c>
      <c r="M5" s="2">
        <v>200</v>
      </c>
      <c r="N5" s="59">
        <f>(Tabla13[[#This Row],['[max.'] to reach 100% mortality (mg/L)]]/1000)*1000/Tabla13[[#This Row],[Stock concentration (g/L)]]</f>
        <v>1.7999999999999999E-2</v>
      </c>
      <c r="O5" s="42">
        <f>6*Tabla13[[#This Row],[Minimum stock volume (per partner; ml)]]*Tabla13[[#This Row],[Stock concentration (g/L)]]/1000</f>
        <v>2.1599999999999998E-2</v>
      </c>
      <c r="P5" s="30" t="s">
        <v>59</v>
      </c>
      <c r="Q5" s="2">
        <f>MAX(Tabla13[[#This Row],[Needed amount of chemical (g); Ruben Leitat calculations]:[Needed amount of chemical (g); Stefan UFZ calculations]])</f>
        <v>2.1599999999999998E-2</v>
      </c>
      <c r="S5" s="2">
        <v>0.1</v>
      </c>
      <c r="T5" s="2" t="s">
        <v>1802</v>
      </c>
      <c r="U5" s="2" t="s">
        <v>1802</v>
      </c>
      <c r="V5" s="2" t="s">
        <v>1810</v>
      </c>
      <c r="W5" s="2" t="s">
        <v>1811</v>
      </c>
      <c r="X5" s="2">
        <v>2</v>
      </c>
    </row>
    <row r="6" spans="1:24" s="5" customFormat="1" ht="45">
      <c r="A6" s="9" t="s">
        <v>61</v>
      </c>
      <c r="B6" s="9" t="s">
        <v>34</v>
      </c>
      <c r="C6" s="5" t="s">
        <v>62</v>
      </c>
      <c r="D6" s="5" t="s">
        <v>63</v>
      </c>
      <c r="E6" s="5" t="s">
        <v>33</v>
      </c>
      <c r="F6" s="5" t="s">
        <v>59</v>
      </c>
      <c r="G6" s="5" t="s">
        <v>64</v>
      </c>
      <c r="H6" s="5" t="s">
        <v>34</v>
      </c>
      <c r="I6" s="5" t="s">
        <v>66</v>
      </c>
      <c r="J6" s="5" t="s">
        <v>34</v>
      </c>
      <c r="K6" s="5" t="s">
        <v>34</v>
      </c>
      <c r="L6" s="5" t="s">
        <v>34</v>
      </c>
      <c r="M6" s="5" t="s">
        <v>34</v>
      </c>
      <c r="N6" s="5" t="s">
        <v>34</v>
      </c>
      <c r="O6" s="5" t="s">
        <v>34</v>
      </c>
      <c r="P6" s="5" t="s">
        <v>34</v>
      </c>
      <c r="Q6" s="5" t="s">
        <v>34</v>
      </c>
      <c r="R6" s="5" t="s">
        <v>34</v>
      </c>
      <c r="S6" s="5" t="s">
        <v>34</v>
      </c>
      <c r="T6" s="5" t="s">
        <v>34</v>
      </c>
      <c r="U6" s="5" t="s">
        <v>34</v>
      </c>
      <c r="V6" s="5" t="s">
        <v>34</v>
      </c>
      <c r="W6" s="5" t="s">
        <v>34</v>
      </c>
      <c r="X6" s="5" t="s">
        <v>34</v>
      </c>
    </row>
    <row r="7" spans="1:24" s="2" customFormat="1" ht="66" customHeight="1">
      <c r="A7" s="11" t="s">
        <v>69</v>
      </c>
      <c r="B7" s="10" t="s">
        <v>70</v>
      </c>
      <c r="C7" s="4" t="s">
        <v>71</v>
      </c>
      <c r="D7" s="2" t="s">
        <v>72</v>
      </c>
      <c r="E7" s="2" t="s">
        <v>33</v>
      </c>
      <c r="F7" s="2" t="s">
        <v>73</v>
      </c>
      <c r="G7" s="2" t="s">
        <v>74</v>
      </c>
      <c r="H7" s="2" t="s">
        <v>1812</v>
      </c>
      <c r="I7" s="2" t="s">
        <v>76</v>
      </c>
      <c r="J7" s="2" t="s">
        <v>1813</v>
      </c>
      <c r="K7" s="2" t="s">
        <v>34</v>
      </c>
      <c r="L7" s="2">
        <f>25000*100</f>
        <v>2500000</v>
      </c>
      <c r="M7" s="2">
        <v>200</v>
      </c>
      <c r="N7" s="59">
        <f>(Tabla13[[#This Row],['[max.'] to reach 100% mortality (mg/L)]]/1000)*1000/Tabla13[[#This Row],[Stock concentration (g/L)]]</f>
        <v>12500</v>
      </c>
      <c r="O7" s="42">
        <f>6*Tabla13[[#This Row],[Minimum stock volume (per partner; ml)]]*Tabla13[[#This Row],[Stock concentration (g/L)]]/1000</f>
        <v>15000</v>
      </c>
      <c r="P7" s="30" t="s">
        <v>59</v>
      </c>
      <c r="Q7" s="2">
        <f>MAX(Tabla13[[#This Row],[Needed amount of chemical (g); Ruben Leitat calculations]:[Needed amount of chemical (g); Stefan UFZ calculations]])</f>
        <v>15000</v>
      </c>
      <c r="R7" s="5" t="s">
        <v>1814</v>
      </c>
      <c r="S7" s="2">
        <v>2500</v>
      </c>
      <c r="T7" s="2" t="s">
        <v>1802</v>
      </c>
      <c r="U7" s="2" t="s">
        <v>1802</v>
      </c>
      <c r="V7" s="2" t="s">
        <v>1815</v>
      </c>
      <c r="W7" s="2" t="s">
        <v>1816</v>
      </c>
      <c r="X7" s="2">
        <v>1</v>
      </c>
    </row>
    <row r="8" spans="1:24" s="2" customFormat="1" ht="75">
      <c r="A8" s="10" t="s">
        <v>79</v>
      </c>
      <c r="B8" s="10" t="s">
        <v>80</v>
      </c>
      <c r="C8" s="2" t="s">
        <v>81</v>
      </c>
      <c r="D8" s="2" t="s">
        <v>82</v>
      </c>
      <c r="E8" s="2" t="s">
        <v>33</v>
      </c>
      <c r="F8" s="2" t="s">
        <v>59</v>
      </c>
      <c r="G8" s="2" t="s">
        <v>83</v>
      </c>
      <c r="H8" s="2" t="s">
        <v>1817</v>
      </c>
      <c r="I8" s="2" t="s">
        <v>84</v>
      </c>
      <c r="J8" s="2" t="s">
        <v>1818</v>
      </c>
      <c r="K8" s="2" t="s">
        <v>34</v>
      </c>
      <c r="L8" s="2">
        <f>12.6*100</f>
        <v>1260</v>
      </c>
      <c r="M8" s="2">
        <v>200</v>
      </c>
      <c r="N8" s="59">
        <f>(Tabla13[[#This Row],['[max.'] to reach 100% mortality (mg/L)]]/1000)*1000/Tabla13[[#This Row],[Stock concentration (g/L)]]</f>
        <v>6.3</v>
      </c>
      <c r="O8" s="42">
        <f>6*Tabla13[[#This Row],[Minimum stock volume (per partner; ml)]]*Tabla13[[#This Row],[Stock concentration (g/L)]]/1000</f>
        <v>7.5599999999999987</v>
      </c>
      <c r="P8" s="30" t="s">
        <v>59</v>
      </c>
      <c r="Q8" s="2">
        <f>MAX(Tabla13[[#This Row],[Needed amount of chemical (g); Ruben Leitat calculations]:[Needed amount of chemical (g); Stefan UFZ calculations]])</f>
        <v>7.5599999999999987</v>
      </c>
      <c r="S8" s="2">
        <v>100</v>
      </c>
      <c r="T8" s="2" t="s">
        <v>1802</v>
      </c>
      <c r="U8" s="2" t="s">
        <v>1802</v>
      </c>
      <c r="V8" s="2" t="s">
        <v>1819</v>
      </c>
      <c r="W8" s="2" t="s">
        <v>1820</v>
      </c>
      <c r="X8" s="2">
        <v>1</v>
      </c>
    </row>
    <row r="9" spans="1:24" s="2" customFormat="1" ht="30">
      <c r="A9" s="10" t="s">
        <v>88</v>
      </c>
      <c r="B9" s="10" t="s">
        <v>89</v>
      </c>
      <c r="C9" s="2" t="s">
        <v>90</v>
      </c>
      <c r="D9" s="2" t="s">
        <v>91</v>
      </c>
      <c r="E9" s="2" t="s">
        <v>33</v>
      </c>
      <c r="F9" s="2" t="s">
        <v>59</v>
      </c>
      <c r="G9" s="2" t="s">
        <v>92</v>
      </c>
      <c r="H9" s="2" t="s">
        <v>59</v>
      </c>
      <c r="I9" s="2" t="s">
        <v>93</v>
      </c>
      <c r="J9" s="2" t="s">
        <v>1821</v>
      </c>
      <c r="K9" s="2" t="s">
        <v>34</v>
      </c>
      <c r="L9" s="2">
        <f>1.54*100</f>
        <v>154</v>
      </c>
      <c r="M9" s="2">
        <v>100</v>
      </c>
      <c r="N9" s="59">
        <f>(Tabla13[[#This Row],['[max.'] to reach 100% mortality (mg/L)]]/1000)*1000/Tabla13[[#This Row],[Stock concentration (g/L)]]</f>
        <v>1.54</v>
      </c>
      <c r="O9" s="42">
        <f>6*Tabla13[[#This Row],[Minimum stock volume (per partner; ml)]]*Tabla13[[#This Row],[Stock concentration (g/L)]]/1000</f>
        <v>0.92400000000000004</v>
      </c>
      <c r="P9" s="30" t="s">
        <v>59</v>
      </c>
      <c r="Q9" s="2">
        <f>MAX(Tabla13[[#This Row],[Needed amount of chemical (g); Ruben Leitat calculations]:[Needed amount of chemical (g); Stefan UFZ calculations]])</f>
        <v>0.92400000000000004</v>
      </c>
      <c r="S9" s="2">
        <v>100</v>
      </c>
      <c r="T9" s="2" t="s">
        <v>1802</v>
      </c>
      <c r="U9" s="2" t="s">
        <v>1802</v>
      </c>
      <c r="V9" s="2" t="s">
        <v>1822</v>
      </c>
      <c r="W9" s="2" t="s">
        <v>1820</v>
      </c>
      <c r="X9" s="2">
        <v>1</v>
      </c>
    </row>
    <row r="10" spans="1:24" s="2" customFormat="1" ht="62.45" customHeight="1">
      <c r="A10" s="65" t="s">
        <v>96</v>
      </c>
      <c r="B10" s="11"/>
    </row>
    <row r="11" spans="1:24" s="2" customFormat="1" ht="105" customHeight="1">
      <c r="A11" s="10" t="s">
        <v>97</v>
      </c>
      <c r="B11" s="11" t="s">
        <v>98</v>
      </c>
      <c r="C11" s="2" t="s">
        <v>100</v>
      </c>
      <c r="D11" s="4" t="s">
        <v>101</v>
      </c>
      <c r="E11" s="2" t="s">
        <v>33</v>
      </c>
      <c r="F11" s="2" t="s">
        <v>102</v>
      </c>
      <c r="G11" s="2" t="s">
        <v>103</v>
      </c>
      <c r="H11" s="2" t="s">
        <v>104</v>
      </c>
      <c r="I11" s="2" t="s">
        <v>105</v>
      </c>
      <c r="J11" s="2" t="s">
        <v>1823</v>
      </c>
      <c r="K11" s="2" t="s">
        <v>1824</v>
      </c>
      <c r="L11" s="14">
        <f>98*100</f>
        <v>9800</v>
      </c>
      <c r="M11" s="14">
        <v>200</v>
      </c>
      <c r="N11" s="59">
        <f>(Tabla13[[#This Row],['[max.'] to reach 100% mortality (mg/L)]]/1000)*1000/Tabla13[[#This Row],[Stock concentration (g/L)]]</f>
        <v>49</v>
      </c>
      <c r="O11" s="42">
        <f>6*Tabla13[[#This Row],[Minimum stock volume (per partner; ml)]]*Tabla13[[#This Row],[Stock concentration (g/L)]]/1000</f>
        <v>58.8</v>
      </c>
      <c r="P11" s="39">
        <v>0</v>
      </c>
      <c r="Q11" s="2">
        <v>58.8</v>
      </c>
      <c r="S11" s="2">
        <v>500</v>
      </c>
      <c r="T11" s="17" t="s">
        <v>1825</v>
      </c>
      <c r="U11" s="17" t="s">
        <v>1826</v>
      </c>
      <c r="V11" s="17" t="s">
        <v>1827</v>
      </c>
      <c r="W11" s="17" t="s">
        <v>1828</v>
      </c>
      <c r="X11" s="2">
        <v>1</v>
      </c>
    </row>
    <row r="12" spans="1:24" s="2" customFormat="1" ht="48">
      <c r="A12" s="10" t="s">
        <v>109</v>
      </c>
      <c r="B12" s="11" t="s">
        <v>110</v>
      </c>
      <c r="C12" s="2" t="s">
        <v>112</v>
      </c>
      <c r="D12" s="4" t="s">
        <v>113</v>
      </c>
      <c r="E12" s="22" t="s">
        <v>116</v>
      </c>
      <c r="F12" s="2" t="s">
        <v>59</v>
      </c>
      <c r="G12" s="2" t="s">
        <v>114</v>
      </c>
      <c r="H12" s="2" t="s">
        <v>115</v>
      </c>
      <c r="I12" s="2" t="s">
        <v>105</v>
      </c>
      <c r="J12" s="2" t="s">
        <v>1829</v>
      </c>
      <c r="K12" s="125" t="s">
        <v>1830</v>
      </c>
      <c r="L12" s="2">
        <f>890*100</f>
        <v>89000</v>
      </c>
      <c r="M12" s="2">
        <v>1500</v>
      </c>
      <c r="N12" s="59">
        <f>(Tabla13[[#This Row],['[max.'] to reach 100% mortality (mg/L)]]/1000)*1000/Tabla13[[#This Row],[Stock concentration (g/L)]]</f>
        <v>59.333333333333336</v>
      </c>
      <c r="O12" s="30">
        <f>6*Tabla13[[#This Row],[Minimum stock volume (per partner; ml)]]*Tabla13[[#This Row],[Stock concentration (g/L)]]/1000</f>
        <v>534</v>
      </c>
      <c r="P12" s="47">
        <v>558.09155667370067</v>
      </c>
      <c r="Q12" s="2">
        <v>558.09155667370067</v>
      </c>
      <c r="S12" s="2">
        <v>1000</v>
      </c>
      <c r="T12" s="17" t="s">
        <v>1831</v>
      </c>
      <c r="U12" s="17" t="s">
        <v>1831</v>
      </c>
      <c r="V12" s="17" t="s">
        <v>1832</v>
      </c>
      <c r="W12" s="17" t="s">
        <v>1828</v>
      </c>
      <c r="X12" s="2">
        <v>2</v>
      </c>
    </row>
    <row r="13" spans="1:24" s="2" customFormat="1" ht="147.75" customHeight="1">
      <c r="A13" s="10" t="s">
        <v>120</v>
      </c>
      <c r="B13" s="11" t="s">
        <v>121</v>
      </c>
      <c r="C13" s="2" t="s">
        <v>123</v>
      </c>
      <c r="D13" s="2" t="s">
        <v>124</v>
      </c>
      <c r="E13" s="2" t="s">
        <v>128</v>
      </c>
      <c r="F13" s="2" t="s">
        <v>59</v>
      </c>
      <c r="G13" s="2" t="s">
        <v>125</v>
      </c>
      <c r="H13" s="2" t="s">
        <v>126</v>
      </c>
      <c r="I13" s="2" t="s">
        <v>127</v>
      </c>
      <c r="J13" s="2" t="s">
        <v>1833</v>
      </c>
      <c r="K13" s="124" t="s">
        <v>1834</v>
      </c>
      <c r="L13" s="14">
        <f>1000*100</f>
        <v>100000</v>
      </c>
      <c r="M13" s="2">
        <v>1500</v>
      </c>
      <c r="N13" s="59">
        <f>(Tabla13[[#This Row],['[max.'] to reach 100% mortality (mg/L)]]/1000)*1000/Tabla13[[#This Row],[Stock concentration (g/L)]]</f>
        <v>66.666666666666671</v>
      </c>
      <c r="O13" s="43">
        <f>6*Tabla13[[#This Row],[Minimum stock volume (per partner; ml)]]*Tabla13[[#This Row],[Stock concentration (g/L)]]/1000</f>
        <v>600</v>
      </c>
      <c r="P13" s="39">
        <v>451.77935094486537</v>
      </c>
      <c r="Q13" s="2">
        <v>600</v>
      </c>
      <c r="R13" s="2" t="s">
        <v>1835</v>
      </c>
      <c r="S13" s="2">
        <v>500</v>
      </c>
      <c r="T13" s="17" t="s">
        <v>1836</v>
      </c>
      <c r="U13" s="17" t="s">
        <v>1826</v>
      </c>
      <c r="V13" s="17" t="s">
        <v>1837</v>
      </c>
      <c r="W13" s="17" t="s">
        <v>1828</v>
      </c>
      <c r="X13" s="2">
        <v>1</v>
      </c>
    </row>
    <row r="14" spans="1:24" s="2" customFormat="1" ht="48">
      <c r="A14" s="10" t="s">
        <v>131</v>
      </c>
      <c r="B14" s="11" t="s">
        <v>132</v>
      </c>
      <c r="C14" s="2" t="s">
        <v>134</v>
      </c>
      <c r="D14" s="2" t="s">
        <v>135</v>
      </c>
      <c r="E14" s="2" t="s">
        <v>33</v>
      </c>
      <c r="F14" s="2" t="s">
        <v>136</v>
      </c>
      <c r="G14" s="2" t="s">
        <v>137</v>
      </c>
      <c r="H14" s="2" t="s">
        <v>138</v>
      </c>
      <c r="I14" s="2" t="s">
        <v>105</v>
      </c>
      <c r="J14" s="2" t="s">
        <v>1838</v>
      </c>
      <c r="K14" s="125" t="s">
        <v>1839</v>
      </c>
      <c r="L14" s="2">
        <f>180*100</f>
        <v>18000</v>
      </c>
      <c r="M14" s="2">
        <v>35.299999999999997</v>
      </c>
      <c r="N14" s="59">
        <f>(Tabla13[[#This Row],['[max.'] to reach 100% mortality (mg/L)]]/1000)*1000/Tabla13[[#This Row],[Stock concentration (g/L)]]</f>
        <v>509.915014164306</v>
      </c>
      <c r="O14" s="30">
        <f>6*Tabla13[[#This Row],[Minimum stock volume (per partner; ml)]]*Tabla13[[#This Row],[Stock concentration (g/L)]]/1000</f>
        <v>108</v>
      </c>
      <c r="P14" s="44">
        <v>31.001234805203488</v>
      </c>
      <c r="Q14" s="2">
        <v>108</v>
      </c>
      <c r="S14" s="2">
        <v>500</v>
      </c>
      <c r="T14" s="17" t="s">
        <v>1831</v>
      </c>
      <c r="U14" s="17" t="s">
        <v>1831</v>
      </c>
      <c r="V14" s="17" t="s">
        <v>1840</v>
      </c>
      <c r="W14" s="17" t="s">
        <v>1841</v>
      </c>
      <c r="X14" s="2">
        <v>1</v>
      </c>
    </row>
    <row r="15" spans="1:24" s="2" customFormat="1" ht="71.25" customHeight="1">
      <c r="A15" s="10" t="s">
        <v>140</v>
      </c>
      <c r="B15" s="11" t="s">
        <v>141</v>
      </c>
      <c r="C15" s="2" t="s">
        <v>134</v>
      </c>
      <c r="D15" s="2" t="s">
        <v>143</v>
      </c>
      <c r="E15" s="2" t="s">
        <v>33</v>
      </c>
      <c r="F15" s="2" t="s">
        <v>59</v>
      </c>
      <c r="G15" s="2" t="s">
        <v>144</v>
      </c>
      <c r="H15" s="2" t="s">
        <v>145</v>
      </c>
      <c r="I15" s="2" t="s">
        <v>146</v>
      </c>
      <c r="J15" s="2" t="s">
        <v>1842</v>
      </c>
      <c r="K15" s="124" t="s">
        <v>1843</v>
      </c>
      <c r="L15" s="5">
        <f>46707*100</f>
        <v>4670700</v>
      </c>
      <c r="M15" s="5">
        <v>13</v>
      </c>
      <c r="N15" s="59">
        <f>(Tabla13[[#This Row],['[max.'] to reach 100% mortality (mg/L)]]/1000)*1000/Tabla13[[#This Row],[Stock concentration (g/L)]]</f>
        <v>359284.61538461538</v>
      </c>
      <c r="O15" s="48">
        <f>6*Tabla13[[#This Row],[Minimum stock volume (per partner; ml)]]*Tabla13[[#This Row],[Stock concentration (g/L)]]/1000</f>
        <v>28024.199999999997</v>
      </c>
      <c r="P15" s="49">
        <v>50.484820004628929</v>
      </c>
      <c r="Q15" s="2">
        <v>28024.199999999997</v>
      </c>
      <c r="R15" s="9" t="s">
        <v>1844</v>
      </c>
      <c r="S15" s="2">
        <v>100</v>
      </c>
      <c r="T15" s="17" t="s">
        <v>1802</v>
      </c>
      <c r="U15" s="17" t="s">
        <v>1802</v>
      </c>
      <c r="V15" s="17" t="s">
        <v>1845</v>
      </c>
      <c r="W15" s="17" t="s">
        <v>1846</v>
      </c>
      <c r="X15" s="2">
        <v>1</v>
      </c>
    </row>
    <row r="16" spans="1:24" s="2" customFormat="1" ht="75">
      <c r="A16" s="10" t="s">
        <v>149</v>
      </c>
      <c r="B16" s="11" t="s">
        <v>150</v>
      </c>
      <c r="C16" s="2" t="s">
        <v>152</v>
      </c>
      <c r="D16" s="2" t="s">
        <v>153</v>
      </c>
      <c r="E16" s="2" t="s">
        <v>33</v>
      </c>
      <c r="F16" s="2" t="s">
        <v>154</v>
      </c>
      <c r="G16" s="2" t="s">
        <v>155</v>
      </c>
      <c r="H16" s="2" t="s">
        <v>156</v>
      </c>
      <c r="I16" s="2" t="s">
        <v>157</v>
      </c>
      <c r="J16" s="2" t="s">
        <v>1847</v>
      </c>
      <c r="K16" s="125" t="s">
        <v>1848</v>
      </c>
      <c r="L16" s="2">
        <f>1703*100</f>
        <v>170300</v>
      </c>
      <c r="M16" s="2">
        <v>2000</v>
      </c>
      <c r="N16" s="59">
        <f>(Tabla13[[#This Row],['[max.'] to reach 100% mortality (mg/L)]]/1000)*1000/Tabla13[[#This Row],[Stock concentration (g/L)]]</f>
        <v>85.15</v>
      </c>
      <c r="O16" s="30">
        <f>6*Tabla13[[#This Row],[Minimum stock volume (per partner; ml)]]*Tabla13[[#This Row],[Stock concentration (g/L)]]/1000</f>
        <v>1021.8000000000001</v>
      </c>
      <c r="P16" s="49">
        <v>62.54442028135329</v>
      </c>
      <c r="Q16" s="2">
        <v>1021.8000000000001</v>
      </c>
      <c r="S16" s="2">
        <v>500</v>
      </c>
      <c r="T16" s="17" t="s">
        <v>1831</v>
      </c>
      <c r="U16" s="17" t="s">
        <v>1831</v>
      </c>
      <c r="V16" s="17" t="s">
        <v>1849</v>
      </c>
      <c r="W16" s="17" t="s">
        <v>1828</v>
      </c>
      <c r="X16" s="2">
        <v>1</v>
      </c>
    </row>
    <row r="17" spans="1:24" s="2" customFormat="1" ht="116.25" customHeight="1">
      <c r="A17" s="10" t="s">
        <v>161</v>
      </c>
      <c r="B17" s="11" t="s">
        <v>162</v>
      </c>
      <c r="C17" s="2" t="s">
        <v>164</v>
      </c>
      <c r="D17" s="2" t="s">
        <v>165</v>
      </c>
      <c r="E17" s="2" t="s">
        <v>33</v>
      </c>
      <c r="F17" s="2" t="s">
        <v>59</v>
      </c>
      <c r="G17" s="2" t="s">
        <v>166</v>
      </c>
      <c r="H17" s="2" t="s">
        <v>167</v>
      </c>
      <c r="I17" s="2" t="s">
        <v>168</v>
      </c>
      <c r="J17" s="2" t="s">
        <v>1850</v>
      </c>
      <c r="K17" s="124" t="s">
        <v>1851</v>
      </c>
      <c r="L17" s="2">
        <f>1000*100</f>
        <v>100000</v>
      </c>
      <c r="M17" s="2">
        <v>202</v>
      </c>
      <c r="N17" s="59">
        <f>(Tabla13[[#This Row],['[max.'] to reach 100% mortality (mg/L)]]/1000)*1000/Tabla13[[#This Row],[Stock concentration (g/L)]]</f>
        <v>495.04950495049508</v>
      </c>
      <c r="O17" s="43">
        <f>6*Tabla13[[#This Row],[Minimum stock volume (per partner; ml)]]*Tabla13[[#This Row],[Stock concentration (g/L)]]/1000</f>
        <v>600</v>
      </c>
      <c r="P17" s="39">
        <v>691.86153074186473</v>
      </c>
      <c r="Q17" s="2">
        <v>691.86153074186473</v>
      </c>
      <c r="R17" s="2" t="s">
        <v>1835</v>
      </c>
      <c r="S17" s="2">
        <v>1000</v>
      </c>
      <c r="T17" s="17" t="s">
        <v>1831</v>
      </c>
      <c r="U17" s="17" t="s">
        <v>1831</v>
      </c>
      <c r="V17" s="17" t="s">
        <v>1852</v>
      </c>
      <c r="W17" s="17" t="s">
        <v>1828</v>
      </c>
      <c r="X17" s="2">
        <v>2</v>
      </c>
    </row>
    <row r="18" spans="1:24" s="2" customFormat="1" ht="141.75" customHeight="1">
      <c r="A18" s="10" t="s">
        <v>171</v>
      </c>
      <c r="B18" s="11" t="s">
        <v>172</v>
      </c>
      <c r="C18" s="2" t="s">
        <v>174</v>
      </c>
      <c r="D18" s="2" t="s">
        <v>175</v>
      </c>
      <c r="E18" s="2" t="s">
        <v>33</v>
      </c>
      <c r="F18" s="2" t="s">
        <v>176</v>
      </c>
      <c r="G18" s="2" t="s">
        <v>177</v>
      </c>
      <c r="H18" s="2" t="s">
        <v>179</v>
      </c>
      <c r="I18" s="2" t="s">
        <v>180</v>
      </c>
      <c r="J18" s="2" t="s">
        <v>1853</v>
      </c>
      <c r="K18" s="125" t="s">
        <v>1854</v>
      </c>
      <c r="L18" s="2">
        <f>341.5*100</f>
        <v>34150</v>
      </c>
      <c r="M18" s="2">
        <v>1000</v>
      </c>
      <c r="N18" s="59">
        <f>(Tabla13[[#This Row],['[max.'] to reach 100% mortality (mg/L)]]/1000)*1000/Tabla13[[#This Row],[Stock concentration (g/L)]]</f>
        <v>34.15</v>
      </c>
      <c r="O18" s="30">
        <f>6*Tabla13[[#This Row],[Minimum stock volume (per partner; ml)]]*Tabla13[[#This Row],[Stock concentration (g/L)]]/1000</f>
        <v>204.89999999999998</v>
      </c>
      <c r="P18" s="44">
        <v>65.688553928422508</v>
      </c>
      <c r="Q18" s="2">
        <v>204.89999999999998</v>
      </c>
      <c r="S18" s="2">
        <v>500</v>
      </c>
      <c r="T18" s="17" t="s">
        <v>1831</v>
      </c>
      <c r="U18" s="17" t="s">
        <v>1831</v>
      </c>
      <c r="V18" s="17" t="s">
        <v>1855</v>
      </c>
      <c r="W18" s="17" t="s">
        <v>1828</v>
      </c>
      <c r="X18" s="2">
        <v>1</v>
      </c>
    </row>
    <row r="19" spans="1:24" s="2" customFormat="1" ht="143.25" customHeight="1">
      <c r="A19" s="10" t="s">
        <v>184</v>
      </c>
      <c r="B19" s="11" t="s">
        <v>185</v>
      </c>
      <c r="C19" s="2" t="s">
        <v>187</v>
      </c>
      <c r="D19" s="2" t="s">
        <v>188</v>
      </c>
      <c r="E19" s="2" t="s">
        <v>33</v>
      </c>
      <c r="F19" s="2" t="s">
        <v>154</v>
      </c>
      <c r="G19" s="2" t="s">
        <v>189</v>
      </c>
      <c r="H19" s="2" t="s">
        <v>191</v>
      </c>
      <c r="I19" s="2" t="s">
        <v>192</v>
      </c>
      <c r="J19" s="2" t="s">
        <v>1856</v>
      </c>
      <c r="K19" s="126" t="s">
        <v>1857</v>
      </c>
      <c r="L19" s="2">
        <f>180*100</f>
        <v>18000</v>
      </c>
      <c r="M19" s="2">
        <v>50</v>
      </c>
      <c r="N19" s="59">
        <f>(Tabla13[[#This Row],['[max.'] to reach 100% mortality (mg/L)]]/1000)*1000/Tabla13[[#This Row],[Stock concentration (g/L)]]</f>
        <v>360</v>
      </c>
      <c r="O19" s="30">
        <f>6*Tabla13[[#This Row],[Minimum stock volume (per partner; ml)]]*Tabla13[[#This Row],[Stock concentration (g/L)]]/1000</f>
        <v>108</v>
      </c>
      <c r="P19" s="44">
        <v>61.181057854902711</v>
      </c>
      <c r="Q19" s="2">
        <v>108</v>
      </c>
      <c r="S19" s="2">
        <v>100</v>
      </c>
      <c r="T19" s="17" t="s">
        <v>1831</v>
      </c>
      <c r="U19" s="17" t="s">
        <v>1831</v>
      </c>
      <c r="V19" s="17" t="s">
        <v>1858</v>
      </c>
      <c r="W19" s="17" t="s">
        <v>1820</v>
      </c>
      <c r="X19" s="2">
        <v>1</v>
      </c>
    </row>
    <row r="20" spans="1:24" s="2" customFormat="1" ht="147" customHeight="1">
      <c r="A20" s="10" t="s">
        <v>194</v>
      </c>
      <c r="B20" s="11" t="s">
        <v>195</v>
      </c>
      <c r="C20" s="2" t="s">
        <v>187</v>
      </c>
      <c r="D20" s="2" t="s">
        <v>197</v>
      </c>
      <c r="E20" s="2" t="s">
        <v>33</v>
      </c>
      <c r="F20" s="2" t="s">
        <v>59</v>
      </c>
      <c r="G20" s="2" t="s">
        <v>198</v>
      </c>
      <c r="H20" s="2" t="s">
        <v>200</v>
      </c>
      <c r="I20" s="2" t="s">
        <v>201</v>
      </c>
      <c r="J20" s="2" t="s">
        <v>1859</v>
      </c>
      <c r="K20" s="125" t="s">
        <v>1857</v>
      </c>
      <c r="L20" s="2">
        <f>225.31*100</f>
        <v>22531</v>
      </c>
      <c r="M20" s="2">
        <v>267</v>
      </c>
      <c r="N20" s="59">
        <f>(Tabla13[[#This Row],['[max.'] to reach 100% mortality (mg/L)]]/1000)*1000/Tabla13[[#This Row],[Stock concentration (g/L)]]</f>
        <v>84.385767790262179</v>
      </c>
      <c r="O20" s="30">
        <f>6*Tabla13[[#This Row],[Minimum stock volume (per partner; ml)]]*Tabla13[[#This Row],[Stock concentration (g/L)]]/1000</f>
        <v>135.18600000000001</v>
      </c>
      <c r="P20" s="39">
        <v>93.384682754469409</v>
      </c>
      <c r="Q20" s="2">
        <v>135.18600000000001</v>
      </c>
      <c r="S20" s="2">
        <v>500</v>
      </c>
      <c r="T20" s="17" t="s">
        <v>1831</v>
      </c>
      <c r="U20" s="17" t="s">
        <v>1831</v>
      </c>
      <c r="V20" s="17" t="s">
        <v>1860</v>
      </c>
      <c r="W20" s="17" t="s">
        <v>1828</v>
      </c>
      <c r="X20" s="2">
        <v>1</v>
      </c>
    </row>
    <row r="21" spans="1:24" s="2" customFormat="1" ht="129.75" customHeight="1">
      <c r="A21" s="10" t="s">
        <v>203</v>
      </c>
      <c r="B21" s="11" t="s">
        <v>204</v>
      </c>
      <c r="C21" s="2" t="s">
        <v>187</v>
      </c>
      <c r="D21" s="2" t="s">
        <v>206</v>
      </c>
      <c r="E21" s="2" t="s">
        <v>212</v>
      </c>
      <c r="F21" s="2" t="s">
        <v>154</v>
      </c>
      <c r="G21" s="2" t="s">
        <v>207</v>
      </c>
      <c r="H21" s="2" t="s">
        <v>210</v>
      </c>
      <c r="I21" s="2" t="s">
        <v>211</v>
      </c>
      <c r="J21" s="2" t="s">
        <v>1861</v>
      </c>
      <c r="K21" s="125" t="s">
        <v>1862</v>
      </c>
      <c r="L21" s="2">
        <f>267.94*100</f>
        <v>26794</v>
      </c>
      <c r="M21" s="2">
        <v>145</v>
      </c>
      <c r="N21" s="59">
        <f>(Tabla13[[#This Row],['[max.'] to reach 100% mortality (mg/L)]]/1000)*1000/Tabla13[[#This Row],[Stock concentration (g/L)]]</f>
        <v>184.78620689655173</v>
      </c>
      <c r="O21" s="30">
        <f>6*Tabla13[[#This Row],[Minimum stock volume (per partner; ml)]]*Tabla13[[#This Row],[Stock concentration (g/L)]]/1000</f>
        <v>160.76400000000004</v>
      </c>
      <c r="P21" s="39">
        <v>91.019632479402901</v>
      </c>
      <c r="Q21" s="2">
        <v>160.76400000000004</v>
      </c>
      <c r="S21" s="2">
        <v>200</v>
      </c>
      <c r="T21" s="17" t="s">
        <v>1831</v>
      </c>
      <c r="U21" s="17" t="s">
        <v>1831</v>
      </c>
      <c r="V21" s="17" t="s">
        <v>1863</v>
      </c>
      <c r="W21" s="17" t="s">
        <v>1820</v>
      </c>
      <c r="X21" s="2">
        <v>2</v>
      </c>
    </row>
    <row r="22" spans="1:24" s="2" customFormat="1" ht="158.25" customHeight="1">
      <c r="A22" s="10" t="s">
        <v>216</v>
      </c>
      <c r="B22" s="11" t="s">
        <v>217</v>
      </c>
      <c r="C22" s="2" t="s">
        <v>219</v>
      </c>
      <c r="D22" s="2" t="s">
        <v>220</v>
      </c>
      <c r="E22" s="2" t="s">
        <v>33</v>
      </c>
      <c r="F22" s="7" t="s">
        <v>221</v>
      </c>
      <c r="G22" s="2" t="s">
        <v>222</v>
      </c>
      <c r="H22" s="2" t="s">
        <v>223</v>
      </c>
      <c r="I22" s="2" t="s">
        <v>224</v>
      </c>
      <c r="J22" s="2" t="s">
        <v>1864</v>
      </c>
      <c r="K22" s="125" t="s">
        <v>1865</v>
      </c>
      <c r="L22" s="2">
        <f>1000*100</f>
        <v>100000</v>
      </c>
      <c r="M22" s="2">
        <v>1000</v>
      </c>
      <c r="N22" s="59">
        <f>(Tabla13[[#This Row],['[max.'] to reach 100% mortality (mg/L)]]/1000)*1000/Tabla13[[#This Row],[Stock concentration (g/L)]]</f>
        <v>100</v>
      </c>
      <c r="O22" s="43">
        <f>6*Tabla13[[#This Row],[Minimum stock volume (per partner; ml)]]*Tabla13[[#This Row],[Stock concentration (g/L)]]/1000</f>
        <v>600</v>
      </c>
      <c r="P22" s="39">
        <v>23.97173306633125</v>
      </c>
      <c r="Q22" s="2">
        <v>600</v>
      </c>
      <c r="S22" s="2">
        <v>500</v>
      </c>
      <c r="T22" s="17" t="s">
        <v>1831</v>
      </c>
      <c r="U22" s="17" t="s">
        <v>1831</v>
      </c>
      <c r="V22" s="17" t="s">
        <v>1866</v>
      </c>
      <c r="W22" s="17" t="s">
        <v>1828</v>
      </c>
      <c r="X22" s="2">
        <v>1</v>
      </c>
    </row>
    <row r="23" spans="1:24" s="2" customFormat="1" ht="131.25" customHeight="1">
      <c r="A23" s="10" t="s">
        <v>227</v>
      </c>
      <c r="B23" s="11" t="s">
        <v>228</v>
      </c>
      <c r="C23" s="2" t="s">
        <v>230</v>
      </c>
      <c r="D23" s="2" t="s">
        <v>231</v>
      </c>
      <c r="E23" s="2" t="s">
        <v>33</v>
      </c>
      <c r="F23" s="2" t="s">
        <v>59</v>
      </c>
      <c r="G23" s="2" t="s">
        <v>232</v>
      </c>
      <c r="H23" s="2" t="s">
        <v>233</v>
      </c>
      <c r="I23" s="2" t="s">
        <v>234</v>
      </c>
      <c r="J23" s="2" t="s">
        <v>1867</v>
      </c>
      <c r="K23" s="2" t="s">
        <v>1868</v>
      </c>
      <c r="L23" s="2">
        <f>297*100</f>
        <v>29700</v>
      </c>
      <c r="M23" s="2">
        <v>200</v>
      </c>
      <c r="N23" s="59">
        <f>(Tabla13[[#This Row],['[max.'] to reach 100% mortality (mg/L)]]/1000)*1000/Tabla13[[#This Row],[Stock concentration (g/L)]]</f>
        <v>148.5</v>
      </c>
      <c r="O23" s="30">
        <f>6*Tabla13[[#This Row],[Minimum stock volume (per partner; ml)]]*Tabla13[[#This Row],[Stock concentration (g/L)]]/1000</f>
        <v>178.2</v>
      </c>
      <c r="P23" s="39">
        <v>87.858552619019434</v>
      </c>
      <c r="Q23" s="2">
        <v>178.2</v>
      </c>
      <c r="S23" s="2">
        <v>200</v>
      </c>
      <c r="T23" s="17" t="s">
        <v>1831</v>
      </c>
      <c r="U23" s="17" t="s">
        <v>1831</v>
      </c>
      <c r="V23" s="17" t="s">
        <v>1869</v>
      </c>
      <c r="W23" s="17" t="s">
        <v>1820</v>
      </c>
      <c r="X23" s="2">
        <v>2</v>
      </c>
    </row>
    <row r="24" spans="1:24" s="2" customFormat="1" ht="128.25" customHeight="1">
      <c r="A24" s="10" t="s">
        <v>236</v>
      </c>
      <c r="B24" s="11" t="s">
        <v>237</v>
      </c>
      <c r="C24" s="2" t="s">
        <v>239</v>
      </c>
      <c r="D24" s="2" t="s">
        <v>240</v>
      </c>
      <c r="E24" s="2" t="s">
        <v>33</v>
      </c>
      <c r="F24" s="2" t="s">
        <v>59</v>
      </c>
      <c r="G24" s="2" t="s">
        <v>241</v>
      </c>
      <c r="H24" s="2" t="s">
        <v>243</v>
      </c>
      <c r="I24" s="2" t="s">
        <v>244</v>
      </c>
      <c r="J24" s="2" t="s">
        <v>1870</v>
      </c>
      <c r="K24" s="2" t="s">
        <v>1871</v>
      </c>
      <c r="L24" s="2">
        <f>1000*100</f>
        <v>100000</v>
      </c>
      <c r="M24" s="2">
        <v>500</v>
      </c>
      <c r="N24" s="59">
        <f>(Tabla13[[#This Row],['[max.'] to reach 100% mortality (mg/L)]]/1000)*1000/Tabla13[[#This Row],[Stock concentration (g/L)]]</f>
        <v>200</v>
      </c>
      <c r="O24" s="43">
        <f>6*Tabla13[[#This Row],[Minimum stock volume (per partner; ml)]]*Tabla13[[#This Row],[Stock concentration (g/L)]]/1000</f>
        <v>600</v>
      </c>
      <c r="P24" s="39">
        <v>506.49354819018419</v>
      </c>
      <c r="Q24" s="2">
        <v>600</v>
      </c>
      <c r="R24" s="2" t="s">
        <v>1835</v>
      </c>
      <c r="S24" s="2">
        <v>500</v>
      </c>
      <c r="T24" s="17" t="s">
        <v>1831</v>
      </c>
      <c r="U24" s="17" t="s">
        <v>1831</v>
      </c>
      <c r="V24" s="17" t="s">
        <v>1872</v>
      </c>
      <c r="W24" s="17" t="s">
        <v>1828</v>
      </c>
      <c r="X24" s="2">
        <v>1</v>
      </c>
    </row>
    <row r="25" spans="1:24" s="2" customFormat="1" ht="90" customHeight="1">
      <c r="A25" s="10" t="str">
        <f>Tabla1[[#This Row],[Compound]]</f>
        <v>2-ethylimidazole</v>
      </c>
      <c r="B25" s="56" t="str">
        <f>Tabla1[[#This Row],[Prec.Tox code]]</f>
        <v>PTX074</v>
      </c>
      <c r="C25" s="2" t="str">
        <f>Tabla1[[#This Row],[Formula]]</f>
        <v>C5H8N2</v>
      </c>
      <c r="D25" s="2" t="str">
        <f>Tabla1[[#This Row],[CAS number]]</f>
        <v>1072-62-4</v>
      </c>
      <c r="E25" s="2" t="str">
        <f>Tabla1[[#This Row],[Storage conditions]]</f>
        <v>Room temperature</v>
      </c>
      <c r="F25" s="2" t="str">
        <f>Tabla1[[#This Row],[Solubility (DMSO)]]</f>
        <v>?</v>
      </c>
      <c r="G25" s="2" t="str">
        <f>Tabla1[[#This Row],[Solubility (H2O)]]</f>
        <v>798.3 - 899.7 g/L</v>
      </c>
      <c r="H25" s="2" t="str">
        <f>Tabla1[[#This Row],[EC50 fish]]</f>
        <v>LC50 - Danio rerio (zebra fish) - 250 mg/l - 96 h</v>
      </c>
      <c r="I25" s="2" t="str">
        <f>Tabla1[[#This Row],[EC50 daphnia]]</f>
        <v>EC50 - &gt; 100 mg/L - 48h</v>
      </c>
      <c r="J25" s="2" t="s">
        <v>1873</v>
      </c>
      <c r="K25" s="2" t="s">
        <v>1874</v>
      </c>
      <c r="L25" s="2">
        <f>250*100</f>
        <v>25000</v>
      </c>
      <c r="M25" s="2">
        <v>200</v>
      </c>
      <c r="N25" s="59">
        <f>(Tabla13[[#This Row],['[max.'] to reach 100% mortality (mg/L)]]/1000)*1000/Tabla13[[#This Row],[Stock concentration (g/L)]]</f>
        <v>125</v>
      </c>
      <c r="O25" s="30">
        <f>10*Tabla13[[#This Row],[Minimum stock volume (per partner; ml)]]*Tabla13[[#This Row],[Stock concentration (g/L)]]/1000</f>
        <v>250</v>
      </c>
      <c r="P25" s="39"/>
      <c r="Q25" s="91">
        <f>MAX(Tabla13[[#This Row],[Needed amount of chemical (g); Ruben Leitat calculations]:[Needed amount of chemical (g); Stefan UFZ calculations]])</f>
        <v>250</v>
      </c>
      <c r="S25" s="2">
        <v>500</v>
      </c>
      <c r="T25" s="17" t="s">
        <v>1831</v>
      </c>
      <c r="U25" s="2" t="s">
        <v>1875</v>
      </c>
      <c r="V25" s="2" t="s">
        <v>1876</v>
      </c>
      <c r="W25" s="17" t="s">
        <v>1828</v>
      </c>
      <c r="X25" s="2">
        <v>1</v>
      </c>
    </row>
    <row r="26" spans="1:24" s="2" customFormat="1" ht="63.75" customHeight="1">
      <c r="A26" s="10" t="str">
        <f>Tabla1[[#This Row],[Compound]]</f>
        <v>1-ethyl-1H-imidazole</v>
      </c>
      <c r="B26" s="56" t="str">
        <f>Tabla1[[#This Row],[Prec.Tox code]]</f>
        <v>PTX075</v>
      </c>
      <c r="C26" s="2" t="str">
        <f>Tabla1[[#This Row],[Formula]]</f>
        <v>C5H8N2</v>
      </c>
      <c r="D26" s="2" t="str">
        <f>Tabla1[[#This Row],[CAS number]]</f>
        <v>7098-07-9</v>
      </c>
      <c r="E26" s="2" t="str">
        <f>Tabla1[[#This Row],[Storage conditions]]</f>
        <v>Room temperature
Light sensitive</v>
      </c>
      <c r="F26" s="2" t="str">
        <f>Tabla1[[#This Row],[Solubility (DMSO)]]</f>
        <v>?</v>
      </c>
      <c r="G26" s="2" t="str">
        <f>Tabla1[[#This Row],[Solubility (H2O)]]</f>
        <v>'Miscible'</v>
      </c>
      <c r="H26" s="2" t="str">
        <f>Tabla1[[#This Row],[EC50 fish]]</f>
        <v>LC50 - Leuciscus idus (Golden orfe) - 100 - 220 mg/l - 96 h</v>
      </c>
      <c r="I26" s="2" t="str">
        <f>Tabla1[[#This Row],[EC50 daphnia]]</f>
        <v>EC50 - 70,7 mg/l - 48 h</v>
      </c>
      <c r="J26" s="2" t="s">
        <v>1877</v>
      </c>
      <c r="K26" s="124" t="s">
        <v>1878</v>
      </c>
      <c r="L26" s="2">
        <f>220*100</f>
        <v>22000</v>
      </c>
      <c r="M26" s="2">
        <v>200</v>
      </c>
      <c r="N26" s="59">
        <f>(Tabla13[[#This Row],['[max.'] to reach 100% mortality (mg/L)]]/1000)*1000/Tabla13[[#This Row],[Stock concentration (g/L)]]</f>
        <v>110</v>
      </c>
      <c r="O26" s="30">
        <f>10*Tabla13[[#This Row],[Minimum stock volume (per partner; ml)]]*Tabla13[[#This Row],[Stock concentration (g/L)]]/1000</f>
        <v>220</v>
      </c>
      <c r="P26" s="39"/>
      <c r="Q26" s="91">
        <f>MAX(Tabla13[[#This Row],[Needed amount of chemical (g); Ruben Leitat calculations]:[Needed amount of chemical (g); Stefan UFZ calculations]])</f>
        <v>220</v>
      </c>
      <c r="S26" s="2">
        <v>500</v>
      </c>
      <c r="T26" s="2" t="s">
        <v>1879</v>
      </c>
      <c r="U26" s="2" t="s">
        <v>1875</v>
      </c>
      <c r="V26" s="2" t="s">
        <v>1880</v>
      </c>
      <c r="W26" s="17" t="s">
        <v>1828</v>
      </c>
      <c r="X26" s="2">
        <v>1</v>
      </c>
    </row>
    <row r="27" spans="1:24" s="2" customFormat="1" ht="63.75" customHeight="1">
      <c r="A27" s="10" t="str">
        <f>Tabla1[[#This Row],[Compound]]</f>
        <v>1H-Imidazole, hydrobromide (1:1)</v>
      </c>
      <c r="B27" s="56">
        <f>Tabla1[[#This Row],[Prec.Tox code]]</f>
        <v>0</v>
      </c>
      <c r="C27" s="2">
        <f>Tabla1[[#This Row],[Formula]]</f>
        <v>0</v>
      </c>
      <c r="D27" s="2" t="str">
        <f>Tabla1[[#This Row],[CAS number]]</f>
        <v>101023-55-6</v>
      </c>
      <c r="E27" s="2">
        <f>Tabla1[[#This Row],[Storage conditions]]</f>
        <v>0</v>
      </c>
      <c r="F27" s="2">
        <f>Tabla1[[#This Row],[Solubility (DMSO)]]</f>
        <v>0</v>
      </c>
      <c r="G27" s="2">
        <f>Tabla1[[#This Row],[Solubility (H2O)]]</f>
        <v>0</v>
      </c>
      <c r="H27" s="2" t="str">
        <f>Tabla1[[#This Row],[EC50 fish]]</f>
        <v>?</v>
      </c>
      <c r="I27" s="2" t="str">
        <f>Tabla1[[#This Row],[EC50 daphnia]]</f>
        <v>EC50 - 1,4 mg/l - 48 h (extrapolated from 1H-Imidazole, monohydroiodide; given their analogy)</v>
      </c>
      <c r="J27" s="2" t="s">
        <v>1881</v>
      </c>
      <c r="K27" s="125" t="s">
        <v>1882</v>
      </c>
      <c r="L27" s="2">
        <f>1.4*100</f>
        <v>140</v>
      </c>
      <c r="M27" s="2">
        <v>200</v>
      </c>
      <c r="N27" s="59">
        <f>(Tabla13[[#This Row],['[max.'] to reach 100% mortality (mg/L)]]/1000)*1000/Tabla13[[#This Row],[Stock concentration (g/L)]]</f>
        <v>0.7</v>
      </c>
      <c r="O27" s="30">
        <f>10*Tabla13[[#This Row],[Minimum stock volume (per partner; ml)]]*Tabla13[[#This Row],[Stock concentration (g/L)]]/1000</f>
        <v>1.4</v>
      </c>
      <c r="P27" s="39"/>
      <c r="Q27" s="91"/>
    </row>
    <row r="28" spans="1:24" s="2" customFormat="1" ht="93.75" customHeight="1">
      <c r="A28" s="10" t="str">
        <f>Tabla1[[#This Row],[Compound]]</f>
        <v>1-Vinylimidazole</v>
      </c>
      <c r="B28" s="56" t="str">
        <f>Tabla1[[#This Row],[Prec.Tox code]]</f>
        <v>PTX076</v>
      </c>
      <c r="C28" s="2" t="str">
        <f>Tabla1[[#This Row],[Formula]]</f>
        <v>C5H6N2</v>
      </c>
      <c r="D28" s="2" t="str">
        <f>Tabla1[[#This Row],[CAS number]]</f>
        <v>1072-63-5</v>
      </c>
      <c r="E28" s="2" t="str">
        <f>Tabla1[[#This Row],[Storage conditions]]</f>
        <v>Room temperature
Hygroscopic; Light sensitive.</v>
      </c>
      <c r="F28" s="2" t="str">
        <f>Tabla1[[#This Row],[Solubility (DMSO)]]</f>
        <v>?</v>
      </c>
      <c r="G28" s="2" t="str">
        <f>Tabla1[[#This Row],[Solubility (H2O)]]</f>
        <v>Completely miscible'</v>
      </c>
      <c r="H28" s="2" t="str">
        <f>Tabla1[[#This Row],[EC50 fish]]</f>
        <v>static test LC50 - Leuciscus idus (Golden orfe) - &gt; 100 mg/l - 96 h
(460 mg/L - 1000 mg/L)</v>
      </c>
      <c r="I28" s="2" t="str">
        <f>Tabla1[[#This Row],[EC50 daphnia]]</f>
        <v>EC50 - &gt; 100 mg/l - 48 h
(190 mg/L)</v>
      </c>
      <c r="J28" s="2" t="s">
        <v>1883</v>
      </c>
      <c r="K28" s="2" t="s">
        <v>1884</v>
      </c>
      <c r="L28" s="2">
        <f>500*100</f>
        <v>50000</v>
      </c>
      <c r="M28" s="2">
        <v>200</v>
      </c>
      <c r="N28" s="59">
        <f>(Tabla13[[#This Row],['[max.'] to reach 100% mortality (mg/L)]]/1000)*1000/Tabla13[[#This Row],[Stock concentration (g/L)]]</f>
        <v>250</v>
      </c>
      <c r="O28" s="30">
        <f>10*Tabla13[[#This Row],[Minimum stock volume (per partner; ml)]]*Tabla13[[#This Row],[Stock concentration (g/L)]]/1000</f>
        <v>500</v>
      </c>
      <c r="P28" s="39"/>
      <c r="Q28" s="91">
        <f>MAX(Tabla13[[#This Row],[Needed amount of chemical (g); Ruben Leitat calculations]:[Needed amount of chemical (g); Stefan UFZ calculations]])</f>
        <v>500</v>
      </c>
      <c r="S28" s="2">
        <v>500</v>
      </c>
      <c r="T28" s="17" t="s">
        <v>1831</v>
      </c>
      <c r="U28" s="17" t="s">
        <v>1831</v>
      </c>
      <c r="V28" s="2" t="s">
        <v>1885</v>
      </c>
      <c r="W28" s="17" t="s">
        <v>1841</v>
      </c>
      <c r="X28" s="2">
        <v>1</v>
      </c>
    </row>
    <row r="29" spans="1:24" s="2" customFormat="1" ht="60" customHeight="1">
      <c r="A29" s="65" t="s">
        <v>286</v>
      </c>
      <c r="B29" s="11"/>
    </row>
    <row r="30" spans="1:24" s="2" customFormat="1" ht="48">
      <c r="A30" s="10" t="s">
        <v>287</v>
      </c>
      <c r="B30" s="11" t="s">
        <v>288</v>
      </c>
      <c r="C30" s="14" t="s">
        <v>289</v>
      </c>
      <c r="D30" s="4" t="s">
        <v>290</v>
      </c>
      <c r="E30" s="22" t="s">
        <v>295</v>
      </c>
      <c r="F30" s="2" t="s">
        <v>291</v>
      </c>
      <c r="G30" s="2" t="s">
        <v>292</v>
      </c>
      <c r="H30" s="2" t="s">
        <v>293</v>
      </c>
      <c r="I30" s="2" t="s">
        <v>294</v>
      </c>
      <c r="J30" s="51" t="s">
        <v>1886</v>
      </c>
      <c r="K30" s="124" t="s">
        <v>1887</v>
      </c>
      <c r="L30" s="14">
        <f>10*100</f>
        <v>1000</v>
      </c>
      <c r="M30" s="14">
        <v>100</v>
      </c>
      <c r="N30" s="14">
        <f>(Tabla13[[#This Row],['[max.'] to reach 100% mortality (mg/L)]]/1000)*1000/Tabla13[[#This Row],[Stock concentration (g/L)]]</f>
        <v>10</v>
      </c>
      <c r="O30" s="42">
        <f>6*Tabla13[[#This Row],[Minimum stock volume (per partner; ml)]]*Tabla13[[#This Row],[Stock concentration (g/L)]]/1000</f>
        <v>6</v>
      </c>
      <c r="P30" s="47">
        <v>0.11814886670226123</v>
      </c>
      <c r="Q30" s="2">
        <v>6</v>
      </c>
      <c r="S30" s="2">
        <v>25</v>
      </c>
      <c r="T30" s="33" t="s">
        <v>1825</v>
      </c>
      <c r="U30" s="33" t="s">
        <v>1875</v>
      </c>
      <c r="V30" s="33" t="s">
        <v>1888</v>
      </c>
      <c r="W30" s="33" t="s">
        <v>1889</v>
      </c>
      <c r="X30" s="34">
        <v>1</v>
      </c>
    </row>
    <row r="31" spans="1:24" s="2" customFormat="1" ht="60">
      <c r="A31" s="10" t="s">
        <v>299</v>
      </c>
      <c r="B31" s="11" t="s">
        <v>300</v>
      </c>
      <c r="C31" s="2" t="s">
        <v>301</v>
      </c>
      <c r="D31" s="4" t="s">
        <v>302</v>
      </c>
      <c r="E31" s="2" t="s">
        <v>33</v>
      </c>
      <c r="F31" s="2" t="s">
        <v>303</v>
      </c>
      <c r="G31" s="2" t="s">
        <v>304</v>
      </c>
      <c r="H31" s="2" t="s">
        <v>305</v>
      </c>
      <c r="I31" s="2" t="s">
        <v>306</v>
      </c>
      <c r="J31" s="51" t="s">
        <v>1890</v>
      </c>
      <c r="K31" s="2" t="s">
        <v>34</v>
      </c>
      <c r="L31" s="14">
        <f>182*100</f>
        <v>18200</v>
      </c>
      <c r="M31" s="14">
        <v>9.5</v>
      </c>
      <c r="N31" s="14">
        <f>(Tabla13[[#This Row],['[max.'] to reach 100% mortality (mg/L)]]/1000)*1000/Tabla13[[#This Row],[Stock concentration (g/L)]]</f>
        <v>1915.7894736842106</v>
      </c>
      <c r="O31" s="42">
        <f>6*Tabla13[[#This Row],[Minimum stock volume (per partner; ml)]]*Tabla13[[#This Row],[Stock concentration (g/L)]]/1000</f>
        <v>109.2</v>
      </c>
      <c r="P31" s="47">
        <v>85.114329206147062</v>
      </c>
      <c r="Q31" s="2">
        <v>109.2</v>
      </c>
      <c r="S31" s="2">
        <v>250</v>
      </c>
      <c r="T31" s="33" t="s">
        <v>1825</v>
      </c>
      <c r="U31" s="33" t="s">
        <v>1875</v>
      </c>
      <c r="V31" s="33" t="s">
        <v>1891</v>
      </c>
      <c r="W31" s="33" t="s">
        <v>1892</v>
      </c>
      <c r="X31" s="34">
        <v>1</v>
      </c>
    </row>
    <row r="32" spans="1:24" s="2" customFormat="1" ht="99" customHeight="1">
      <c r="A32" s="10" t="s">
        <v>308</v>
      </c>
      <c r="B32" s="11" t="s">
        <v>309</v>
      </c>
      <c r="C32" s="2" t="s">
        <v>310</v>
      </c>
      <c r="D32" s="4" t="s">
        <v>311</v>
      </c>
      <c r="E32" s="22" t="s">
        <v>317</v>
      </c>
      <c r="F32" s="7" t="s">
        <v>312</v>
      </c>
      <c r="G32" s="2" t="s">
        <v>313</v>
      </c>
      <c r="H32" s="2" t="s">
        <v>315</v>
      </c>
      <c r="I32" s="2" t="s">
        <v>316</v>
      </c>
      <c r="J32" s="2" t="s">
        <v>1893</v>
      </c>
      <c r="K32" s="124" t="s">
        <v>1894</v>
      </c>
      <c r="L32" s="2">
        <v>9120</v>
      </c>
      <c r="M32" s="2">
        <v>1000</v>
      </c>
      <c r="N32" s="2">
        <f>(Tabla13[[#This Row],['[max.'] to reach 100% mortality (mg/L)]]/1000)*1000/Tabla13[[#This Row],[Stock concentration (g/L)]]</f>
        <v>9.1199999999999992</v>
      </c>
      <c r="O32" s="30">
        <f>6*Tabla13[[#This Row],[Minimum stock volume (per partner; ml)]]*Tabla13[[#This Row],[Stock concentration (g/L)]]/1000</f>
        <v>54.72</v>
      </c>
      <c r="P32" s="39">
        <f>13490.26863/1000</f>
        <v>13.490268630000001</v>
      </c>
      <c r="Q32" s="2">
        <v>54.72</v>
      </c>
      <c r="S32" s="2">
        <v>100</v>
      </c>
      <c r="T32" s="33" t="s">
        <v>1825</v>
      </c>
      <c r="U32" s="33" t="s">
        <v>1875</v>
      </c>
      <c r="V32" s="34" t="s">
        <v>1895</v>
      </c>
      <c r="W32" s="34" t="s">
        <v>1820</v>
      </c>
      <c r="X32" s="34">
        <v>1</v>
      </c>
    </row>
    <row r="33" spans="1:24" s="2" customFormat="1" ht="87.75" customHeight="1">
      <c r="A33" s="10" t="s">
        <v>321</v>
      </c>
      <c r="B33" s="11" t="s">
        <v>322</v>
      </c>
      <c r="C33" s="2" t="s">
        <v>323</v>
      </c>
      <c r="D33" s="4" t="s">
        <v>324</v>
      </c>
      <c r="E33" s="22" t="s">
        <v>327</v>
      </c>
      <c r="F33" s="2" t="s">
        <v>92</v>
      </c>
      <c r="G33" s="5" t="s">
        <v>325</v>
      </c>
      <c r="H33" s="2" t="s">
        <v>59</v>
      </c>
      <c r="I33" s="2" t="s">
        <v>326</v>
      </c>
      <c r="J33" s="2" t="s">
        <v>1896</v>
      </c>
      <c r="K33" s="124" t="s">
        <v>1897</v>
      </c>
      <c r="L33" s="14">
        <v>330</v>
      </c>
      <c r="M33" s="2">
        <v>80</v>
      </c>
      <c r="N33" s="2">
        <f>(Tabla13[[#This Row],['[max.'] to reach 100% mortality (mg/L)]]/1000)*1000/Tabla13[[#This Row],[Stock concentration (g/L)]]</f>
        <v>4.125</v>
      </c>
      <c r="O33" s="43">
        <f>6*Tabla13[[#This Row],[Minimum stock volume (per partner; ml)]]*Tabla13[[#This Row],[Stock concentration (g/L)]]/1000</f>
        <v>1.98</v>
      </c>
      <c r="P33" s="44">
        <v>2.6617629692708173</v>
      </c>
      <c r="Q33" s="2">
        <v>2.6617629692708173</v>
      </c>
      <c r="R33" s="2" t="s">
        <v>1898</v>
      </c>
      <c r="S33" s="2">
        <v>5</v>
      </c>
      <c r="T33" s="33" t="s">
        <v>1899</v>
      </c>
      <c r="U33" s="33" t="s">
        <v>1875</v>
      </c>
      <c r="V33" s="34" t="s">
        <v>1900</v>
      </c>
      <c r="W33" s="34" t="s">
        <v>1804</v>
      </c>
      <c r="X33" s="34">
        <v>1</v>
      </c>
    </row>
    <row r="34" spans="1:24" s="2" customFormat="1" ht="71.25" customHeight="1">
      <c r="A34" s="10" t="s">
        <v>329</v>
      </c>
      <c r="B34" s="11" t="s">
        <v>330</v>
      </c>
      <c r="C34" s="2" t="s">
        <v>331</v>
      </c>
      <c r="D34" s="4" t="s">
        <v>332</v>
      </c>
      <c r="E34" s="22" t="s">
        <v>295</v>
      </c>
      <c r="F34" s="2" t="s">
        <v>333</v>
      </c>
      <c r="G34" s="2" t="s">
        <v>334</v>
      </c>
      <c r="H34" s="2" t="s">
        <v>335</v>
      </c>
      <c r="I34" s="2" t="s">
        <v>336</v>
      </c>
      <c r="J34" s="51" t="s">
        <v>1901</v>
      </c>
      <c r="K34" s="124" t="s">
        <v>1902</v>
      </c>
      <c r="L34" s="14">
        <f>51*100</f>
        <v>5100</v>
      </c>
      <c r="M34" s="14">
        <v>500</v>
      </c>
      <c r="N34" s="14">
        <f>(Tabla13[[#This Row],['[max.'] to reach 100% mortality (mg/L)]]/1000)*1000/Tabla13[[#This Row],[Stock concentration (g/L)]]</f>
        <v>10.199999999999999</v>
      </c>
      <c r="O34" s="42">
        <f>6*Tabla13[[#This Row],[Minimum stock volume (per partner; ml)]]*Tabla13[[#This Row],[Stock concentration (g/L)]]/1000</f>
        <v>30.599999999999998</v>
      </c>
      <c r="P34" s="47">
        <v>0.51545568730023605</v>
      </c>
      <c r="Q34" s="2">
        <v>30.599999999999998</v>
      </c>
      <c r="S34" s="2">
        <v>50</v>
      </c>
      <c r="T34" s="33" t="s">
        <v>1899</v>
      </c>
      <c r="U34" s="33" t="s">
        <v>1875</v>
      </c>
      <c r="V34" s="33" t="s">
        <v>1903</v>
      </c>
      <c r="W34" s="33" t="s">
        <v>1904</v>
      </c>
      <c r="X34" s="34">
        <v>1</v>
      </c>
    </row>
    <row r="35" spans="1:24" s="2" customFormat="1" ht="70.5" customHeight="1">
      <c r="A35" s="10" t="s">
        <v>338</v>
      </c>
      <c r="B35" s="11" t="s">
        <v>339</v>
      </c>
      <c r="C35" s="2" t="s">
        <v>341</v>
      </c>
      <c r="D35" s="4" t="s">
        <v>342</v>
      </c>
      <c r="E35" s="22" t="s">
        <v>348</v>
      </c>
      <c r="F35" s="2" t="s">
        <v>343</v>
      </c>
      <c r="G35" s="2" t="s">
        <v>344</v>
      </c>
      <c r="H35" s="2" t="s">
        <v>346</v>
      </c>
      <c r="I35" s="2" t="s">
        <v>347</v>
      </c>
      <c r="J35" s="51" t="s">
        <v>1905</v>
      </c>
      <c r="K35" s="124" t="s">
        <v>1906</v>
      </c>
      <c r="L35" s="14">
        <f>0.19*100</f>
        <v>19</v>
      </c>
      <c r="M35" s="14">
        <v>1</v>
      </c>
      <c r="N35" s="14">
        <f>(Tabla13[[#This Row],['[max.'] to reach 100% mortality (mg/L)]]/1000)*1000/Tabla13[[#This Row],[Stock concentration (g/L)]]</f>
        <v>19</v>
      </c>
      <c r="O35" s="42">
        <f>6*Tabla13[[#This Row],[Minimum stock volume (per partner; ml)]]*Tabla13[[#This Row],[Stock concentration (g/L)]]/1000</f>
        <v>0.114</v>
      </c>
      <c r="P35" s="47">
        <v>0.32930381598931857</v>
      </c>
      <c r="Q35" s="2">
        <v>0.32930381598931857</v>
      </c>
      <c r="S35" s="2">
        <v>0.5</v>
      </c>
      <c r="T35" s="33" t="s">
        <v>1907</v>
      </c>
      <c r="U35" s="33" t="s">
        <v>1875</v>
      </c>
      <c r="V35" s="33" t="s">
        <v>1908</v>
      </c>
      <c r="W35" s="33" t="s">
        <v>1909</v>
      </c>
      <c r="X35" s="34">
        <v>2</v>
      </c>
    </row>
    <row r="36" spans="1:24" s="2" customFormat="1" ht="84">
      <c r="A36" s="10" t="s">
        <v>352</v>
      </c>
      <c r="B36" s="11" t="s">
        <v>353</v>
      </c>
      <c r="C36" s="2" t="s">
        <v>341</v>
      </c>
      <c r="D36" s="4" t="s">
        <v>355</v>
      </c>
      <c r="E36" s="21" t="s">
        <v>360</v>
      </c>
      <c r="F36" s="2" t="s">
        <v>59</v>
      </c>
      <c r="G36" s="2" t="s">
        <v>356</v>
      </c>
      <c r="H36" s="2" t="s">
        <v>358</v>
      </c>
      <c r="I36" s="2" t="s">
        <v>359</v>
      </c>
      <c r="J36" s="2" t="s">
        <v>1910</v>
      </c>
      <c r="K36" s="124" t="s">
        <v>1911</v>
      </c>
      <c r="L36" s="14">
        <f>0.502*100</f>
        <v>50.2</v>
      </c>
      <c r="M36" s="14">
        <v>50</v>
      </c>
      <c r="N36" s="14">
        <f>(Tabla13[[#This Row],['[max.'] to reach 100% mortality (mg/L)]]/1000)*1000/Tabla13[[#This Row],[Stock concentration (g/L)]]</f>
        <v>1.004</v>
      </c>
      <c r="O36" s="43">
        <f>6*Tabla13[[#This Row],[Minimum stock volume (per partner; ml)]]*Tabla13[[#This Row],[Stock concentration (g/L)]]/1000</f>
        <v>0.30119999999999997</v>
      </c>
      <c r="P36" s="44">
        <v>1.4631740401377347</v>
      </c>
      <c r="Q36" s="2">
        <v>1.4631740401377347</v>
      </c>
      <c r="R36" s="2" t="s">
        <v>1835</v>
      </c>
      <c r="S36" s="2">
        <v>0.1</v>
      </c>
      <c r="T36" s="33" t="s">
        <v>1907</v>
      </c>
      <c r="U36" s="33" t="s">
        <v>1875</v>
      </c>
      <c r="V36" s="34" t="s">
        <v>1912</v>
      </c>
      <c r="W36" s="34" t="s">
        <v>1811</v>
      </c>
      <c r="X36" s="34">
        <v>2</v>
      </c>
    </row>
    <row r="37" spans="1:24" s="2" customFormat="1" ht="50.45" customHeight="1">
      <c r="A37" s="10" t="s">
        <v>363</v>
      </c>
      <c r="B37" s="11" t="s">
        <v>364</v>
      </c>
      <c r="C37" s="2" t="s">
        <v>365</v>
      </c>
      <c r="D37" s="4" t="s">
        <v>366</v>
      </c>
      <c r="E37" s="22" t="s">
        <v>295</v>
      </c>
      <c r="F37" s="2" t="s">
        <v>367</v>
      </c>
      <c r="G37" s="2" t="s">
        <v>368</v>
      </c>
      <c r="H37" s="2" t="s">
        <v>369</v>
      </c>
      <c r="I37" s="2" t="s">
        <v>59</v>
      </c>
      <c r="J37" s="51" t="s">
        <v>1913</v>
      </c>
      <c r="K37" s="124" t="s">
        <v>1914</v>
      </c>
      <c r="L37" s="14">
        <f>5.5*100</f>
        <v>550</v>
      </c>
      <c r="M37" s="14">
        <v>150</v>
      </c>
      <c r="N37" s="14">
        <f>(Tabla13[[#This Row],['[max.'] to reach 100% mortality (mg/L)]]/1000)*1000/Tabla13[[#This Row],[Stock concentration (g/L)]]</f>
        <v>3.6666666666666665</v>
      </c>
      <c r="O37" s="43">
        <f>6*Tabla13[[#This Row],[Minimum stock volume (per partner; ml)]]*Tabla13[[#This Row],[Stock concentration (g/L)]]/1000</f>
        <v>3.3</v>
      </c>
      <c r="P37" s="44">
        <v>0.29128709452036339</v>
      </c>
      <c r="Q37" s="2">
        <v>3.3</v>
      </c>
      <c r="R37" s="2" t="s">
        <v>1835</v>
      </c>
      <c r="S37" s="2">
        <v>5</v>
      </c>
      <c r="T37" s="33" t="s">
        <v>1915</v>
      </c>
      <c r="U37" s="33" t="s">
        <v>1875</v>
      </c>
      <c r="V37" s="33" t="s">
        <v>1916</v>
      </c>
      <c r="W37" s="33" t="s">
        <v>1804</v>
      </c>
      <c r="X37" s="34">
        <v>1</v>
      </c>
    </row>
    <row r="38" spans="1:24" s="2" customFormat="1" ht="83.25" customHeight="1">
      <c r="A38" s="10" t="s">
        <v>371</v>
      </c>
      <c r="B38" s="11" t="s">
        <v>372</v>
      </c>
      <c r="C38" s="2" t="s">
        <v>373</v>
      </c>
      <c r="D38" s="4" t="s">
        <v>374</v>
      </c>
      <c r="E38" s="2" t="s">
        <v>378</v>
      </c>
      <c r="F38" s="2" t="s">
        <v>375</v>
      </c>
      <c r="G38" s="2" t="s">
        <v>376</v>
      </c>
      <c r="H38" s="2" t="s">
        <v>59</v>
      </c>
      <c r="I38" s="2" t="s">
        <v>59</v>
      </c>
      <c r="J38" s="2" t="s">
        <v>1917</v>
      </c>
      <c r="K38" s="2" t="s">
        <v>1918</v>
      </c>
      <c r="L38" s="14"/>
      <c r="M38" s="14"/>
      <c r="N38" s="14" t="e">
        <f>(Tabla13[[#This Row],['[max.'] to reach 100% mortality (mg/L)]]/1000)*1000/Tabla13[[#This Row],[Stock concentration (g/L)]]</f>
        <v>#DIV/0!</v>
      </c>
      <c r="O38" s="40" t="s">
        <v>1919</v>
      </c>
      <c r="P38" s="41">
        <v>0.22478787037323625</v>
      </c>
      <c r="Q38" s="2">
        <v>0.22478787037323625</v>
      </c>
      <c r="R38" s="2" t="s">
        <v>1898</v>
      </c>
      <c r="S38" s="2">
        <v>25</v>
      </c>
      <c r="T38" s="33" t="s">
        <v>1915</v>
      </c>
      <c r="U38" s="33" t="s">
        <v>1875</v>
      </c>
      <c r="V38" s="34" t="s">
        <v>1920</v>
      </c>
      <c r="W38" s="34" t="s">
        <v>1889</v>
      </c>
      <c r="X38" s="34">
        <v>1</v>
      </c>
    </row>
    <row r="39" spans="1:24" s="2" customFormat="1" ht="75">
      <c r="A39" s="10" t="s">
        <v>380</v>
      </c>
      <c r="B39" s="11" t="s">
        <v>381</v>
      </c>
      <c r="C39" s="14" t="s">
        <v>382</v>
      </c>
      <c r="D39" s="4" t="s">
        <v>383</v>
      </c>
      <c r="E39" s="2" t="s">
        <v>387</v>
      </c>
      <c r="F39" s="2" t="s">
        <v>384</v>
      </c>
      <c r="G39" s="2" t="s">
        <v>385</v>
      </c>
      <c r="H39" s="2" t="s">
        <v>59</v>
      </c>
      <c r="I39" s="2" t="s">
        <v>386</v>
      </c>
      <c r="J39" s="2" t="s">
        <v>1921</v>
      </c>
      <c r="K39" s="2" t="s">
        <v>1922</v>
      </c>
      <c r="L39" s="14">
        <f>1*100</f>
        <v>100</v>
      </c>
      <c r="M39" s="2">
        <v>20</v>
      </c>
      <c r="N39" s="2">
        <f>(Tabla13[[#This Row],['[max.'] to reach 100% mortality (mg/L)]]/1000)*1000/Tabla13[[#This Row],[Stock concentration (g/L)]]</f>
        <v>5</v>
      </c>
      <c r="O39" s="45">
        <f>6*Tabla13[[#This Row],[Minimum stock volume (per partner; ml)]]*Tabla13[[#This Row],[Stock concentration (g/L)]]/1000</f>
        <v>0.6</v>
      </c>
      <c r="P39" s="46">
        <v>0.14600141989548687</v>
      </c>
      <c r="Q39" s="2">
        <v>0.6</v>
      </c>
      <c r="R39" s="2" t="s">
        <v>1835</v>
      </c>
      <c r="S39" s="2">
        <v>5</v>
      </c>
      <c r="T39" s="33" t="s">
        <v>1836</v>
      </c>
      <c r="U39" s="33" t="s">
        <v>1875</v>
      </c>
      <c r="V39" s="34" t="s">
        <v>1923</v>
      </c>
      <c r="W39" s="34" t="s">
        <v>1804</v>
      </c>
      <c r="X39" s="34">
        <v>1</v>
      </c>
    </row>
    <row r="40" spans="1:24" s="2" customFormat="1" ht="129.6" customHeight="1">
      <c r="A40" s="10" t="s">
        <v>389</v>
      </c>
      <c r="B40" s="11" t="s">
        <v>390</v>
      </c>
      <c r="C40" s="14" t="s">
        <v>391</v>
      </c>
      <c r="D40" s="4" t="s">
        <v>392</v>
      </c>
      <c r="E40" s="22" t="s">
        <v>397</v>
      </c>
      <c r="F40" s="2" t="s">
        <v>393</v>
      </c>
      <c r="G40" s="2" t="s">
        <v>394</v>
      </c>
      <c r="H40" s="2" t="s">
        <v>395</v>
      </c>
      <c r="I40" s="2" t="s">
        <v>396</v>
      </c>
      <c r="J40" s="19" t="s">
        <v>1924</v>
      </c>
      <c r="K40" s="2" t="s">
        <v>34</v>
      </c>
      <c r="L40" s="2">
        <f>8455*20</f>
        <v>169100</v>
      </c>
      <c r="M40" s="2">
        <v>500</v>
      </c>
      <c r="N40" s="2">
        <f>(Tabla13[[#This Row],['[max.'] to reach 100% mortality (mg/L)]]/1000)*1000/Tabla13[[#This Row],[Stock concentration (g/L)]]</f>
        <v>338.2</v>
      </c>
      <c r="O40" s="37">
        <f>6*Tabla13[[#This Row],[Minimum stock volume (per partner; ml)]]*Tabla13[[#This Row],[Stock concentration (g/L)]]/1000</f>
        <v>1014.5999999999999</v>
      </c>
      <c r="P40" s="38">
        <v>4.6470954907592166</v>
      </c>
      <c r="Q40" s="2">
        <v>1014.5999999999999</v>
      </c>
      <c r="R40" s="2" t="s">
        <v>1925</v>
      </c>
      <c r="S40" s="2">
        <v>5</v>
      </c>
      <c r="T40" s="33" t="s">
        <v>1836</v>
      </c>
      <c r="U40" s="33" t="s">
        <v>1875</v>
      </c>
      <c r="V40" s="35" t="s">
        <v>1926</v>
      </c>
      <c r="W40" s="35" t="s">
        <v>1804</v>
      </c>
      <c r="X40" s="34">
        <v>1</v>
      </c>
    </row>
    <row r="41" spans="1:24" s="2" customFormat="1" ht="102" customHeight="1">
      <c r="A41" s="10" t="s">
        <v>401</v>
      </c>
      <c r="B41" s="11" t="s">
        <v>402</v>
      </c>
      <c r="C41" s="2" t="s">
        <v>403</v>
      </c>
      <c r="D41" s="4" t="s">
        <v>404</v>
      </c>
      <c r="E41" s="2" t="s">
        <v>33</v>
      </c>
      <c r="F41" s="7" t="s">
        <v>405</v>
      </c>
      <c r="G41" s="2" t="s">
        <v>406</v>
      </c>
      <c r="H41" s="2" t="s">
        <v>407</v>
      </c>
      <c r="I41" s="2" t="s">
        <v>408</v>
      </c>
      <c r="J41" s="2" t="s">
        <v>1927</v>
      </c>
      <c r="K41" s="2" t="s">
        <v>1928</v>
      </c>
      <c r="L41" s="14">
        <f>7500*100</f>
        <v>750000</v>
      </c>
      <c r="M41" s="14">
        <v>500</v>
      </c>
      <c r="N41" s="14">
        <f>(Tabla13[[#This Row],['[max.'] to reach 100% mortality (mg/L)]]/1000)*1000/Tabla13[[#This Row],[Stock concentration (g/L)]]</f>
        <v>1500</v>
      </c>
      <c r="O41" s="42">
        <f>6*Tabla13[[#This Row],[Minimum stock volume (per partner; ml)]]*Tabla13[[#This Row],[Stock concentration (g/L)]]/1000</f>
        <v>4500</v>
      </c>
      <c r="P41" s="47">
        <v>294.68533981614559</v>
      </c>
      <c r="Q41" s="2">
        <v>4500</v>
      </c>
      <c r="R41" s="9" t="s">
        <v>1929</v>
      </c>
      <c r="S41" s="2">
        <v>1000</v>
      </c>
      <c r="T41" s="33" t="s">
        <v>1836</v>
      </c>
      <c r="U41" s="33" t="s">
        <v>1875</v>
      </c>
      <c r="V41" s="34" t="s">
        <v>1930</v>
      </c>
      <c r="W41" s="34" t="s">
        <v>1931</v>
      </c>
      <c r="X41" s="34">
        <v>1</v>
      </c>
    </row>
    <row r="42" spans="1:24" s="2" customFormat="1" ht="52.15" customHeight="1">
      <c r="A42" s="10" t="s">
        <v>411</v>
      </c>
      <c r="B42" s="11" t="s">
        <v>412</v>
      </c>
      <c r="C42" s="2" t="s">
        <v>413</v>
      </c>
      <c r="D42" s="4" t="s">
        <v>414</v>
      </c>
      <c r="E42" s="2" t="s">
        <v>33</v>
      </c>
      <c r="F42" s="2" t="s">
        <v>415</v>
      </c>
      <c r="G42" s="2" t="s">
        <v>44</v>
      </c>
      <c r="H42" s="2" t="s">
        <v>417</v>
      </c>
      <c r="I42" s="2" t="s">
        <v>418</v>
      </c>
      <c r="J42" s="2" t="s">
        <v>1932</v>
      </c>
      <c r="K42" s="125" t="s">
        <v>1933</v>
      </c>
      <c r="L42" s="2">
        <v>379</v>
      </c>
      <c r="M42" s="2">
        <v>80</v>
      </c>
      <c r="N42" s="2">
        <f>(Tabla13[[#This Row],['[max.'] to reach 100% mortality (mg/L)]]/1000)*1000/Tabla13[[#This Row],[Stock concentration (g/L)]]</f>
        <v>4.7374999999999998</v>
      </c>
      <c r="O42" s="30">
        <f>6*Tabla13[[#This Row],[Minimum stock volume (per partner; ml)]]*Tabla13[[#This Row],[Stock concentration (g/L)]]/1000</f>
        <v>2.274</v>
      </c>
      <c r="P42" s="39">
        <f>978.3440698/1000</f>
        <v>0.9783440698000001</v>
      </c>
      <c r="Q42" s="2">
        <v>2.274</v>
      </c>
      <c r="S42" s="2">
        <v>25</v>
      </c>
      <c r="T42" s="33" t="s">
        <v>1836</v>
      </c>
      <c r="U42" s="33" t="s">
        <v>1875</v>
      </c>
      <c r="V42" s="34" t="s">
        <v>1934</v>
      </c>
      <c r="W42" s="34" t="s">
        <v>1889</v>
      </c>
      <c r="X42" s="34">
        <v>1</v>
      </c>
    </row>
    <row r="43" spans="1:24" s="2" customFormat="1" ht="75">
      <c r="A43" s="2" t="s">
        <v>1935</v>
      </c>
      <c r="B43" s="11" t="s">
        <v>421</v>
      </c>
      <c r="C43" s="4" t="s">
        <v>422</v>
      </c>
      <c r="D43" s="2" t="s">
        <v>423</v>
      </c>
      <c r="E43" s="2" t="s">
        <v>33</v>
      </c>
      <c r="F43" s="2" t="s">
        <v>424</v>
      </c>
      <c r="G43" s="5" t="s">
        <v>425</v>
      </c>
      <c r="H43" s="2" t="s">
        <v>426</v>
      </c>
      <c r="I43" s="2" t="s">
        <v>427</v>
      </c>
      <c r="J43" s="2" t="s">
        <v>1936</v>
      </c>
      <c r="K43" s="2" t="s">
        <v>34</v>
      </c>
      <c r="L43" s="2">
        <f>200*100</f>
        <v>20000</v>
      </c>
      <c r="M43" s="2">
        <v>100</v>
      </c>
      <c r="N43" s="2">
        <f>(Tabla13[[#This Row],['[max.'] to reach 100% mortality (mg/L)]]/1000)*1000/Tabla13[[#This Row],[Stock concentration (g/L)]]</f>
        <v>200</v>
      </c>
      <c r="O43" s="37">
        <f>6*Tabla13[[#This Row],[Minimum stock volume (per partner; ml)]]*Tabla13[[#This Row],[Stock concentration (g/L)]]/1000</f>
        <v>120</v>
      </c>
      <c r="P43" s="38">
        <v>0.63358879163355242</v>
      </c>
      <c r="Q43" s="2">
        <v>120</v>
      </c>
      <c r="R43" s="2" t="s">
        <v>1925</v>
      </c>
      <c r="S43" s="2">
        <v>1</v>
      </c>
      <c r="T43" s="33" t="s">
        <v>1831</v>
      </c>
      <c r="U43" s="33" t="s">
        <v>1831</v>
      </c>
      <c r="V43" s="34" t="s">
        <v>1937</v>
      </c>
      <c r="W43" s="34" t="s">
        <v>1938</v>
      </c>
      <c r="X43" s="34">
        <v>1</v>
      </c>
    </row>
    <row r="44" spans="1:24" s="2" customFormat="1" ht="75">
      <c r="A44" s="2" t="s">
        <v>430</v>
      </c>
      <c r="B44" s="11" t="s">
        <v>431</v>
      </c>
      <c r="C44" s="4" t="s">
        <v>433</v>
      </c>
      <c r="D44" s="2" t="s">
        <v>434</v>
      </c>
      <c r="E44" s="22" t="s">
        <v>440</v>
      </c>
      <c r="F44" s="2" t="s">
        <v>435</v>
      </c>
      <c r="G44" s="2" t="s">
        <v>436</v>
      </c>
      <c r="H44" s="2" t="s">
        <v>438</v>
      </c>
      <c r="I44" s="2" t="s">
        <v>439</v>
      </c>
      <c r="J44" s="2" t="s">
        <v>1939</v>
      </c>
      <c r="K44" s="2" t="s">
        <v>34</v>
      </c>
      <c r="L44" s="14">
        <f>0.82*100</f>
        <v>82</v>
      </c>
      <c r="M44" s="14">
        <v>20</v>
      </c>
      <c r="N44" s="14">
        <f>(Tabla13[[#This Row],['[max.'] to reach 100% mortality (mg/L)]]/1000)*1000/Tabla13[[#This Row],[Stock concentration (g/L)]]</f>
        <v>4.0999999999999996</v>
      </c>
      <c r="O44" s="42">
        <f>6*Tabla13[[#This Row],[Minimum stock volume (per partner; ml)]]*Tabla13[[#This Row],[Stock concentration (g/L)]]/1000</f>
        <v>0.49199999999999994</v>
      </c>
      <c r="P44" s="47">
        <v>0.19532646096375644</v>
      </c>
      <c r="Q44" s="2">
        <v>0.49199999999999994</v>
      </c>
      <c r="S44" s="2">
        <v>1</v>
      </c>
      <c r="T44" s="33" t="s">
        <v>1831</v>
      </c>
      <c r="U44" s="33" t="s">
        <v>1831</v>
      </c>
      <c r="V44" s="34" t="s">
        <v>1940</v>
      </c>
      <c r="W44" s="34" t="s">
        <v>1938</v>
      </c>
      <c r="X44" s="34">
        <v>1</v>
      </c>
    </row>
    <row r="45" spans="1:24" s="2" customFormat="1" ht="72.599999999999994" customHeight="1">
      <c r="A45" s="10" t="s">
        <v>442</v>
      </c>
      <c r="B45" s="11" t="s">
        <v>443</v>
      </c>
      <c r="C45" s="23" t="s">
        <v>444</v>
      </c>
      <c r="D45" s="4" t="s">
        <v>445</v>
      </c>
      <c r="E45" s="2" t="s">
        <v>450</v>
      </c>
      <c r="F45" s="2" t="s">
        <v>446</v>
      </c>
      <c r="G45" s="2" t="s">
        <v>447</v>
      </c>
      <c r="H45" s="2" t="s">
        <v>448</v>
      </c>
      <c r="I45" s="2" t="s">
        <v>449</v>
      </c>
      <c r="J45" s="51" t="s">
        <v>1941</v>
      </c>
      <c r="K45" s="2" t="s">
        <v>34</v>
      </c>
      <c r="L45" s="14">
        <f>4*100</f>
        <v>400</v>
      </c>
      <c r="M45" s="14">
        <v>30</v>
      </c>
      <c r="N45" s="14">
        <f>(Tabla13[[#This Row],['[max.'] to reach 100% mortality (mg/L)]]/1000)*1000/Tabla13[[#This Row],[Stock concentration (g/L)]]</f>
        <v>13.333333333333334</v>
      </c>
      <c r="O45" s="42">
        <f>6*Tabla13[[#This Row],[Minimum stock volume (per partner; ml)]]*Tabla13[[#This Row],[Stock concentration (g/L)]]/1000</f>
        <v>2.4</v>
      </c>
      <c r="P45" s="47">
        <v>34.155012283482989</v>
      </c>
      <c r="Q45" s="2">
        <v>34.155012283482989</v>
      </c>
      <c r="R45" s="58" t="s">
        <v>1942</v>
      </c>
      <c r="S45" s="2">
        <v>100</v>
      </c>
      <c r="T45" s="33" t="s">
        <v>1831</v>
      </c>
      <c r="U45" s="33" t="s">
        <v>1831</v>
      </c>
      <c r="V45" s="33" t="s">
        <v>1943</v>
      </c>
      <c r="W45" s="33" t="s">
        <v>1846</v>
      </c>
      <c r="X45" s="34">
        <v>1</v>
      </c>
    </row>
    <row r="46" spans="1:24" s="2" customFormat="1" ht="103.15" customHeight="1">
      <c r="A46" s="10" t="s">
        <v>454</v>
      </c>
      <c r="B46" s="11" t="s">
        <v>455</v>
      </c>
      <c r="C46" s="14" t="s">
        <v>456</v>
      </c>
      <c r="D46" s="4" t="s">
        <v>457</v>
      </c>
      <c r="E46" s="2" t="s">
        <v>33</v>
      </c>
      <c r="F46" s="2" t="s">
        <v>458</v>
      </c>
      <c r="G46" s="9" t="s">
        <v>459</v>
      </c>
      <c r="H46" s="2" t="s">
        <v>460</v>
      </c>
      <c r="I46" s="2" t="s">
        <v>461</v>
      </c>
      <c r="J46" s="53" t="s">
        <v>1944</v>
      </c>
      <c r="K46" s="2" t="s">
        <v>34</v>
      </c>
      <c r="L46" s="14">
        <f>122.8*100</f>
        <v>12280</v>
      </c>
      <c r="M46" s="14">
        <v>5</v>
      </c>
      <c r="N46" s="14">
        <f>(Tabla13[[#This Row],['[max.'] to reach 100% mortality (mg/L)]]/1000)*1000/Tabla13[[#This Row],[Stock concentration (g/L)]]</f>
        <v>2456</v>
      </c>
      <c r="O46" s="42">
        <f>6*Tabla13[[#This Row],[Minimum stock volume (per partner; ml)]]*Tabla13[[#This Row],[Stock concentration (g/L)]]/1000</f>
        <v>73.680000000000007</v>
      </c>
      <c r="P46" s="47">
        <v>1.9443840596757587</v>
      </c>
      <c r="Q46" s="2">
        <v>73.680000000000007</v>
      </c>
      <c r="R46" s="2" t="s">
        <v>1925</v>
      </c>
      <c r="S46" s="2">
        <v>100</v>
      </c>
      <c r="T46" s="33" t="s">
        <v>1831</v>
      </c>
      <c r="U46" s="33" t="s">
        <v>1831</v>
      </c>
      <c r="V46" s="36" t="s">
        <v>1945</v>
      </c>
      <c r="W46" s="36" t="s">
        <v>1946</v>
      </c>
      <c r="X46" s="34">
        <v>1</v>
      </c>
    </row>
    <row r="47" spans="1:24" s="2" customFormat="1" ht="86.45" customHeight="1">
      <c r="A47" s="2" t="s">
        <v>463</v>
      </c>
      <c r="B47" s="11" t="s">
        <v>464</v>
      </c>
      <c r="C47" s="4" t="s">
        <v>465</v>
      </c>
      <c r="D47" s="2" t="s">
        <v>466</v>
      </c>
      <c r="E47" s="2" t="s">
        <v>471</v>
      </c>
      <c r="F47" s="2" t="s">
        <v>92</v>
      </c>
      <c r="G47" s="2" t="s">
        <v>467</v>
      </c>
      <c r="H47" s="2" t="s">
        <v>469</v>
      </c>
      <c r="I47" s="2" t="s">
        <v>470</v>
      </c>
      <c r="J47" s="51" t="s">
        <v>1947</v>
      </c>
      <c r="K47" s="2" t="s">
        <v>1948</v>
      </c>
      <c r="L47" s="14">
        <f>7.04*100</f>
        <v>704</v>
      </c>
      <c r="M47" s="14">
        <v>100</v>
      </c>
      <c r="N47" s="14">
        <f>(Tabla13[[#This Row],['[max.'] to reach 100% mortality (mg/L)]]/1000)*1000/Tabla13[[#This Row],[Stock concentration (g/L)]]</f>
        <v>7.04</v>
      </c>
      <c r="O47" s="42">
        <f>6*Tabla13[[#This Row],[Minimum stock volume (per partner; ml)]]*Tabla13[[#This Row],[Stock concentration (g/L)]]/1000</f>
        <v>4.2240000000000002</v>
      </c>
      <c r="P47" s="47">
        <v>2.8557463245319856</v>
      </c>
      <c r="Q47" s="2">
        <v>4.2240000000000002</v>
      </c>
      <c r="R47" s="2" t="s">
        <v>1949</v>
      </c>
      <c r="S47" s="2">
        <v>5</v>
      </c>
      <c r="T47" s="33" t="s">
        <v>1831</v>
      </c>
      <c r="U47" s="33" t="s">
        <v>1831</v>
      </c>
      <c r="V47" s="33" t="s">
        <v>1950</v>
      </c>
      <c r="W47" s="33" t="s">
        <v>1804</v>
      </c>
      <c r="X47" s="34">
        <v>1</v>
      </c>
    </row>
    <row r="48" spans="1:24" s="2" customFormat="1" ht="99" customHeight="1">
      <c r="A48" s="10" t="s">
        <v>475</v>
      </c>
      <c r="B48" s="11" t="s">
        <v>476</v>
      </c>
      <c r="C48" s="2" t="s">
        <v>477</v>
      </c>
      <c r="D48" s="4" t="s">
        <v>478</v>
      </c>
      <c r="E48" s="22" t="s">
        <v>295</v>
      </c>
      <c r="F48" s="2" t="s">
        <v>479</v>
      </c>
      <c r="G48" s="2" t="s">
        <v>480</v>
      </c>
      <c r="H48" s="2" t="s">
        <v>482</v>
      </c>
      <c r="I48" s="2" t="s">
        <v>483</v>
      </c>
      <c r="J48" s="51" t="s">
        <v>1951</v>
      </c>
      <c r="K48" s="124" t="s">
        <v>1952</v>
      </c>
      <c r="L48" s="14">
        <f>120*100</f>
        <v>12000</v>
      </c>
      <c r="M48" s="14">
        <v>40</v>
      </c>
      <c r="N48" s="14">
        <f>(Tabla13[[#This Row],['[max.'] to reach 100% mortality (mg/L)]]/1000)*1000/Tabla13[[#This Row],[Stock concentration (g/L)]]</f>
        <v>300</v>
      </c>
      <c r="O48" s="42">
        <f>6*Tabla13[[#This Row],[Minimum stock volume (per partner; ml)]]*Tabla13[[#This Row],[Stock concentration (g/L)]]/1000</f>
        <v>72</v>
      </c>
      <c r="P48" s="47">
        <v>1.0459698861096811</v>
      </c>
      <c r="Q48" s="2">
        <v>72</v>
      </c>
      <c r="R48" s="2" t="s">
        <v>1953</v>
      </c>
      <c r="S48" s="2">
        <v>75</v>
      </c>
      <c r="T48" s="33" t="s">
        <v>1831</v>
      </c>
      <c r="U48" s="33" t="s">
        <v>1831</v>
      </c>
      <c r="V48" s="33" t="s">
        <v>1954</v>
      </c>
      <c r="W48" s="33" t="s">
        <v>1889</v>
      </c>
      <c r="X48" s="34">
        <v>3</v>
      </c>
    </row>
    <row r="49" spans="1:24" s="2" customFormat="1" ht="126.75" customHeight="1">
      <c r="A49" s="10" t="s">
        <v>484</v>
      </c>
      <c r="B49" s="11" t="s">
        <v>485</v>
      </c>
      <c r="C49" s="2" t="s">
        <v>487</v>
      </c>
      <c r="D49" s="4" t="s">
        <v>488</v>
      </c>
      <c r="E49" s="2" t="s">
        <v>33</v>
      </c>
      <c r="F49" s="2" t="s">
        <v>489</v>
      </c>
      <c r="G49" s="2" t="s">
        <v>490</v>
      </c>
      <c r="H49" s="2" t="s">
        <v>492</v>
      </c>
      <c r="I49" s="2" t="s">
        <v>493</v>
      </c>
      <c r="J49" s="2" t="s">
        <v>1955</v>
      </c>
      <c r="K49" s="2" t="s">
        <v>34</v>
      </c>
      <c r="L49" s="2">
        <f>11*100</f>
        <v>1100</v>
      </c>
      <c r="M49" s="2">
        <v>45</v>
      </c>
      <c r="N49" s="2">
        <f>(Tabla13[[#This Row],['[max.'] to reach 100% mortality (mg/L)]]/1000)*1000/Tabla13[[#This Row],[Stock concentration (g/L)]]</f>
        <v>24.444444444444443</v>
      </c>
      <c r="O49" s="30">
        <f>6*Tabla13[[#This Row],[Minimum stock volume (per partner; ml)]]*Tabla13[[#This Row],[Stock concentration (g/L)]]/1000</f>
        <v>6.6</v>
      </c>
      <c r="P49" s="39">
        <v>0.17190804447861388</v>
      </c>
      <c r="Q49" s="2">
        <v>6.6</v>
      </c>
      <c r="S49" s="2">
        <v>50</v>
      </c>
      <c r="T49" s="34" t="s">
        <v>1956</v>
      </c>
      <c r="U49" s="15" t="s">
        <v>1956</v>
      </c>
      <c r="V49" s="34" t="s">
        <v>1957</v>
      </c>
      <c r="W49" s="34" t="s">
        <v>1904</v>
      </c>
      <c r="X49" s="34">
        <v>1</v>
      </c>
    </row>
    <row r="50" spans="1:24" s="2" customFormat="1" ht="45">
      <c r="A50" s="10" t="s">
        <v>496</v>
      </c>
      <c r="B50" s="11" t="s">
        <v>497</v>
      </c>
      <c r="C50" s="14" t="s">
        <v>498</v>
      </c>
      <c r="D50" s="4" t="s">
        <v>499</v>
      </c>
      <c r="E50" s="2" t="s">
        <v>33</v>
      </c>
      <c r="F50" s="2" t="s">
        <v>500</v>
      </c>
      <c r="G50" s="2" t="s">
        <v>501</v>
      </c>
      <c r="H50" s="2" t="s">
        <v>502</v>
      </c>
      <c r="I50" s="2" t="s">
        <v>503</v>
      </c>
      <c r="J50" s="51" t="s">
        <v>1958</v>
      </c>
      <c r="K50" s="2" t="s">
        <v>34</v>
      </c>
      <c r="L50" s="14">
        <f>31*100</f>
        <v>3100</v>
      </c>
      <c r="M50" s="14">
        <v>2</v>
      </c>
      <c r="N50" s="14">
        <f>(Tabla13[[#This Row],['[max.'] to reach 100% mortality (mg/L)]]/1000)*1000/Tabla13[[#This Row],[Stock concentration (g/L)]]</f>
        <v>1550</v>
      </c>
      <c r="O50" s="42">
        <f>6*Tabla13[[#This Row],[Minimum stock volume (per partner; ml)]]*Tabla13[[#This Row],[Stock concentration (g/L)]]/1000</f>
        <v>18.600000000000001</v>
      </c>
      <c r="P50" s="47">
        <v>3.2476955153845291</v>
      </c>
      <c r="Q50" s="2">
        <v>18.600000000000001</v>
      </c>
      <c r="S50" s="2">
        <v>50</v>
      </c>
      <c r="T50" s="33" t="s">
        <v>1956</v>
      </c>
      <c r="U50" s="15" t="s">
        <v>1956</v>
      </c>
      <c r="V50" s="33" t="s">
        <v>1959</v>
      </c>
      <c r="W50" s="33" t="s">
        <v>1904</v>
      </c>
      <c r="X50" s="34">
        <v>1</v>
      </c>
    </row>
    <row r="51" spans="1:24" s="2" customFormat="1" ht="75">
      <c r="A51" s="10" t="s">
        <v>505</v>
      </c>
      <c r="B51" s="11" t="s">
        <v>506</v>
      </c>
      <c r="C51" s="2" t="s">
        <v>507</v>
      </c>
      <c r="D51" s="4" t="s">
        <v>508</v>
      </c>
      <c r="E51" s="2" t="s">
        <v>33</v>
      </c>
      <c r="F51" s="2" t="s">
        <v>509</v>
      </c>
      <c r="G51" s="2" t="s">
        <v>510</v>
      </c>
      <c r="H51" s="2" t="s">
        <v>512</v>
      </c>
      <c r="I51" s="2" t="s">
        <v>513</v>
      </c>
      <c r="J51" s="51" t="s">
        <v>1960</v>
      </c>
      <c r="K51" s="2" t="s">
        <v>34</v>
      </c>
      <c r="L51" s="14">
        <f>0.15*100</f>
        <v>15</v>
      </c>
      <c r="M51" s="14">
        <v>5</v>
      </c>
      <c r="N51" s="14">
        <f>(Tabla13[[#This Row],['[max.'] to reach 100% mortality (mg/L)]]/1000)*1000/Tabla13[[#This Row],[Stock concentration (g/L)]]</f>
        <v>3</v>
      </c>
      <c r="O51" s="42">
        <f>6*Tabla13[[#This Row],[Minimum stock volume (per partner; ml)]]*Tabla13[[#This Row],[Stock concentration (g/L)]]/1000</f>
        <v>0.09</v>
      </c>
      <c r="P51" s="47">
        <v>3.6427796854416039</v>
      </c>
      <c r="Q51" s="2">
        <v>3.6427796854416039</v>
      </c>
      <c r="S51" s="2">
        <v>100</v>
      </c>
      <c r="T51" s="33" t="s">
        <v>1956</v>
      </c>
      <c r="U51" s="15" t="s">
        <v>1956</v>
      </c>
      <c r="V51" s="33" t="s">
        <v>1961</v>
      </c>
      <c r="W51" s="33" t="s">
        <v>1820</v>
      </c>
      <c r="X51" s="34">
        <v>1</v>
      </c>
    </row>
    <row r="52" spans="1:24" s="2" customFormat="1" ht="87" customHeight="1">
      <c r="A52" s="10" t="s">
        <v>516</v>
      </c>
      <c r="B52" s="11" t="s">
        <v>517</v>
      </c>
      <c r="C52" s="2" t="s">
        <v>519</v>
      </c>
      <c r="D52" s="4" t="s">
        <v>520</v>
      </c>
      <c r="E52" s="2" t="s">
        <v>33</v>
      </c>
      <c r="F52" s="7" t="s">
        <v>521</v>
      </c>
      <c r="G52" s="2" t="s">
        <v>522</v>
      </c>
      <c r="H52" s="2" t="s">
        <v>524</v>
      </c>
      <c r="I52" s="2" t="s">
        <v>525</v>
      </c>
      <c r="J52" s="2" t="s">
        <v>1962</v>
      </c>
      <c r="K52" s="124" t="s">
        <v>1963</v>
      </c>
      <c r="L52" s="14">
        <f>0.0098*100</f>
        <v>0.98</v>
      </c>
      <c r="M52" s="14">
        <v>1</v>
      </c>
      <c r="N52" s="14">
        <f>(Tabla13[[#This Row],['[max.'] to reach 100% mortality (mg/L)]]/1000)*1000/Tabla13[[#This Row],[Stock concentration (g/L)]]</f>
        <v>0.98</v>
      </c>
      <c r="O52" s="42">
        <f>6*Tabla13[[#This Row],[Minimum stock volume (per partner; ml)]]*Tabla13[[#This Row],[Stock concentration (g/L)]]/1000</f>
        <v>5.8799999999999998E-3</v>
      </c>
      <c r="P52" s="47">
        <v>0.34456262781438912</v>
      </c>
      <c r="Q52" s="2">
        <v>0.34456262781438912</v>
      </c>
      <c r="S52" s="2">
        <v>100</v>
      </c>
      <c r="T52" s="34" t="s">
        <v>1956</v>
      </c>
      <c r="U52" s="15" t="s">
        <v>1956</v>
      </c>
      <c r="V52" s="34" t="s">
        <v>1964</v>
      </c>
      <c r="W52" s="34" t="s">
        <v>1820</v>
      </c>
      <c r="X52" s="34">
        <v>1</v>
      </c>
    </row>
    <row r="53" spans="1:24" s="2" customFormat="1" ht="78" customHeight="1">
      <c r="A53" s="10" t="s">
        <v>529</v>
      </c>
      <c r="B53" s="11" t="s">
        <v>530</v>
      </c>
      <c r="C53" s="2" t="s">
        <v>531</v>
      </c>
      <c r="D53" s="4" t="s">
        <v>532</v>
      </c>
      <c r="E53" s="2" t="s">
        <v>537</v>
      </c>
      <c r="F53" s="2" t="s">
        <v>92</v>
      </c>
      <c r="G53" s="2" t="s">
        <v>533</v>
      </c>
      <c r="H53" s="2" t="s">
        <v>535</v>
      </c>
      <c r="I53" s="2" t="s">
        <v>536</v>
      </c>
      <c r="J53" s="2" t="s">
        <v>1965</v>
      </c>
      <c r="K53" s="124" t="s">
        <v>1966</v>
      </c>
      <c r="L53" s="14">
        <f>0.075*100</f>
        <v>7.5</v>
      </c>
      <c r="M53" s="14">
        <v>5</v>
      </c>
      <c r="N53" s="14">
        <f>(Tabla13[[#This Row],['[max.'] to reach 100% mortality (mg/L)]]/1000)*1000/Tabla13[[#This Row],[Stock concentration (g/L)]]</f>
        <v>1.5</v>
      </c>
      <c r="O53" s="42">
        <f>6*Tabla13[[#This Row],[Minimum stock volume (per partner; ml)]]*Tabla13[[#This Row],[Stock concentration (g/L)]]/1000</f>
        <v>4.4999999999999998E-2</v>
      </c>
      <c r="P53" s="47">
        <v>0.22906397200629772</v>
      </c>
      <c r="Q53" s="2">
        <v>0.22906397200629772</v>
      </c>
      <c r="S53" s="2">
        <v>0.3</v>
      </c>
      <c r="T53" s="34" t="s">
        <v>1956</v>
      </c>
      <c r="U53" s="15" t="s">
        <v>1956</v>
      </c>
      <c r="V53" s="34" t="s">
        <v>1967</v>
      </c>
      <c r="W53" s="34" t="s">
        <v>1968</v>
      </c>
      <c r="X53" s="34">
        <v>3</v>
      </c>
    </row>
    <row r="54" spans="1:24" s="2" customFormat="1" ht="109.9" customHeight="1">
      <c r="A54" s="10" t="s">
        <v>539</v>
      </c>
      <c r="B54" s="11" t="s">
        <v>540</v>
      </c>
      <c r="C54" s="2" t="s">
        <v>541</v>
      </c>
      <c r="D54" s="4" t="s">
        <v>542</v>
      </c>
      <c r="E54" s="2" t="s">
        <v>547</v>
      </c>
      <c r="F54" s="2" t="s">
        <v>543</v>
      </c>
      <c r="G54" s="2" t="s">
        <v>544</v>
      </c>
      <c r="H54" s="2" t="s">
        <v>545</v>
      </c>
      <c r="I54" s="2" t="s">
        <v>546</v>
      </c>
      <c r="J54" s="2" t="s">
        <v>1969</v>
      </c>
      <c r="K54" s="2" t="s">
        <v>1970</v>
      </c>
      <c r="L54" s="2">
        <v>155000</v>
      </c>
      <c r="M54" s="2">
        <v>10000</v>
      </c>
      <c r="N54" s="2">
        <f>(Tabla13[[#This Row],['[max.'] to reach 100% mortality (mg/L)]]/1000)*1000/Tabla13[[#This Row],[Stock concentration (g/L)]]</f>
        <v>15.5</v>
      </c>
      <c r="O54" s="30">
        <f>6*Tabla13[[#This Row],[Minimum stock volume (per partner; ml)]]*Tabla13[[#This Row],[Stock concentration (g/L)]]/1000</f>
        <v>930</v>
      </c>
      <c r="P54" s="39" t="s">
        <v>59</v>
      </c>
      <c r="Q54" s="2">
        <v>930</v>
      </c>
      <c r="S54" s="2">
        <v>1000</v>
      </c>
      <c r="T54" s="34" t="s">
        <v>1956</v>
      </c>
      <c r="U54" s="15" t="s">
        <v>1956</v>
      </c>
      <c r="V54" s="34">
        <v>8015541000</v>
      </c>
      <c r="W54" s="34" t="s">
        <v>1971</v>
      </c>
      <c r="X54" s="34">
        <v>1</v>
      </c>
    </row>
    <row r="55" spans="1:24" s="2" customFormat="1" ht="110.45" customHeight="1">
      <c r="A55" s="27" t="s">
        <v>551</v>
      </c>
      <c r="B55" s="117" t="s">
        <v>552</v>
      </c>
      <c r="C55" s="26" t="s">
        <v>554</v>
      </c>
      <c r="D55" s="28" t="s">
        <v>555</v>
      </c>
      <c r="E55" s="21" t="s">
        <v>562</v>
      </c>
      <c r="F55" s="21" t="s">
        <v>556</v>
      </c>
      <c r="G55" s="21" t="s">
        <v>557</v>
      </c>
      <c r="H55" s="21" t="s">
        <v>560</v>
      </c>
      <c r="I55" s="21" t="s">
        <v>561</v>
      </c>
      <c r="J55" s="60" t="s">
        <v>1972</v>
      </c>
      <c r="K55" s="21" t="s">
        <v>34</v>
      </c>
      <c r="L55" s="26">
        <f>23*184.11/1000</f>
        <v>4.2345300000000003</v>
      </c>
      <c r="M55" s="26">
        <v>100</v>
      </c>
      <c r="N55" s="26">
        <f>(Tabla13[[#This Row],['[max.'] to reach 100% mortality (mg/L)]]/1000)*1000/Tabla13[[#This Row],[Stock concentration (g/L)]]</f>
        <v>4.2345300000000002E-2</v>
      </c>
      <c r="O55" s="26">
        <f>6*Tabla13[[#This Row],[Minimum stock volume (per partner; ml)]]*Tabla13[[#This Row],[Stock concentration (g/L)]]/1000</f>
        <v>2.5407180000000001E-2</v>
      </c>
      <c r="P55" s="50">
        <v>2.4579201422086991</v>
      </c>
      <c r="Q55" s="21">
        <v>21.78</v>
      </c>
      <c r="R55" s="22" t="s">
        <v>1973</v>
      </c>
      <c r="S55" s="21">
        <v>100</v>
      </c>
      <c r="T55" s="62" t="s">
        <v>1956</v>
      </c>
      <c r="U55" s="63" t="s">
        <v>1956</v>
      </c>
      <c r="V55" s="62" t="s">
        <v>1974</v>
      </c>
      <c r="W55" s="62" t="s">
        <v>1820</v>
      </c>
      <c r="X55" s="64">
        <v>1</v>
      </c>
    </row>
    <row r="56" spans="1:24" s="2" customFormat="1" ht="103.15" customHeight="1">
      <c r="A56" s="10" t="s">
        <v>567</v>
      </c>
      <c r="B56" s="11" t="s">
        <v>568</v>
      </c>
      <c r="C56" s="2" t="s">
        <v>569</v>
      </c>
      <c r="D56" s="4" t="s">
        <v>570</v>
      </c>
      <c r="E56" s="2" t="s">
        <v>33</v>
      </c>
      <c r="F56" s="2" t="s">
        <v>571</v>
      </c>
      <c r="G56" s="8" t="s">
        <v>572</v>
      </c>
      <c r="H56" s="2" t="s">
        <v>574</v>
      </c>
      <c r="I56" s="2" t="s">
        <v>575</v>
      </c>
      <c r="J56" s="9" t="s">
        <v>1975</v>
      </c>
      <c r="K56" s="2" t="s">
        <v>34</v>
      </c>
      <c r="L56" s="2">
        <f>50*300.05/1000</f>
        <v>15.0025</v>
      </c>
      <c r="M56" s="2">
        <v>2.5</v>
      </c>
      <c r="N56" s="2">
        <f>(Tabla13[[#This Row],['[max.'] to reach 100% mortality (mg/L)]]/1000)*1000/Tabla13[[#This Row],[Stock concentration (g/L)]]</f>
        <v>6.0009999999999994</v>
      </c>
      <c r="O56" s="37">
        <f>6*Tabla13[[#This Row],[Minimum stock volume (per partner; ml)]]*Tabla13[[#This Row],[Stock concentration (g/L)]]/1000</f>
        <v>9.0014999999999998E-2</v>
      </c>
      <c r="P56" s="38">
        <v>248.98516838380559</v>
      </c>
      <c r="Q56" s="2">
        <v>248.98516838380559</v>
      </c>
      <c r="R56" s="2" t="s">
        <v>1925</v>
      </c>
    </row>
    <row r="57" spans="1:24" s="2" customFormat="1" ht="63" customHeight="1">
      <c r="A57" s="10" t="s">
        <v>577</v>
      </c>
      <c r="B57" s="11" t="s">
        <v>578</v>
      </c>
      <c r="C57" s="2" t="s">
        <v>579</v>
      </c>
      <c r="D57" s="4" t="s">
        <v>580</v>
      </c>
      <c r="E57" s="22" t="s">
        <v>584</v>
      </c>
      <c r="F57" s="2" t="s">
        <v>581</v>
      </c>
      <c r="G57" s="2" t="s">
        <v>582</v>
      </c>
      <c r="H57" s="2" t="s">
        <v>59</v>
      </c>
      <c r="I57" s="2" t="s">
        <v>59</v>
      </c>
      <c r="J57" s="5" t="s">
        <v>1976</v>
      </c>
      <c r="K57" s="124" t="s">
        <v>1977</v>
      </c>
      <c r="L57" s="2">
        <f>5*320.75/1000</f>
        <v>1.60375</v>
      </c>
      <c r="M57" s="2">
        <v>100</v>
      </c>
      <c r="N57" s="2">
        <f>(Tabla13[[#This Row],['[max.'] to reach 100% mortality (mg/L)]]/1000)*1000/Tabla13[[#This Row],[Stock concentration (g/L)]]</f>
        <v>1.60375E-2</v>
      </c>
      <c r="O57" s="40">
        <f>6*Tabla13[[#This Row],[Minimum stock volume (per partner; ml)]]*Tabla13[[#This Row],[Stock concentration (g/L)]]/1000</f>
        <v>9.6225000000000008E-3</v>
      </c>
      <c r="P57" s="41">
        <v>0.14160654607354517</v>
      </c>
      <c r="Q57" s="2">
        <v>0.14160654607354517</v>
      </c>
      <c r="R57" s="2" t="s">
        <v>1898</v>
      </c>
    </row>
    <row r="58" spans="1:24" s="2" customFormat="1" ht="60">
      <c r="A58" s="10" t="s">
        <v>586</v>
      </c>
      <c r="B58" s="11" t="s">
        <v>587</v>
      </c>
      <c r="C58" s="2" t="s">
        <v>589</v>
      </c>
      <c r="D58" s="4" t="s">
        <v>590</v>
      </c>
      <c r="E58" s="22" t="s">
        <v>327</v>
      </c>
      <c r="F58" s="2" t="s">
        <v>591</v>
      </c>
      <c r="G58" s="2" t="s">
        <v>592</v>
      </c>
      <c r="H58" s="2" t="s">
        <v>59</v>
      </c>
      <c r="I58" s="2" t="s">
        <v>59</v>
      </c>
      <c r="J58" s="2" t="s">
        <v>1978</v>
      </c>
      <c r="K58" s="2" t="s">
        <v>34</v>
      </c>
      <c r="L58" s="9">
        <f>1000*171.15/1000</f>
        <v>171.15</v>
      </c>
      <c r="M58" s="2">
        <v>100</v>
      </c>
      <c r="N58" s="2">
        <f>(Tabla13[[#This Row],['[max.'] to reach 100% mortality (mg/L)]]/1000)*1000/Tabla13[[#This Row],[Stock concentration (g/L)]]</f>
        <v>1.7115</v>
      </c>
      <c r="O58" s="40">
        <f>6*Tabla13[[#This Row],[Minimum stock volume (per partner; ml)]]*Tabla13[[#This Row],[Stock concentration (g/L)]]/1000</f>
        <v>1.0269000000000001</v>
      </c>
      <c r="P58" s="41" t="e">
        <v>#VALUE!</v>
      </c>
      <c r="Q58" s="2" t="e">
        <v>#VALUE!</v>
      </c>
      <c r="R58" s="2" t="s">
        <v>1898</v>
      </c>
    </row>
    <row r="59" spans="1:24" s="2" customFormat="1" ht="60">
      <c r="A59" s="10" t="s">
        <v>595</v>
      </c>
      <c r="B59" s="11" t="s">
        <v>596</v>
      </c>
      <c r="C59" s="14" t="s">
        <v>597</v>
      </c>
      <c r="D59" s="4" t="s">
        <v>598</v>
      </c>
      <c r="E59" s="22" t="s">
        <v>327</v>
      </c>
      <c r="F59" s="2" t="s">
        <v>599</v>
      </c>
      <c r="G59" s="2" t="s">
        <v>600</v>
      </c>
      <c r="H59" s="2" t="s">
        <v>59</v>
      </c>
      <c r="I59" s="2" t="s">
        <v>59</v>
      </c>
      <c r="J59" s="5" t="s">
        <v>1979</v>
      </c>
      <c r="K59" s="2" t="s">
        <v>34</v>
      </c>
      <c r="L59" s="9">
        <f>20*310.33/1000</f>
        <v>6.2065999999999999</v>
      </c>
      <c r="M59" s="2">
        <v>100</v>
      </c>
      <c r="N59" s="2">
        <f>(Tabla13[[#This Row],['[max.'] to reach 100% mortality (mg/L)]]/1000)*1000/Tabla13[[#This Row],[Stock concentration (g/L)]]</f>
        <v>6.2065999999999996E-2</v>
      </c>
      <c r="O59" s="40">
        <f>6*Tabla13[[#This Row],[Minimum stock volume (per partner; ml)]]*Tabla13[[#This Row],[Stock concentration (g/L)]]/1000</f>
        <v>3.7239599999999998E-2</v>
      </c>
      <c r="P59" s="41">
        <v>257.51312166636427</v>
      </c>
      <c r="Q59" s="2">
        <v>257.51312166636427</v>
      </c>
      <c r="R59" s="2" t="s">
        <v>1898</v>
      </c>
    </row>
    <row r="60" spans="1:24" s="2" customFormat="1" ht="75">
      <c r="A60" s="10" t="s">
        <v>602</v>
      </c>
      <c r="B60" s="11" t="s">
        <v>603</v>
      </c>
      <c r="C60" s="15" t="s">
        <v>604</v>
      </c>
      <c r="D60" s="4" t="s">
        <v>605</v>
      </c>
      <c r="E60" s="22" t="s">
        <v>609</v>
      </c>
      <c r="F60" s="2" t="s">
        <v>479</v>
      </c>
      <c r="G60" s="2" t="s">
        <v>599</v>
      </c>
      <c r="H60" s="2" t="s">
        <v>607</v>
      </c>
      <c r="I60" s="2" t="s">
        <v>608</v>
      </c>
      <c r="J60" s="55" t="s">
        <v>1980</v>
      </c>
      <c r="K60" s="2" t="s">
        <v>34</v>
      </c>
      <c r="L60" s="14">
        <f>1*827/1000</f>
        <v>0.82699999999999996</v>
      </c>
      <c r="M60" s="14">
        <v>40</v>
      </c>
      <c r="N60" s="14">
        <f>(Tabla13[[#This Row],['[max.'] to reach 100% mortality (mg/L)]]/1000)*1000/Tabla13[[#This Row],[Stock concentration (g/L)]]</f>
        <v>2.0674999999999999E-2</v>
      </c>
      <c r="O60" s="37">
        <f>6*Tabla13[[#This Row],[Minimum stock volume (per partner; ml)]]*Tabla13[[#This Row],[Stock concentration (g/L)]]/1000</f>
        <v>4.9619999999999994E-3</v>
      </c>
      <c r="P60" s="38">
        <v>1.2935214917945226</v>
      </c>
      <c r="Q60" s="2">
        <v>1.2935214917945226</v>
      </c>
      <c r="R60" s="2" t="s">
        <v>1925</v>
      </c>
    </row>
    <row r="61" spans="1:24" s="2" customFormat="1" ht="105">
      <c r="A61" s="10" t="s">
        <v>611</v>
      </c>
      <c r="B61" s="11" t="s">
        <v>612</v>
      </c>
      <c r="C61" s="2" t="s">
        <v>613</v>
      </c>
      <c r="D61" s="4" t="s">
        <v>614</v>
      </c>
      <c r="E61" s="22" t="s">
        <v>440</v>
      </c>
      <c r="F61" s="2" t="s">
        <v>615</v>
      </c>
      <c r="G61" s="2" t="s">
        <v>616</v>
      </c>
      <c r="H61" s="2" t="s">
        <v>618</v>
      </c>
      <c r="I61" s="2" t="s">
        <v>59</v>
      </c>
      <c r="J61" s="2" t="s">
        <v>1981</v>
      </c>
      <c r="K61" s="2" t="s">
        <v>34</v>
      </c>
      <c r="L61" s="14">
        <f>50*367.35/1000</f>
        <v>18.3675</v>
      </c>
      <c r="M61" s="14">
        <v>35</v>
      </c>
      <c r="N61" s="14">
        <f>(Tabla13[[#This Row],['[max.'] to reach 100% mortality (mg/L)]]/1000)*1000/Tabla13[[#This Row],[Stock concentration (g/L)]]</f>
        <v>0.5247857142857143</v>
      </c>
      <c r="O61" s="42">
        <f>6*Tabla13[[#This Row],[Minimum stock volume (per partner; ml)]]*Tabla13[[#This Row],[Stock concentration (g/L)]]/1000</f>
        <v>0.11020500000000001</v>
      </c>
      <c r="P61" s="47">
        <v>5.0161868947226385</v>
      </c>
      <c r="Q61" s="2">
        <v>5.0161868947226385</v>
      </c>
      <c r="R61" s="2" t="s">
        <v>1835</v>
      </c>
    </row>
    <row r="62" spans="1:24" s="2" customFormat="1" ht="74.25" customHeight="1">
      <c r="A62" s="10" t="s">
        <v>621</v>
      </c>
      <c r="B62" s="11" t="s">
        <v>622</v>
      </c>
      <c r="C62" s="2" t="s">
        <v>623</v>
      </c>
      <c r="D62" s="4" t="s">
        <v>624</v>
      </c>
      <c r="E62" s="2" t="s">
        <v>33</v>
      </c>
      <c r="F62" s="2" t="s">
        <v>625</v>
      </c>
      <c r="G62" s="2" t="s">
        <v>626</v>
      </c>
      <c r="H62" s="2" t="s">
        <v>628</v>
      </c>
      <c r="I62" s="2" t="s">
        <v>629</v>
      </c>
      <c r="J62" s="53" t="s">
        <v>1982</v>
      </c>
      <c r="K62" s="124" t="s">
        <v>1983</v>
      </c>
      <c r="L62" s="14">
        <f>9.09*100</f>
        <v>909</v>
      </c>
      <c r="M62" s="14">
        <v>250</v>
      </c>
      <c r="N62" s="14">
        <f>(Tabla13[[#This Row],['[max.'] to reach 100% mortality (mg/L)]]/1000)*1000/Tabla13[[#This Row],[Stock concentration (g/L)]]</f>
        <v>3.6360000000000001</v>
      </c>
      <c r="O62" s="37">
        <f>6*Tabla13[[#This Row],[Minimum stock volume (per partner; ml)]]*Tabla13[[#This Row],[Stock concentration (g/L)]]/1000</f>
        <v>5.4540000000000006</v>
      </c>
      <c r="P62" s="38">
        <v>29.327218280131245</v>
      </c>
      <c r="Q62" s="2">
        <v>29.327218280131245</v>
      </c>
      <c r="R62" s="2" t="s">
        <v>1925</v>
      </c>
    </row>
    <row r="63" spans="1:24" s="2" customFormat="1" ht="60">
      <c r="A63" s="9" t="s">
        <v>632</v>
      </c>
      <c r="B63" s="11" t="s">
        <v>633</v>
      </c>
      <c r="C63" s="14" t="s">
        <v>634</v>
      </c>
      <c r="D63" s="4" t="s">
        <v>635</v>
      </c>
      <c r="E63" s="22" t="s">
        <v>327</v>
      </c>
      <c r="F63" s="2" t="s">
        <v>636</v>
      </c>
      <c r="G63" s="2" t="s">
        <v>637</v>
      </c>
      <c r="H63" s="2" t="s">
        <v>59</v>
      </c>
      <c r="I63" s="2" t="s">
        <v>59</v>
      </c>
      <c r="J63" s="51" t="s">
        <v>1984</v>
      </c>
      <c r="K63" s="2" t="s">
        <v>34</v>
      </c>
      <c r="L63" s="56">
        <f>100*211.26/1000</f>
        <v>21.126000000000001</v>
      </c>
      <c r="M63" s="14">
        <v>100</v>
      </c>
      <c r="N63" s="14">
        <f>(Tabla13[[#This Row],['[max.'] to reach 100% mortality (mg/L)]]/1000)*1000/Tabla13[[#This Row],[Stock concentration (g/L)]]</f>
        <v>0.21126</v>
      </c>
      <c r="O63" s="40">
        <f>6*Tabla13[[#This Row],[Minimum stock volume (per partner; ml)]]*Tabla13[[#This Row],[Stock concentration (g/L)]]/1000</f>
        <v>0.12675600000000001</v>
      </c>
      <c r="P63" s="41">
        <v>229.18818044031755</v>
      </c>
      <c r="Q63" s="2">
        <v>229.18818044031755</v>
      </c>
      <c r="R63" s="2" t="s">
        <v>1898</v>
      </c>
    </row>
    <row r="64" spans="1:24" s="2" customFormat="1" ht="93.6" customHeight="1">
      <c r="A64" s="10" t="s">
        <v>638</v>
      </c>
      <c r="B64" s="11" t="s">
        <v>639</v>
      </c>
      <c r="C64" s="2" t="s">
        <v>640</v>
      </c>
      <c r="D64" s="4" t="s">
        <v>641</v>
      </c>
      <c r="E64" s="22" t="s">
        <v>295</v>
      </c>
      <c r="F64" s="7" t="s">
        <v>154</v>
      </c>
      <c r="G64" s="2" t="s">
        <v>642</v>
      </c>
      <c r="H64" s="2" t="s">
        <v>644</v>
      </c>
      <c r="I64" s="2" t="s">
        <v>645</v>
      </c>
      <c r="J64" s="52" t="s">
        <v>1985</v>
      </c>
      <c r="K64" s="2" t="s">
        <v>34</v>
      </c>
      <c r="L64" s="14">
        <f>0.051*100</f>
        <v>5.0999999999999996</v>
      </c>
      <c r="M64" s="14">
        <v>1</v>
      </c>
      <c r="N64" s="14">
        <f>(Tabla13[[#This Row],['[max.'] to reach 100% mortality (mg/L)]]/1000)*1000/Tabla13[[#This Row],[Stock concentration (g/L)]]</f>
        <v>5.0999999999999996</v>
      </c>
      <c r="O64" s="42">
        <f>6*Tabla13[[#This Row],[Minimum stock volume (per partner; ml)]]*Tabla13[[#This Row],[Stock concentration (g/L)]]/1000</f>
        <v>3.0599999999999999E-2</v>
      </c>
      <c r="P64" s="47">
        <v>0.50687934827374248</v>
      </c>
      <c r="Q64" s="2">
        <v>0.50687934827374248</v>
      </c>
    </row>
    <row r="65" spans="1:18" s="2" customFormat="1" ht="99.6" customHeight="1">
      <c r="A65" s="10" t="s">
        <v>646</v>
      </c>
      <c r="B65" s="11" t="s">
        <v>647</v>
      </c>
      <c r="C65" s="14" t="s">
        <v>648</v>
      </c>
      <c r="D65" s="4" t="s">
        <v>649</v>
      </c>
      <c r="E65" s="25" t="s">
        <v>653</v>
      </c>
      <c r="F65" s="2" t="s">
        <v>650</v>
      </c>
      <c r="G65" s="7" t="s">
        <v>651</v>
      </c>
      <c r="H65" s="2" t="s">
        <v>652</v>
      </c>
      <c r="I65" s="2" t="s">
        <v>59</v>
      </c>
      <c r="J65" s="2" t="s">
        <v>59</v>
      </c>
      <c r="K65" s="2" t="s">
        <v>1986</v>
      </c>
      <c r="L65" s="14">
        <f>6.5*100</f>
        <v>650</v>
      </c>
      <c r="M65" s="14">
        <v>100</v>
      </c>
      <c r="N65" s="14">
        <f>(Tabla13[[#This Row],['[max.'] to reach 100% mortality (mg/L)]]/1000)*1000/Tabla13[[#This Row],[Stock concentration (g/L)]]</f>
        <v>6.5</v>
      </c>
      <c r="O65" s="43">
        <f>6*Tabla13[[#This Row],[Minimum stock volume (per partner; ml)]]*Tabla13[[#This Row],[Stock concentration (g/L)]]/1000</f>
        <v>3.9</v>
      </c>
      <c r="P65" s="44">
        <v>77.164887512636668</v>
      </c>
      <c r="Q65" s="2">
        <v>77.164887512636668</v>
      </c>
      <c r="R65" s="2" t="s">
        <v>1835</v>
      </c>
    </row>
    <row r="66" spans="1:18" s="67" customFormat="1" ht="51.6" customHeight="1">
      <c r="A66" s="65" t="s">
        <v>657</v>
      </c>
      <c r="B66" s="121"/>
      <c r="D66" s="66"/>
    </row>
    <row r="67" spans="1:18" s="2" customFormat="1" ht="90">
      <c r="A67" s="10" t="s">
        <v>658</v>
      </c>
      <c r="B67" s="10"/>
      <c r="C67" s="2" t="str">
        <f>Tabla1[[#This Row],[Formula]]</f>
        <v>C₂₀H₁₂</v>
      </c>
      <c r="D67" s="2" t="str">
        <f>Tabla1[[#This Row],[CAS number]]</f>
        <v>50-32-8</v>
      </c>
      <c r="E67" s="2" t="s">
        <v>33</v>
      </c>
      <c r="F67" s="2" t="s">
        <v>661</v>
      </c>
      <c r="G67" s="5" t="s">
        <v>662</v>
      </c>
      <c r="H67" s="2" t="s">
        <v>59</v>
      </c>
      <c r="I67" s="2" t="s">
        <v>664</v>
      </c>
      <c r="J67" s="2" t="s">
        <v>1987</v>
      </c>
      <c r="K67" s="2" t="s">
        <v>34</v>
      </c>
      <c r="L67" s="2">
        <f>0.25*100</f>
        <v>25</v>
      </c>
      <c r="M67" s="2">
        <v>10</v>
      </c>
      <c r="N67" s="59">
        <f>(Tabla13[[#This Row],['[max.'] to reach 100% mortality (mg/L)]]/1000)*1000/Tabla13[[#This Row],[Stock concentration (g/L)]]</f>
        <v>2.5</v>
      </c>
      <c r="O67" s="42">
        <f>6*Tabla13[[#This Row],[Minimum stock volume (per partner; ml)]]*Tabla13[[#This Row],[Stock concentration (g/L)]]/1000</f>
        <v>0.15</v>
      </c>
      <c r="P67" s="39">
        <v>2.5408326008720075E-2</v>
      </c>
      <c r="Q67" s="2">
        <f>MAX(Tabla13[[#This Row],[Needed amount of chemical (g); Ruben Leitat calculations]:[Needed amount of chemical (g); Stefan UFZ calculations]])</f>
        <v>0.15</v>
      </c>
      <c r="R67" s="5" t="s">
        <v>1988</v>
      </c>
    </row>
    <row r="68" spans="1:18" s="2" customFormat="1" ht="60">
      <c r="A68" s="10" t="s">
        <v>665</v>
      </c>
      <c r="B68" s="10"/>
      <c r="C68" s="2" t="str">
        <f>Tabla1[[#This Row],[Formula]]</f>
        <v>C₂₉H₃₅ClN₂O₂P</v>
      </c>
      <c r="D68" s="2" t="str">
        <f>Tabla1[[#This Row],[CAS number]]</f>
        <v xml:space="preserve">1334850-99-5 </v>
      </c>
      <c r="E68" s="22" t="s">
        <v>327</v>
      </c>
      <c r="F68" s="2" t="s">
        <v>668</v>
      </c>
      <c r="G68" s="2" t="s">
        <v>479</v>
      </c>
      <c r="H68" s="2" t="s">
        <v>59</v>
      </c>
      <c r="I68" s="2" t="s">
        <v>59</v>
      </c>
      <c r="J68" s="5" t="s">
        <v>1989</v>
      </c>
      <c r="K68" s="2" t="s">
        <v>34</v>
      </c>
      <c r="L68" s="9"/>
      <c r="N68" s="2" t="e">
        <f>(Tabla13[[#This Row],['[max.'] to reach 100% mortality (mg/L)]]/1000)*1000/Tabla13[[#This Row],[Stock concentration (g/L)]]</f>
        <v>#DIV/0!</v>
      </c>
      <c r="O68" s="40" t="s">
        <v>1919</v>
      </c>
      <c r="P68" s="41">
        <v>0</v>
      </c>
      <c r="Q68" s="2">
        <v>0</v>
      </c>
      <c r="R68" s="2" t="s">
        <v>1898</v>
      </c>
    </row>
    <row r="69" spans="1:18" s="2" customFormat="1" ht="60">
      <c r="A69" s="10" t="s">
        <v>669</v>
      </c>
      <c r="B69" s="118"/>
      <c r="C69" s="2" t="str">
        <f>Tabla1[[#This Row],[Formula]]</f>
        <v>C₂₂H₂₁Cl₃N₄O</v>
      </c>
      <c r="D69" s="2" t="str">
        <f>Tabla1[[#This Row],[CAS number]]</f>
        <v>158681-13-1</v>
      </c>
      <c r="E69" s="22" t="s">
        <v>295</v>
      </c>
      <c r="F69" s="2" t="s">
        <v>672</v>
      </c>
      <c r="G69" s="2" t="s">
        <v>673</v>
      </c>
      <c r="H69" s="2" t="s">
        <v>59</v>
      </c>
      <c r="I69" s="2" t="s">
        <v>59</v>
      </c>
      <c r="J69" s="53" t="s">
        <v>1990</v>
      </c>
      <c r="K69" s="124" t="s">
        <v>1991</v>
      </c>
      <c r="L69" s="14"/>
      <c r="M69" s="14"/>
      <c r="N69" s="14" t="e">
        <f>(Tabla13[[#This Row],['[max.'] to reach 100% mortality (mg/L)]]/1000)*1000/Tabla13[[#This Row],[Stock concentration (g/L)]]</f>
        <v>#DIV/0!</v>
      </c>
      <c r="O69" s="40" t="s">
        <v>1919</v>
      </c>
      <c r="P69" s="41">
        <v>4.6602527882578598E-2</v>
      </c>
      <c r="Q69" s="2">
        <v>4.6602527882578598E-2</v>
      </c>
      <c r="R69" s="2" t="s">
        <v>1898</v>
      </c>
    </row>
    <row r="70" spans="1:18" s="2" customFormat="1" ht="50.45" customHeight="1">
      <c r="A70" s="10" t="s">
        <v>675</v>
      </c>
      <c r="B70" s="10"/>
      <c r="C70" s="2" t="str">
        <f>Tabla1[[#This Row],[Formula]]</f>
        <v>C₉H₆Cl₆O₃S</v>
      </c>
      <c r="D70" s="2" t="str">
        <f>Tabla1[[#This Row],[CAS number]]</f>
        <v>115-29-7</v>
      </c>
      <c r="E70" s="2" t="s">
        <v>33</v>
      </c>
      <c r="F70" s="7" t="s">
        <v>678</v>
      </c>
      <c r="G70" s="2" t="s">
        <v>679</v>
      </c>
      <c r="H70" s="2" t="s">
        <v>681</v>
      </c>
      <c r="I70" s="2" t="s">
        <v>682</v>
      </c>
      <c r="J70" s="51" t="s">
        <v>1992</v>
      </c>
      <c r="K70" s="124" t="s">
        <v>1993</v>
      </c>
      <c r="L70" s="14">
        <f>0.9*100</f>
        <v>90</v>
      </c>
      <c r="M70" s="14">
        <v>10</v>
      </c>
      <c r="N70" s="14">
        <f>(Tabla13[[#This Row],['[max.'] to reach 100% mortality (mg/L)]]/1000)*1000/Tabla13[[#This Row],[Stock concentration (g/L)]]</f>
        <v>9</v>
      </c>
      <c r="O70" s="42">
        <f>6*Tabla13[[#This Row],[Minimum stock volume (per partner; ml)]]*Tabla13[[#This Row],[Stock concentration (g/L)]]/1000</f>
        <v>0.54</v>
      </c>
      <c r="P70" s="47">
        <v>0.146227552296404</v>
      </c>
      <c r="Q70" s="2">
        <v>0.54</v>
      </c>
    </row>
    <row r="71" spans="1:18" s="2" customFormat="1" ht="75">
      <c r="A71" s="10" t="s">
        <v>685</v>
      </c>
      <c r="B71" s="10"/>
      <c r="C71" s="2" t="str">
        <f>Tabla1[[#This Row],[Formula]]</f>
        <v>C₁₆H₁₃ClF₃NO₄</v>
      </c>
      <c r="D71" s="2" t="str">
        <f>Tabla1[[#This Row],[CAS number]]</f>
        <v>72619-32-0</v>
      </c>
      <c r="E71" s="2" t="s">
        <v>33</v>
      </c>
      <c r="F71" s="2" t="s">
        <v>59</v>
      </c>
      <c r="G71" s="2" t="s">
        <v>688</v>
      </c>
      <c r="H71" s="2" t="s">
        <v>690</v>
      </c>
      <c r="I71" s="2" t="s">
        <v>691</v>
      </c>
      <c r="J71" s="53" t="s">
        <v>1994</v>
      </c>
      <c r="K71" s="124" t="s">
        <v>1995</v>
      </c>
      <c r="L71" s="14">
        <f>6.2*100</f>
        <v>620</v>
      </c>
      <c r="M71" s="14">
        <f>100</f>
        <v>100</v>
      </c>
      <c r="N71" s="14">
        <f>(Tabla13[[#This Row],['[max.'] to reach 100% mortality (mg/L)]]/1000)*1000/Tabla13[[#This Row],[Stock concentration (g/L)]]</f>
        <v>6.2</v>
      </c>
      <c r="O71" s="42">
        <f>6*Tabla13[[#This Row],[Minimum stock volume (per partner; ml)]]*Tabla13[[#This Row],[Stock concentration (g/L)]]/1000</f>
        <v>3.7200000000000006</v>
      </c>
      <c r="P71" s="47">
        <v>4.8466970777922436</v>
      </c>
      <c r="Q71" s="2">
        <v>4.8466970777922436</v>
      </c>
      <c r="R71" s="2" t="s">
        <v>1925</v>
      </c>
    </row>
    <row r="72" spans="1:18" s="2" customFormat="1" ht="80.25" customHeight="1">
      <c r="A72" s="10" t="s">
        <v>692</v>
      </c>
      <c r="B72" s="10"/>
      <c r="C72" s="2" t="str">
        <f>Tabla1[[#This Row],[Formula]]</f>
        <v>C₅H₂Cl₃NO</v>
      </c>
      <c r="D72" s="2" t="str">
        <f>Tabla1[[#This Row],[CAS number]]</f>
        <v>6515-38-4</v>
      </c>
      <c r="E72" s="2" t="s">
        <v>33</v>
      </c>
      <c r="F72" s="2" t="s">
        <v>695</v>
      </c>
      <c r="G72" s="2" t="s">
        <v>696</v>
      </c>
      <c r="H72" s="2" t="s">
        <v>698</v>
      </c>
      <c r="I72" s="2" t="s">
        <v>699</v>
      </c>
      <c r="J72" s="51" t="s">
        <v>1996</v>
      </c>
      <c r="K72" s="124" t="s">
        <v>1997</v>
      </c>
      <c r="L72" s="14">
        <f>10.4*100</f>
        <v>1040</v>
      </c>
      <c r="M72" s="14">
        <v>30</v>
      </c>
      <c r="N72" s="14">
        <f>(Tabla13[[#This Row],['[max.'] to reach 100% mortality (mg/L)]]/1000)*1000/Tabla13[[#This Row],[Stock concentration (g/L)]]</f>
        <v>34.666666666666664</v>
      </c>
      <c r="O72" s="42">
        <f>6*Tabla13[[#This Row],[Minimum stock volume (per partner; ml)]]*Tabla13[[#This Row],[Stock concentration (g/L)]]/1000</f>
        <v>6.24</v>
      </c>
      <c r="P72" s="47">
        <v>0.66191110547908216</v>
      </c>
      <c r="Q72" s="2">
        <v>6.24</v>
      </c>
    </row>
    <row r="73" spans="1:18" s="2" customFormat="1" ht="98.45" customHeight="1">
      <c r="A73" s="10" t="s">
        <v>700</v>
      </c>
      <c r="B73" s="10"/>
      <c r="C73" s="2" t="str">
        <f>Tabla1[[#This Row],[Formula]]</f>
        <v>C₂₄H₅₁O₄P</v>
      </c>
      <c r="D73" s="2" t="str">
        <f>Tabla1[[#This Row],[CAS number]]</f>
        <v>78-42-2</v>
      </c>
      <c r="E73" s="2" t="s">
        <v>33</v>
      </c>
      <c r="F73" s="2" t="s">
        <v>703</v>
      </c>
      <c r="G73" s="2" t="s">
        <v>704</v>
      </c>
      <c r="H73" s="2" t="s">
        <v>705</v>
      </c>
      <c r="I73" s="2" t="s">
        <v>706</v>
      </c>
      <c r="J73" s="51" t="s">
        <v>1998</v>
      </c>
      <c r="K73" s="2" t="s">
        <v>34</v>
      </c>
      <c r="L73" s="14">
        <f>1000*100</f>
        <v>100000</v>
      </c>
      <c r="M73" s="14">
        <v>1</v>
      </c>
      <c r="N73" s="14">
        <f>(Tabla13[[#This Row],['[max.'] to reach 100% mortality (mg/L)]]/1000)*1000/Tabla13[[#This Row],[Stock concentration (g/L)]]</f>
        <v>100000</v>
      </c>
      <c r="O73" s="40">
        <f>6*Tabla13[[#This Row],[Minimum stock volume (per partner; ml)]]*Tabla13[[#This Row],[Stock concentration (g/L)]]/1000</f>
        <v>600</v>
      </c>
      <c r="P73" s="41">
        <v>2.29958136720563E-2</v>
      </c>
      <c r="Q73" s="2">
        <v>600</v>
      </c>
      <c r="R73" s="2" t="s">
        <v>1835</v>
      </c>
    </row>
    <row r="74" spans="1:18" s="2" customFormat="1" ht="49.9" customHeight="1">
      <c r="A74" s="10" t="s">
        <v>707</v>
      </c>
      <c r="B74" s="10"/>
      <c r="C74" s="2" t="str">
        <f>Tabla1[[#This Row],[Formula]]</f>
        <v>C₁₄H₁₇NO₂</v>
      </c>
      <c r="D74" s="2" t="str">
        <f>Tabla1[[#This Row],[CAS number]]</f>
        <v>91-44-1</v>
      </c>
      <c r="E74" s="2" t="s">
        <v>33</v>
      </c>
      <c r="F74" s="7" t="s">
        <v>710</v>
      </c>
      <c r="G74" s="2" t="s">
        <v>711</v>
      </c>
      <c r="H74" s="2" t="s">
        <v>712</v>
      </c>
      <c r="I74" s="2" t="s">
        <v>713</v>
      </c>
      <c r="J74" s="51" t="s">
        <v>1999</v>
      </c>
      <c r="K74" s="2" t="s">
        <v>2000</v>
      </c>
      <c r="L74" s="14">
        <f>330*100</f>
        <v>33000</v>
      </c>
      <c r="M74" s="14">
        <v>150</v>
      </c>
      <c r="N74" s="14">
        <f>(Tabla13[[#This Row],['[max.'] to reach 100% mortality (mg/L)]]/1000)*1000/Tabla13[[#This Row],[Stock concentration (g/L)]]</f>
        <v>220</v>
      </c>
      <c r="O74" s="42">
        <f>6*Tabla13[[#This Row],[Minimum stock volume (per partner; ml)]]*Tabla13[[#This Row],[Stock concentration (g/L)]]/1000</f>
        <v>198</v>
      </c>
      <c r="P74" s="47">
        <v>0.47141791603895228</v>
      </c>
      <c r="Q74" s="2">
        <v>198</v>
      </c>
    </row>
    <row r="75" spans="1:18" s="2" customFormat="1" ht="165">
      <c r="A75" s="10" t="s">
        <v>714</v>
      </c>
      <c r="B75" s="10"/>
      <c r="C75" s="2" t="str">
        <f>Tabla1[[#This Row],[Formula]]</f>
        <v>C₁₈H₂₂N₂O₂</v>
      </c>
      <c r="D75" s="2" t="str">
        <f>Tabla1[[#This Row],[CAS number]]</f>
        <v>Not yet available</v>
      </c>
      <c r="E75" s="22" t="s">
        <v>327</v>
      </c>
      <c r="F75" s="2" t="s">
        <v>59</v>
      </c>
      <c r="G75" s="2" t="s">
        <v>717</v>
      </c>
      <c r="H75" s="2" t="s">
        <v>718</v>
      </c>
      <c r="I75" s="2" t="s">
        <v>719</v>
      </c>
      <c r="J75" s="54" t="s">
        <v>2001</v>
      </c>
      <c r="K75" s="2" t="s">
        <v>34</v>
      </c>
      <c r="L75" s="56">
        <f>0.82*100</f>
        <v>82</v>
      </c>
      <c r="M75" s="14">
        <v>1</v>
      </c>
      <c r="N75" s="14">
        <f>(Tabla13[[#This Row],['[max.'] to reach 100% mortality (mg/L)]]/1000)*1000/Tabla13[[#This Row],[Stock concentration (g/L)]]</f>
        <v>82</v>
      </c>
      <c r="O75" s="48">
        <f>6*Tabla13[[#This Row],[Minimum stock volume (per partner; ml)]]*Tabla13[[#This Row],[Stock concentration (g/L)]]/1000</f>
        <v>0.49199999999999999</v>
      </c>
      <c r="P75" s="49">
        <v>0</v>
      </c>
      <c r="Q75" s="2">
        <v>0.49199999999999999</v>
      </c>
      <c r="R75" s="2" t="s">
        <v>1925</v>
      </c>
    </row>
    <row r="76" spans="1:18" s="2" customFormat="1" ht="165">
      <c r="A76" s="10" t="s">
        <v>721</v>
      </c>
      <c r="B76" s="10"/>
      <c r="C76" s="2" t="str">
        <f>Tabla1[[#This Row],[Formula]]</f>
        <v>C₁₈H₂₄N₂</v>
      </c>
      <c r="D76" s="2" t="str">
        <f>Tabla1[[#This Row],[CAS number]]</f>
        <v>793-24-8</v>
      </c>
      <c r="E76" s="2" t="s">
        <v>2002</v>
      </c>
      <c r="F76" s="2" t="s">
        <v>59</v>
      </c>
      <c r="G76" s="2" t="s">
        <v>724</v>
      </c>
      <c r="H76" s="2" t="s">
        <v>725</v>
      </c>
      <c r="I76" s="2" t="s">
        <v>726</v>
      </c>
      <c r="J76" s="51" t="s">
        <v>2003</v>
      </c>
      <c r="K76" s="2" t="s">
        <v>34</v>
      </c>
      <c r="L76" s="14">
        <f>0.69*100</f>
        <v>69</v>
      </c>
      <c r="M76" s="14">
        <v>50</v>
      </c>
      <c r="N76" s="14">
        <f>(Tabla13[[#This Row],['[max.'] to reach 100% mortality (mg/L)]]/1000)*1000/Tabla13[[#This Row],[Stock concentration (g/L)]]</f>
        <v>1.38</v>
      </c>
      <c r="O76" s="42">
        <f>6*Tabla13[[#This Row],[Minimum stock volume (per partner; ml)]]*Tabla13[[#This Row],[Stock concentration (g/L)]]/1000</f>
        <v>0.41399999999999992</v>
      </c>
      <c r="P76" s="47">
        <v>4.5734239901295569E-2</v>
      </c>
      <c r="Q76" s="2">
        <v>0.41399999999999992</v>
      </c>
    </row>
    <row r="77" spans="1:18" s="2" customFormat="1" ht="68.25" customHeight="1">
      <c r="A77" s="10" t="s">
        <v>728</v>
      </c>
      <c r="B77" s="56"/>
      <c r="C77" s="2" t="str">
        <f>Tabla1[[#This Row],[Formula]]</f>
        <v>C₂₀H₃₀O₅</v>
      </c>
      <c r="D77" s="2" t="str">
        <f>Tabla1[[#This Row],[CAS number]]</f>
        <v>5508-58-7</v>
      </c>
      <c r="E77" s="2" t="s">
        <v>33</v>
      </c>
      <c r="F77" s="2" t="s">
        <v>731</v>
      </c>
      <c r="G77" s="2" t="s">
        <v>732</v>
      </c>
      <c r="H77" s="2" t="s">
        <v>59</v>
      </c>
      <c r="I77" s="2" t="s">
        <v>733</v>
      </c>
      <c r="J77" s="51" t="s">
        <v>2004</v>
      </c>
      <c r="K77" s="124" t="s">
        <v>2005</v>
      </c>
      <c r="L77" s="14">
        <f>3.5*100</f>
        <v>350</v>
      </c>
      <c r="M77" s="14">
        <v>25</v>
      </c>
      <c r="N77" s="14">
        <f>(Tabla13[[#This Row],['[max.'] to reach 100% mortality (mg/L)]]/1000)*1000/Tabla13[[#This Row],[Stock concentration (g/L)]]</f>
        <v>14</v>
      </c>
      <c r="O77" s="40">
        <f>6*Tabla13[[#This Row],[Minimum stock volume (per partner; ml)]]*Tabla13[[#This Row],[Stock concentration (g/L)]]/1000</f>
        <v>2.1</v>
      </c>
      <c r="P77" s="41">
        <v>5.4941564944754644</v>
      </c>
      <c r="Q77" s="2">
        <v>5.4941564944754644</v>
      </c>
      <c r="R77" s="2" t="s">
        <v>1835</v>
      </c>
    </row>
    <row r="78" spans="1:18" s="2" customFormat="1" ht="75">
      <c r="A78" s="10" t="s">
        <v>734</v>
      </c>
      <c r="B78" s="56"/>
      <c r="C78" s="2" t="str">
        <f>Tabla1[[#This Row],[Formula]]</f>
        <v>C7H5NO3S2</v>
      </c>
      <c r="D78" s="2" t="str">
        <f>Tabla1[[#This Row],[CAS number]]</f>
        <v>941-57-1</v>
      </c>
      <c r="E78" s="2" t="s">
        <v>33</v>
      </c>
      <c r="F78" s="2" t="s">
        <v>59</v>
      </c>
      <c r="G78" s="2" t="s">
        <v>59</v>
      </c>
      <c r="H78" s="2" t="s">
        <v>59</v>
      </c>
      <c r="I78" s="2" t="s">
        <v>59</v>
      </c>
      <c r="J78" s="53" t="s">
        <v>2006</v>
      </c>
      <c r="K78" s="2" t="s">
        <v>34</v>
      </c>
      <c r="L78" s="14"/>
      <c r="M78" s="14"/>
      <c r="N78" s="14" t="e">
        <f>(Tabla13[[#This Row],['[max.'] to reach 100% mortality (mg/L)]]/1000)*1000/Tabla13[[#This Row],[Stock concentration (g/L)]]</f>
        <v>#DIV/0!</v>
      </c>
      <c r="O78" s="40" t="s">
        <v>1919</v>
      </c>
      <c r="P78" s="41">
        <v>15.600870307631032</v>
      </c>
      <c r="Q78" s="2">
        <v>15.600870307631032</v>
      </c>
      <c r="R78" s="2" t="s">
        <v>1898</v>
      </c>
    </row>
    <row r="79" spans="1:18" s="2" customFormat="1" ht="75">
      <c r="A79" s="10" t="s">
        <v>738</v>
      </c>
      <c r="B79" s="10"/>
      <c r="C79" s="2" t="str">
        <f>Tabla1[[#This Row],[Formula]]</f>
        <v>C₉H₁₀Cl₂N₂O</v>
      </c>
      <c r="D79" s="2" t="str">
        <f>Tabla1[[#This Row],[CAS number]]</f>
        <v>330-54-1</v>
      </c>
      <c r="E79" s="2" t="s">
        <v>33</v>
      </c>
      <c r="F79" s="2" t="s">
        <v>741</v>
      </c>
      <c r="G79" s="2" t="s">
        <v>742</v>
      </c>
      <c r="H79" s="2" t="s">
        <v>744</v>
      </c>
      <c r="I79" s="2" t="s">
        <v>745</v>
      </c>
      <c r="J79" s="51" t="s">
        <v>2007</v>
      </c>
      <c r="K79" s="2" t="s">
        <v>34</v>
      </c>
      <c r="L79" s="14">
        <f>14.7*100</f>
        <v>1470</v>
      </c>
      <c r="M79" s="14">
        <v>10</v>
      </c>
      <c r="N79" s="14">
        <f>(Tabla13[[#This Row],['[max.'] to reach 100% mortality (mg/L)]]/1000)*1000/Tabla13[[#This Row],[Stock concentration (g/L)]]</f>
        <v>147</v>
      </c>
      <c r="O79" s="42">
        <f>6*Tabla13[[#This Row],[Minimum stock volume (per partner; ml)]]*Tabla13[[#This Row],[Stock concentration (g/L)]]/1000</f>
        <v>8.82</v>
      </c>
      <c r="P79" s="47">
        <v>0.31637802877995191</v>
      </c>
      <c r="Q79" s="2">
        <v>8.82</v>
      </c>
    </row>
    <row r="80" spans="1:18" s="2" customFormat="1" ht="83.25" customHeight="1">
      <c r="A80" s="10" t="s">
        <v>746</v>
      </c>
      <c r="B80" s="10"/>
      <c r="C80" s="2" t="str">
        <f>Tabla1[[#This Row],[Formula]]</f>
        <v>C₁₇H₁₃ClFN₃O</v>
      </c>
      <c r="D80" s="2" t="str">
        <f>Tabla1[[#This Row],[CAS number]]</f>
        <v>133855-98-8</v>
      </c>
      <c r="E80" s="2" t="s">
        <v>33</v>
      </c>
      <c r="F80" s="2" t="s">
        <v>749</v>
      </c>
      <c r="G80" s="2" t="s">
        <v>750</v>
      </c>
      <c r="H80" s="2" t="s">
        <v>752</v>
      </c>
      <c r="I80" s="2" t="s">
        <v>753</v>
      </c>
      <c r="J80" s="51" t="s">
        <v>2008</v>
      </c>
      <c r="K80" s="2" t="s">
        <v>2009</v>
      </c>
      <c r="L80" s="14">
        <f>8.69*100</f>
        <v>869</v>
      </c>
      <c r="M80" s="14">
        <v>100</v>
      </c>
      <c r="N80" s="14">
        <f>(Tabla13[[#This Row],['[max.'] to reach 100% mortality (mg/L)]]/1000)*1000/Tabla13[[#This Row],[Stock concentration (g/L)]]</f>
        <v>8.69</v>
      </c>
      <c r="O80" s="42">
        <f>6*Tabla13[[#This Row],[Minimum stock volume (per partner; ml)]]*Tabla13[[#This Row],[Stock concentration (g/L)]]/1000</f>
        <v>5.2140000000000004</v>
      </c>
      <c r="P80" s="47">
        <v>0.17035680283598012</v>
      </c>
      <c r="Q80" s="2">
        <v>5.2140000000000004</v>
      </c>
    </row>
    <row r="81" spans="1:18" s="2" customFormat="1" ht="90">
      <c r="A81" s="10" t="s">
        <v>754</v>
      </c>
      <c r="B81" s="10"/>
      <c r="C81" s="2" t="str">
        <f>Tabla1[[#This Row],[Formula]]</f>
        <v>C₆H₅N₃</v>
      </c>
      <c r="D81" s="2" t="str">
        <f>Tabla1[[#This Row],[CAS number]]</f>
        <v>95-14-7</v>
      </c>
      <c r="E81" s="2" t="s">
        <v>33</v>
      </c>
      <c r="F81" s="2" t="s">
        <v>757</v>
      </c>
      <c r="G81" s="2" t="s">
        <v>758</v>
      </c>
      <c r="H81" s="2" t="s">
        <v>760</v>
      </c>
      <c r="I81" s="2" t="s">
        <v>761</v>
      </c>
      <c r="J81" s="51" t="s">
        <v>2010</v>
      </c>
      <c r="K81" s="2" t="s">
        <v>34</v>
      </c>
      <c r="L81" s="14">
        <f>180*100</f>
        <v>18000</v>
      </c>
      <c r="M81" s="14">
        <v>100</v>
      </c>
      <c r="N81" s="14">
        <f>(Tabla13[[#This Row],['[max.'] to reach 100% mortality (mg/L)]]/1000)*1000/Tabla13[[#This Row],[Stock concentration (g/L)]]</f>
        <v>180</v>
      </c>
      <c r="O81" s="42">
        <f>6*Tabla13[[#This Row],[Minimum stock volume (per partner; ml)]]*Tabla13[[#This Row],[Stock concentration (g/L)]]/1000</f>
        <v>108</v>
      </c>
      <c r="P81" s="47">
        <v>3.4056703545375764</v>
      </c>
      <c r="Q81" s="2">
        <v>108</v>
      </c>
    </row>
    <row r="82" spans="1:18" s="2" customFormat="1" ht="61.5" customHeight="1">
      <c r="A82" s="10" t="s">
        <v>762</v>
      </c>
      <c r="B82" s="10"/>
      <c r="C82" s="2" t="str">
        <f>Tabla1[[#This Row],[Formula]]</f>
        <v>C₁₀H₁₂O₃</v>
      </c>
      <c r="D82" s="2" t="str">
        <f>Tabla1[[#This Row],[CAS number]]</f>
        <v>94-13-3</v>
      </c>
      <c r="E82" s="2" t="s">
        <v>33</v>
      </c>
      <c r="F82" s="2" t="s">
        <v>765</v>
      </c>
      <c r="G82" s="2" t="s">
        <v>766</v>
      </c>
      <c r="H82" s="2" t="s">
        <v>767</v>
      </c>
      <c r="I82" s="2" t="s">
        <v>768</v>
      </c>
      <c r="J82" s="51" t="s">
        <v>2011</v>
      </c>
      <c r="K82" s="2" t="s">
        <v>2012</v>
      </c>
      <c r="L82" s="14">
        <f>15.4*100</f>
        <v>1540</v>
      </c>
      <c r="M82" s="14">
        <v>36</v>
      </c>
      <c r="N82" s="14">
        <f>(Tabla13[[#This Row],['[max.'] to reach 100% mortality (mg/L)]]/1000)*1000/Tabla13[[#This Row],[Stock concentration (g/L)]]</f>
        <v>42.777777777777779</v>
      </c>
      <c r="O82" s="42">
        <f>6*Tabla13[[#This Row],[Minimum stock volume (per partner; ml)]]*Tabla13[[#This Row],[Stock concentration (g/L)]]/1000</f>
        <v>9.24</v>
      </c>
      <c r="P82" s="47">
        <v>0.16787017297007178</v>
      </c>
      <c r="Q82" s="2">
        <v>9.24</v>
      </c>
    </row>
    <row r="83" spans="1:18" s="2" customFormat="1" ht="120">
      <c r="A83" s="10" t="s">
        <v>769</v>
      </c>
      <c r="B83" s="10"/>
      <c r="C83" s="2" t="str">
        <f>Tabla1[[#This Row],[Formula]]</f>
        <v>C₁₅H₂₂ClNO₂</v>
      </c>
      <c r="D83" s="2" t="str">
        <f>Tabla1[[#This Row],[CAS number]]</f>
        <v>51218-45-2</v>
      </c>
      <c r="E83" s="22" t="s">
        <v>776</v>
      </c>
      <c r="F83" s="2" t="s">
        <v>772</v>
      </c>
      <c r="G83" s="2" t="s">
        <v>773</v>
      </c>
      <c r="H83" s="2" t="s">
        <v>774</v>
      </c>
      <c r="I83" s="2" t="s">
        <v>775</v>
      </c>
      <c r="J83" s="53" t="s">
        <v>2013</v>
      </c>
      <c r="K83" s="124" t="s">
        <v>2014</v>
      </c>
      <c r="L83" s="14">
        <f>25.1*100</f>
        <v>2510</v>
      </c>
      <c r="M83" s="14">
        <v>200</v>
      </c>
      <c r="N83" s="14">
        <f>(Tabla13[[#This Row],['[max.'] to reach 100% mortality (mg/L)]]/1000)*1000/Tabla13[[#This Row],[Stock concentration (g/L)]]</f>
        <v>12.55</v>
      </c>
      <c r="O83" s="42">
        <f>6*Tabla13[[#This Row],[Minimum stock volume (per partner; ml)]]*Tabla13[[#This Row],[Stock concentration (g/L)]]/1000</f>
        <v>15.060000000000002</v>
      </c>
      <c r="P83" s="47">
        <v>0.79685309478236832</v>
      </c>
      <c r="Q83" s="2">
        <v>15.060000000000002</v>
      </c>
    </row>
    <row r="84" spans="1:18" s="2" customFormat="1" ht="125.25" customHeight="1">
      <c r="A84" s="10" t="s">
        <v>777</v>
      </c>
      <c r="B84" s="10"/>
      <c r="C84" s="2" t="str">
        <f>Tabla1[[#This Row],[Formula]]</f>
        <v>C₁₉H₂₇N₃O₅S₂</v>
      </c>
      <c r="D84" s="2" t="str">
        <f>Tabla1[[#This Row],[CAS number]]</f>
        <v>115256-11-6</v>
      </c>
      <c r="E84" s="22" t="s">
        <v>784</v>
      </c>
      <c r="F84" s="2" t="s">
        <v>780</v>
      </c>
      <c r="G84" s="2" t="s">
        <v>781</v>
      </c>
      <c r="H84" s="2" t="s">
        <v>782</v>
      </c>
      <c r="I84" s="2" t="s">
        <v>783</v>
      </c>
      <c r="J84" s="53" t="s">
        <v>2015</v>
      </c>
      <c r="K84" s="2" t="s">
        <v>2016</v>
      </c>
      <c r="L84" s="14">
        <f>23*100</f>
        <v>2300</v>
      </c>
      <c r="M84" s="14">
        <v>100</v>
      </c>
      <c r="N84" s="14">
        <f>(Tabla13[[#This Row],['[max.'] to reach 100% mortality (mg/L)]]/1000)*1000/Tabla13[[#This Row],[Stock concentration (g/L)]]</f>
        <v>23</v>
      </c>
      <c r="O84" s="37">
        <f>6*Tabla13[[#This Row],[Minimum stock volume (per partner; ml)]]*Tabla13[[#This Row],[Stock concentration (g/L)]]/1000</f>
        <v>13.8</v>
      </c>
      <c r="P84" s="38">
        <v>7.8440958302230053</v>
      </c>
      <c r="Q84" s="2">
        <v>13.8</v>
      </c>
      <c r="R84" s="2" t="s">
        <v>1925</v>
      </c>
    </row>
    <row r="85" spans="1:18" s="2" customFormat="1" ht="51.75" customHeight="1">
      <c r="A85" s="10" t="s">
        <v>785</v>
      </c>
      <c r="B85" s="118"/>
      <c r="C85" s="2" t="str">
        <f>Tabla1[[#This Row],[Formula]]</f>
        <v>C₉H₇NO</v>
      </c>
      <c r="D85" s="2" t="str">
        <f>Tabla1[[#This Row],[CAS number]]</f>
        <v>148-24-3</v>
      </c>
      <c r="E85" s="2" t="s">
        <v>792</v>
      </c>
      <c r="F85" s="2" t="s">
        <v>189</v>
      </c>
      <c r="G85" s="2" t="s">
        <v>788</v>
      </c>
      <c r="H85" s="2" t="s">
        <v>790</v>
      </c>
      <c r="I85" s="2" t="s">
        <v>791</v>
      </c>
      <c r="J85" s="51" t="s">
        <v>2017</v>
      </c>
      <c r="K85" s="2" t="s">
        <v>2018</v>
      </c>
      <c r="L85" s="14">
        <f>18*100</f>
        <v>1800</v>
      </c>
      <c r="M85" s="14">
        <v>50</v>
      </c>
      <c r="N85" s="14">
        <f>(Tabla13[[#This Row],['[max.'] to reach 100% mortality (mg/L)]]/1000)*1000/Tabla13[[#This Row],[Stock concentration (g/L)]]</f>
        <v>36</v>
      </c>
      <c r="O85" s="42">
        <f>6*Tabla13[[#This Row],[Minimum stock volume (per partner; ml)]]*Tabla13[[#This Row],[Stock concentration (g/L)]]/1000</f>
        <v>10.8</v>
      </c>
      <c r="P85" s="47">
        <v>1.2020378986178006</v>
      </c>
      <c r="Q85" s="2">
        <v>10.8</v>
      </c>
    </row>
    <row r="86" spans="1:18" s="2" customFormat="1" ht="56.25" customHeight="1">
      <c r="A86" s="10" t="s">
        <v>793</v>
      </c>
      <c r="B86" s="118"/>
      <c r="C86" s="2" t="str">
        <f>Tabla1[[#This Row],[Formula]]</f>
        <v>C₁₅H₉N</v>
      </c>
      <c r="D86" s="2" t="str">
        <f>Tabla1[[#This Row],[CAS number]]</f>
        <v>1210-12-4</v>
      </c>
      <c r="E86" s="2" t="s">
        <v>33</v>
      </c>
      <c r="F86" s="2" t="s">
        <v>59</v>
      </c>
      <c r="G86" s="2" t="s">
        <v>796</v>
      </c>
      <c r="H86" s="2" t="s">
        <v>59</v>
      </c>
      <c r="I86" s="2" t="s">
        <v>59</v>
      </c>
      <c r="J86" s="51" t="s">
        <v>2019</v>
      </c>
      <c r="K86" s="124" t="s">
        <v>2020</v>
      </c>
      <c r="L86" s="14"/>
      <c r="M86" s="14"/>
      <c r="N86" s="14" t="e">
        <f>(Tabla13[[#This Row],['[max.'] to reach 100% mortality (mg/L)]]/1000)*1000/Tabla13[[#This Row],[Stock concentration (g/L)]]</f>
        <v>#DIV/0!</v>
      </c>
      <c r="O86" s="40" t="s">
        <v>1919</v>
      </c>
      <c r="P86" s="41">
        <v>168.64954495547545</v>
      </c>
      <c r="Q86" s="2">
        <v>168.64954495547545</v>
      </c>
      <c r="R86" s="2" t="s">
        <v>1898</v>
      </c>
    </row>
    <row r="87" spans="1:18" s="2" customFormat="1" ht="56.25" customHeight="1">
      <c r="A87" s="10" t="s">
        <v>797</v>
      </c>
      <c r="B87" s="118"/>
      <c r="C87" s="2" t="str">
        <f>Tabla1[[#This Row],[Formula]]</f>
        <v>C₁₄H₁₁N</v>
      </c>
      <c r="D87" s="2" t="str">
        <f>Tabla1[[#This Row],[CAS number]]</f>
        <v>256-96-2</v>
      </c>
      <c r="E87" s="22" t="s">
        <v>802</v>
      </c>
      <c r="F87" s="2" t="s">
        <v>800</v>
      </c>
      <c r="G87" s="2" t="s">
        <v>59</v>
      </c>
      <c r="H87" s="2" t="s">
        <v>59</v>
      </c>
      <c r="I87" s="2" t="s">
        <v>59</v>
      </c>
      <c r="J87" s="51" t="s">
        <v>2021</v>
      </c>
      <c r="K87" s="124" t="s">
        <v>2022</v>
      </c>
      <c r="L87" s="14"/>
      <c r="M87" s="14"/>
      <c r="N87" s="14" t="e">
        <f>(Tabla13[[#This Row],['[max.'] to reach 100% mortality (mg/L)]]/1000)*1000/Tabla13[[#This Row],[Stock concentration (g/L)]]</f>
        <v>#DIV/0!</v>
      </c>
      <c r="O87" s="40" t="s">
        <v>1919</v>
      </c>
      <c r="P87" s="41">
        <v>0.1522714767372908</v>
      </c>
      <c r="Q87" s="2">
        <v>0.1522714767372908</v>
      </c>
      <c r="R87" s="2" t="s">
        <v>1898</v>
      </c>
    </row>
    <row r="88" spans="1:18" s="2" customFormat="1" ht="72" customHeight="1">
      <c r="A88" s="10" t="s">
        <v>804</v>
      </c>
      <c r="B88" s="10"/>
      <c r="C88" s="2" t="str">
        <f>Tabla1[[#This Row],[Formula]]</f>
        <v>C₅₆H₈₁NO₁₅</v>
      </c>
      <c r="D88" s="2" t="str">
        <f>Tabla1[[#This Row],[CAS number]]</f>
        <v>155569-91-8</v>
      </c>
      <c r="E88" s="2" t="s">
        <v>33</v>
      </c>
      <c r="F88" s="2" t="s">
        <v>92</v>
      </c>
      <c r="G88" s="2" t="s">
        <v>807</v>
      </c>
      <c r="H88" s="2" t="s">
        <v>809</v>
      </c>
      <c r="I88" s="2" t="s">
        <v>810</v>
      </c>
      <c r="J88" s="2" t="s">
        <v>2023</v>
      </c>
      <c r="K88" s="2" t="s">
        <v>2024</v>
      </c>
      <c r="L88" s="14">
        <f>0.17*100</f>
        <v>17</v>
      </c>
      <c r="M88" s="14">
        <v>1</v>
      </c>
      <c r="N88" s="14">
        <f>(Tabla13[[#This Row],['[max.'] to reach 100% mortality (mg/L)]]/1000)*1000/Tabla13[[#This Row],[Stock concentration (g/L)]]</f>
        <v>17</v>
      </c>
      <c r="O88" s="42">
        <f>6*Tabla13[[#This Row],[Minimum stock volume (per partner; ml)]]*Tabla13[[#This Row],[Stock concentration (g/L)]]/1000</f>
        <v>0.10199999999999999</v>
      </c>
      <c r="P88" s="47">
        <v>0.18714088158626646</v>
      </c>
      <c r="Q88" s="2">
        <v>0.18714088158626646</v>
      </c>
    </row>
    <row r="89" spans="1:18" s="2" customFormat="1" ht="72" customHeight="1">
      <c r="A89" s="10" t="s">
        <v>811</v>
      </c>
      <c r="B89" s="10"/>
      <c r="C89" s="2" t="str">
        <f>Tabla1[[#This Row],[Formula]]</f>
        <v>C₄₈H₇₂O₁₄.C₄₇H₇₀O₁₄</v>
      </c>
      <c r="D89" s="2" t="str">
        <f>Tabla1[[#This Row],[CAS number]]</f>
        <v>71751-41-2</v>
      </c>
      <c r="E89" s="22" t="s">
        <v>327</v>
      </c>
      <c r="F89" s="2" t="s">
        <v>92</v>
      </c>
      <c r="G89" s="2" t="s">
        <v>814</v>
      </c>
      <c r="H89" s="2" t="s">
        <v>816</v>
      </c>
      <c r="I89" s="2" t="s">
        <v>817</v>
      </c>
      <c r="J89" s="2" t="s">
        <v>2025</v>
      </c>
      <c r="K89" s="124" t="s">
        <v>2026</v>
      </c>
      <c r="L89" s="14">
        <f>0.004*100</f>
        <v>0.4</v>
      </c>
      <c r="M89" s="14">
        <v>1</v>
      </c>
      <c r="N89" s="14">
        <f>(Tabla13[[#This Row],['[max.'] to reach 100% mortality (mg/L)]]/1000)*1000/Tabla13[[#This Row],[Stock concentration (g/L)]]</f>
        <v>0.4</v>
      </c>
      <c r="O89" s="42">
        <f>6*Tabla13[[#This Row],[Minimum stock volume (per partner; ml)]]*Tabla13[[#This Row],[Stock concentration (g/L)]]/1000</f>
        <v>2.4000000000000002E-3</v>
      </c>
      <c r="P89" s="47">
        <v>0.19437158455525941</v>
      </c>
      <c r="Q89" s="2">
        <v>0.19437158455525941</v>
      </c>
    </row>
    <row r="90" spans="1:18" s="2" customFormat="1" ht="72" customHeight="1">
      <c r="A90" s="10" t="s">
        <v>819</v>
      </c>
      <c r="B90" s="10"/>
      <c r="C90" s="2" t="str">
        <f>Tabla1[[#This Row],[Formula]]</f>
        <v>C₁₈H₁₆OSn</v>
      </c>
      <c r="D90" s="2" t="str">
        <f>Tabla1[[#This Row],[CAS number]]</f>
        <v>76-87-9</v>
      </c>
      <c r="E90" s="22" t="s">
        <v>295</v>
      </c>
      <c r="F90" s="7" t="s">
        <v>822</v>
      </c>
      <c r="G90" s="2" t="s">
        <v>823</v>
      </c>
      <c r="H90" s="2" t="s">
        <v>825</v>
      </c>
      <c r="I90" s="2" t="s">
        <v>826</v>
      </c>
      <c r="J90" s="2" t="s">
        <v>2027</v>
      </c>
      <c r="K90" s="125" t="s">
        <v>2028</v>
      </c>
      <c r="L90" s="14">
        <f>0.0087*100</f>
        <v>0.86999999999999988</v>
      </c>
      <c r="M90" s="14">
        <v>1</v>
      </c>
      <c r="N90" s="14">
        <f>(Tabla13[[#This Row],['[max.'] to reach 100% mortality (mg/L)]]/1000)*1000/Tabla13[[#This Row],[Stock concentration (g/L)]]</f>
        <v>0.86999999999999988</v>
      </c>
      <c r="O90" s="42">
        <f>6*Tabla13[[#This Row],[Minimum stock volume (per partner; ml)]]*Tabla13[[#This Row],[Stock concentration (g/L)]]/1000</f>
        <v>5.2199999999999989E-3</v>
      </c>
      <c r="P90" s="47">
        <v>0.15355307139016874</v>
      </c>
      <c r="Q90" s="2">
        <v>0.15355307139016874</v>
      </c>
    </row>
    <row r="91" spans="1:18" s="2" customFormat="1" ht="63" customHeight="1">
      <c r="A91" s="10" t="s">
        <v>828</v>
      </c>
      <c r="B91" s="10"/>
      <c r="C91" s="2" t="str">
        <f>Tabla1[[#This Row],[Formula]]</f>
        <v>C₃₁H₄₄O₇ (A3)  C₃₂H₄₆O₇ (A4)</v>
      </c>
      <c r="D91" s="2" t="str">
        <f>Tabla1[[#This Row],[CAS number]]</f>
        <v>NOCAS</v>
      </c>
      <c r="E91" s="2" t="s">
        <v>33</v>
      </c>
      <c r="F91" s="7" t="s">
        <v>154</v>
      </c>
      <c r="G91" s="2" t="s">
        <v>831</v>
      </c>
      <c r="H91" s="2" t="s">
        <v>832</v>
      </c>
      <c r="I91" s="2" t="s">
        <v>833</v>
      </c>
      <c r="J91" s="9" t="s">
        <v>2029</v>
      </c>
      <c r="K91" s="2" t="s">
        <v>2030</v>
      </c>
      <c r="L91" s="14">
        <f>(35/1000)*100</f>
        <v>3.5000000000000004</v>
      </c>
      <c r="M91" s="14">
        <v>1</v>
      </c>
      <c r="N91" s="14">
        <f>(Tabla13[[#This Row],['[max.'] to reach 100% mortality (mg/L)]]/1000)*1000/Tabla13[[#This Row],[Stock concentration (g/L)]]</f>
        <v>3.5000000000000004</v>
      </c>
      <c r="O91" s="42">
        <f>6*Tabla13[[#This Row],[Minimum stock volume (per partner; ml)]]*Tabla13[[#This Row],[Stock concentration (g/L)]]/1000</f>
        <v>2.1000000000000005E-2</v>
      </c>
      <c r="P91" s="47" t="e">
        <v>#VALUE!</v>
      </c>
      <c r="Q91" s="2" t="e">
        <v>#VALUE!</v>
      </c>
    </row>
    <row r="92" spans="1:18" s="2" customFormat="1" ht="65.25" customHeight="1">
      <c r="A92" s="10" t="s">
        <v>834</v>
      </c>
      <c r="B92" s="10"/>
      <c r="C92" s="2" t="str">
        <f>Tabla1[[#This Row],[Formula]]</f>
        <v>C₁₆H₃₂O₂Sn</v>
      </c>
      <c r="D92" s="2" t="str">
        <f>Tabla1[[#This Row],[CAS number]]</f>
        <v>2155-70-6</v>
      </c>
      <c r="E92" s="22" t="s">
        <v>839</v>
      </c>
      <c r="F92" s="2" t="s">
        <v>59</v>
      </c>
      <c r="G92" s="2" t="s">
        <v>837</v>
      </c>
      <c r="H92" s="2" t="s">
        <v>838</v>
      </c>
      <c r="I92" s="2" t="s">
        <v>59</v>
      </c>
      <c r="J92" s="57" t="s">
        <v>2031</v>
      </c>
      <c r="K92" s="124" t="s">
        <v>2032</v>
      </c>
      <c r="L92" s="14">
        <f>0.41*100</f>
        <v>41</v>
      </c>
      <c r="M92" s="14">
        <v>10</v>
      </c>
      <c r="N92" s="14">
        <f>(Tabla13[[#This Row],['[max.'] to reach 100% mortality (mg/L)]]/1000)*1000/Tabla13[[#This Row],[Stock concentration (g/L)]]</f>
        <v>4.0999999999999996</v>
      </c>
      <c r="O92" s="43">
        <f>6*Tabla13[[#This Row],[Minimum stock volume (per partner; ml)]]*Tabla13[[#This Row],[Stock concentration (g/L)]]/1000</f>
        <v>0.24599999999999997</v>
      </c>
      <c r="P92" s="44" t="e">
        <v>#VALUE!</v>
      </c>
      <c r="Q92" s="2" t="e">
        <v>#VALUE!</v>
      </c>
      <c r="R92" s="2" t="s">
        <v>1835</v>
      </c>
    </row>
    <row r="93" spans="1:18" s="2" customFormat="1" ht="75">
      <c r="A93" s="10" t="s">
        <v>840</v>
      </c>
      <c r="B93" s="10"/>
      <c r="C93" s="2" t="str">
        <f>Tabla1[[#This Row],[Formula]]</f>
        <v>C₁₉H₂₅ClN₂OS</v>
      </c>
      <c r="D93" s="2" t="str">
        <f>Tabla1[[#This Row],[CAS number]]</f>
        <v>96489-71-3</v>
      </c>
      <c r="E93" s="2" t="s">
        <v>33</v>
      </c>
      <c r="F93" s="2" t="s">
        <v>843</v>
      </c>
      <c r="G93" s="2" t="s">
        <v>844</v>
      </c>
      <c r="H93" s="2" t="s">
        <v>845</v>
      </c>
      <c r="I93" s="2" t="s">
        <v>846</v>
      </c>
      <c r="J93" s="5" t="s">
        <v>2033</v>
      </c>
      <c r="K93" s="125" t="s">
        <v>2034</v>
      </c>
      <c r="L93" s="14">
        <f>(0.72/1000)*100</f>
        <v>7.1999999999999995E-2</v>
      </c>
      <c r="M93" s="14">
        <v>1</v>
      </c>
      <c r="N93" s="14">
        <f>(Tabla13[[#This Row],['[max.'] to reach 100% mortality (mg/L)]]/1000)*1000/Tabla13[[#This Row],[Stock concentration (g/L)]]</f>
        <v>7.1999999999999995E-2</v>
      </c>
      <c r="O93" s="42">
        <f>6*Tabla13[[#This Row],[Minimum stock volume (per partner; ml)]]*Tabla13[[#This Row],[Stock concentration (g/L)]]/1000</f>
        <v>4.3199999999999993E-4</v>
      </c>
      <c r="P93" s="47">
        <v>4.3353940638914533E-2</v>
      </c>
      <c r="Q93" s="2">
        <v>4.3353940638914533E-2</v>
      </c>
    </row>
    <row r="94" spans="1:18" s="2" customFormat="1" ht="103.5" customHeight="1">
      <c r="A94" s="10" t="s">
        <v>847</v>
      </c>
      <c r="B94" s="56"/>
      <c r="C94" s="2" t="str">
        <f>Tabla1[[#This Row],[Formula]]</f>
        <v>C₂₅H₃₀ClN₃</v>
      </c>
      <c r="D94" s="2" t="str">
        <f>Tabla1[[#This Row],[CAS number]]</f>
        <v>548-62-9</v>
      </c>
      <c r="E94" s="2" t="s">
        <v>33</v>
      </c>
      <c r="F94" s="2" t="s">
        <v>850</v>
      </c>
      <c r="G94" s="2" t="s">
        <v>851</v>
      </c>
      <c r="H94" s="2" t="s">
        <v>852</v>
      </c>
      <c r="I94" s="2" t="s">
        <v>853</v>
      </c>
      <c r="J94" s="2" t="s">
        <v>2035</v>
      </c>
      <c r="K94" s="2" t="s">
        <v>2036</v>
      </c>
      <c r="L94" s="14">
        <f>0.5*100</f>
        <v>50</v>
      </c>
      <c r="M94" s="14">
        <v>20</v>
      </c>
      <c r="N94" s="14">
        <f>(Tabla13[[#This Row],['[max.'] to reach 100% mortality (mg/L)]]/1000)*1000/Tabla13[[#This Row],[Stock concentration (g/L)]]</f>
        <v>2.5</v>
      </c>
      <c r="O94" s="42">
        <f>6*Tabla13[[#This Row],[Minimum stock volume (per partner; ml)]]*Tabla13[[#This Row],[Stock concentration (g/L)]]/1000</f>
        <v>0.3</v>
      </c>
      <c r="P94" s="47" t="e">
        <v>#VALUE!</v>
      </c>
      <c r="Q94" s="2" t="e">
        <v>#VALUE!</v>
      </c>
    </row>
    <row r="95" spans="1:18" s="2" customFormat="1" ht="83.25" customHeight="1">
      <c r="A95" s="10" t="s">
        <v>854</v>
      </c>
      <c r="B95" s="10"/>
      <c r="C95" s="2" t="str">
        <f>Tabla1[[#This Row],[Formula]]</f>
        <v>C₉H₁₇ClN₃O₃PS</v>
      </c>
      <c r="D95" s="2" t="str">
        <f>Tabla1[[#This Row],[CAS number]]</f>
        <v>42509-80-8</v>
      </c>
      <c r="E95" s="22" t="s">
        <v>584</v>
      </c>
      <c r="F95" s="7" t="s">
        <v>857</v>
      </c>
      <c r="G95" s="2" t="s">
        <v>858</v>
      </c>
      <c r="H95" s="2" t="s">
        <v>859</v>
      </c>
      <c r="I95" s="2" t="s">
        <v>860</v>
      </c>
      <c r="J95" s="2" t="s">
        <v>2037</v>
      </c>
      <c r="K95" s="2" t="s">
        <v>2038</v>
      </c>
      <c r="L95" s="14">
        <f>0.5*100</f>
        <v>50</v>
      </c>
      <c r="M95" s="14">
        <v>50</v>
      </c>
      <c r="N95" s="14">
        <f>(Tabla13[[#This Row],['[max.'] to reach 100% mortality (mg/L)]]/1000)*1000/Tabla13[[#This Row],[Stock concentration (g/L)]]</f>
        <v>1</v>
      </c>
      <c r="O95" s="42">
        <f>6*Tabla13[[#This Row],[Minimum stock volume (per partner; ml)]]*Tabla13[[#This Row],[Stock concentration (g/L)]]/1000</f>
        <v>0.3</v>
      </c>
      <c r="P95" s="47">
        <v>0.17670440899950471</v>
      </c>
      <c r="Q95" s="2">
        <v>0.3</v>
      </c>
    </row>
    <row r="96" spans="1:18" s="2" customFormat="1" ht="101.25" customHeight="1">
      <c r="A96" s="10" t="s">
        <v>861</v>
      </c>
      <c r="B96" s="10"/>
      <c r="C96" s="2" t="str">
        <f>Tabla1[[#This Row],[Formula]]</f>
        <v>C₁₅H₈Cl₂FNO</v>
      </c>
      <c r="D96" s="2" t="str">
        <f>Tabla1[[#This Row],[CAS number]]</f>
        <v>124495-18-7</v>
      </c>
      <c r="E96" s="2" t="s">
        <v>33</v>
      </c>
      <c r="F96" s="2" t="s">
        <v>864</v>
      </c>
      <c r="G96" s="2" t="s">
        <v>865</v>
      </c>
      <c r="H96" s="2" t="s">
        <v>866</v>
      </c>
      <c r="I96" s="2" t="s">
        <v>867</v>
      </c>
      <c r="J96" s="2" t="s">
        <v>2039</v>
      </c>
      <c r="K96" s="2" t="s">
        <v>2040</v>
      </c>
      <c r="L96" s="14">
        <f>0.42*100</f>
        <v>42</v>
      </c>
      <c r="M96" s="14">
        <v>20</v>
      </c>
      <c r="N96" s="14">
        <f>(Tabla13[[#This Row],['[max.'] to reach 100% mortality (mg/L)]]/1000)*1000/Tabla13[[#This Row],[Stock concentration (g/L)]]</f>
        <v>2.1</v>
      </c>
      <c r="O96" s="42">
        <f>6*Tabla13[[#This Row],[Minimum stock volume (per partner; ml)]]*Tabla13[[#This Row],[Stock concentration (g/L)]]/1000</f>
        <v>0.252</v>
      </c>
      <c r="P96" s="47">
        <v>6.7146765477151912E-2</v>
      </c>
      <c r="Q96" s="2">
        <v>0.252</v>
      </c>
    </row>
    <row r="97" spans="1:18" s="2" customFormat="1" ht="101.25" customHeight="1">
      <c r="A97" s="10" t="s">
        <v>868</v>
      </c>
      <c r="B97" s="10"/>
      <c r="C97" s="2" t="str">
        <f>Tabla1[[#This Row],[Formula]]</f>
        <v>C₁₈H₂₄ClN₃O</v>
      </c>
      <c r="D97" s="2" t="str">
        <f>Tabla1[[#This Row],[CAS number]]</f>
        <v>119168-77-3</v>
      </c>
      <c r="E97" s="2" t="s">
        <v>33</v>
      </c>
      <c r="F97" s="7" t="s">
        <v>871</v>
      </c>
      <c r="G97" s="2" t="s">
        <v>872</v>
      </c>
      <c r="H97" s="2" t="s">
        <v>873</v>
      </c>
      <c r="I97" s="2" t="s">
        <v>874</v>
      </c>
      <c r="J97" s="2" t="s">
        <v>2041</v>
      </c>
      <c r="K97" s="2" t="s">
        <v>2042</v>
      </c>
      <c r="L97" s="14">
        <f>0.046*100</f>
        <v>4.5999999999999996</v>
      </c>
      <c r="M97" s="14">
        <v>5</v>
      </c>
      <c r="N97" s="14">
        <f>(Tabla13[[#This Row],['[max.'] to reach 100% mortality (mg/L)]]/1000)*1000/Tabla13[[#This Row],[Stock concentration (g/L)]]</f>
        <v>0.91999999999999993</v>
      </c>
      <c r="O97" s="42">
        <f>6*Tabla13[[#This Row],[Minimum stock volume (per partner; ml)]]*Tabla13[[#This Row],[Stock concentration (g/L)]]/1000</f>
        <v>2.76E-2</v>
      </c>
      <c r="P97" s="47">
        <v>0.10243555860100201</v>
      </c>
      <c r="Q97" s="2">
        <v>0.10243555860100201</v>
      </c>
    </row>
    <row r="98" spans="1:18" s="2" customFormat="1" ht="78.75" customHeight="1">
      <c r="A98" s="10" t="s">
        <v>875</v>
      </c>
      <c r="B98" s="10"/>
      <c r="C98" s="2" t="str">
        <f>Tabla1[[#This Row],[Formula]]</f>
        <v>C₂₄H₂₇N₃O₄</v>
      </c>
      <c r="D98" s="2" t="str">
        <f>Tabla1[[#This Row],[CAS number]]</f>
        <v>111812-58-9</v>
      </c>
      <c r="E98" s="2" t="s">
        <v>33</v>
      </c>
      <c r="F98" s="2" t="s">
        <v>878</v>
      </c>
      <c r="G98" s="2" t="s">
        <v>44</v>
      </c>
      <c r="H98" s="2" t="s">
        <v>879</v>
      </c>
      <c r="I98" s="2" t="s">
        <v>880</v>
      </c>
      <c r="J98" s="2" t="s">
        <v>2043</v>
      </c>
      <c r="K98" s="124" t="s">
        <v>2044</v>
      </c>
      <c r="L98" s="14">
        <f>0.2*100</f>
        <v>20</v>
      </c>
      <c r="M98" s="14">
        <v>5</v>
      </c>
      <c r="N98" s="14">
        <f>(Tabla13[[#This Row],['[max.'] to reach 100% mortality (mg/L)]]/1000)*1000/Tabla13[[#This Row],[Stock concentration (g/L)]]</f>
        <v>4</v>
      </c>
      <c r="O98" s="42">
        <f>6*Tabla13[[#This Row],[Minimum stock volume (per partner; ml)]]*Tabla13[[#This Row],[Stock concentration (g/L)]]/1000</f>
        <v>0.12</v>
      </c>
      <c r="P98" s="47">
        <v>9.9893026914756836E-2</v>
      </c>
      <c r="Q98" s="2">
        <v>0.12</v>
      </c>
    </row>
    <row r="99" spans="1:18" s="2" customFormat="1" ht="141.75" customHeight="1">
      <c r="A99" s="10" t="s">
        <v>881</v>
      </c>
      <c r="B99" s="10"/>
      <c r="C99" s="2" t="str">
        <f>Tabla1[[#This Row],[Formula]]</f>
        <v>C₂₀H₁₂</v>
      </c>
      <c r="D99" s="2" t="str">
        <f>Tabla1[[#This Row],[CAS number]]</f>
        <v>205-99-2</v>
      </c>
      <c r="E99" s="2" t="s">
        <v>33</v>
      </c>
      <c r="F99" s="2" t="s">
        <v>59</v>
      </c>
      <c r="G99" s="2" t="s">
        <v>883</v>
      </c>
      <c r="H99" s="2" t="s">
        <v>885</v>
      </c>
      <c r="I99" s="2" t="s">
        <v>2045</v>
      </c>
      <c r="J99" s="2" t="s">
        <v>2046</v>
      </c>
      <c r="K99" s="2" t="s">
        <v>2047</v>
      </c>
      <c r="L99" s="14">
        <f>1.024*100</f>
        <v>102.4</v>
      </c>
      <c r="M99" s="14">
        <v>5</v>
      </c>
      <c r="N99" s="14">
        <f>(Tabla13[[#This Row],['[max.'] to reach 100% mortality (mg/L)]]/1000)*1000/Tabla13[[#This Row],[Stock concentration (g/L)]]</f>
        <v>20.48</v>
      </c>
      <c r="O99" s="42">
        <f>6*Tabla13[[#This Row],[Minimum stock volume (per partner; ml)]]*Tabla13[[#This Row],[Stock concentration (g/L)]]/1000</f>
        <v>0.61439999999999995</v>
      </c>
      <c r="P99" s="47">
        <v>2.597567150294082E-2</v>
      </c>
      <c r="Q99" s="2">
        <v>0.61439999999999995</v>
      </c>
    </row>
    <row r="100" spans="1:18" s="2" customFormat="1" ht="61.5" customHeight="1">
      <c r="A100" s="10" t="s">
        <v>887</v>
      </c>
      <c r="B100" s="10"/>
      <c r="C100" s="2" t="str">
        <f>Tabla1[[#This Row],[Formula]]</f>
        <v>C₁₄H₁₄NO₄PS</v>
      </c>
      <c r="D100" s="2" t="str">
        <f>Tabla1[[#This Row],[CAS number]]</f>
        <v>2104-64-5</v>
      </c>
      <c r="E100" s="22" t="s">
        <v>295</v>
      </c>
      <c r="F100" s="2" t="s">
        <v>890</v>
      </c>
      <c r="G100" s="2" t="s">
        <v>891</v>
      </c>
      <c r="H100" s="2" t="s">
        <v>892</v>
      </c>
      <c r="I100" s="2" t="s">
        <v>893</v>
      </c>
      <c r="J100" s="2" t="s">
        <v>2048</v>
      </c>
      <c r="K100" s="2" t="s">
        <v>2049</v>
      </c>
      <c r="L100" s="14">
        <f>0.11*100</f>
        <v>11</v>
      </c>
      <c r="M100" s="14">
        <v>5</v>
      </c>
      <c r="N100" s="14">
        <f>(Tabla13[[#This Row],['[max.'] to reach 100% mortality (mg/L)]]/1000)*1000/Tabla13[[#This Row],[Stock concentration (g/L)]]</f>
        <v>2.2000000000000002</v>
      </c>
      <c r="O100" s="42">
        <f>6*Tabla13[[#This Row],[Minimum stock volume (per partner; ml)]]*Tabla13[[#This Row],[Stock concentration (g/L)]]/1000</f>
        <v>6.6000000000000003E-2</v>
      </c>
      <c r="P100" s="47">
        <v>8.8737260056050773E-2</v>
      </c>
      <c r="Q100" s="2">
        <v>8.8737260056050773E-2</v>
      </c>
    </row>
    <row r="101" spans="1:18" s="2" customFormat="1" ht="68.25" customHeight="1">
      <c r="A101" s="10" t="s">
        <v>894</v>
      </c>
      <c r="B101" s="10"/>
      <c r="C101" s="2" t="str">
        <f>Tabla1[[#This Row],[Formula]]</f>
        <v>C₁₄H₁₆ClO₅PS</v>
      </c>
      <c r="D101" s="2" t="str">
        <f>Tabla1[[#This Row],[CAS number]]</f>
        <v>56-72-4</v>
      </c>
      <c r="E101" s="22" t="s">
        <v>295</v>
      </c>
      <c r="F101" s="2" t="s">
        <v>890</v>
      </c>
      <c r="G101" s="2" t="s">
        <v>44</v>
      </c>
      <c r="H101" s="2" t="s">
        <v>897</v>
      </c>
      <c r="I101" s="2" t="s">
        <v>898</v>
      </c>
      <c r="J101" s="2" t="s">
        <v>2050</v>
      </c>
      <c r="K101" s="2" t="s">
        <v>2051</v>
      </c>
      <c r="L101" s="14">
        <f>0.18*100</f>
        <v>18</v>
      </c>
      <c r="M101" s="14">
        <v>5</v>
      </c>
      <c r="N101" s="14">
        <f>(Tabla13[[#This Row],['[max.'] to reach 100% mortality (mg/L)]]/1000)*1000/Tabla13[[#This Row],[Stock concentration (g/L)]]</f>
        <v>3.6</v>
      </c>
      <c r="O101" s="42">
        <f>6*Tabla13[[#This Row],[Minimum stock volume (per partner; ml)]]*Tabla13[[#This Row],[Stock concentration (g/L)]]/1000</f>
        <v>0.108</v>
      </c>
      <c r="P101" s="47">
        <v>0.15843956824046887</v>
      </c>
      <c r="Q101" s="2">
        <v>0.15843956824046887</v>
      </c>
    </row>
    <row r="102" spans="1:18" s="2" customFormat="1" ht="54" customHeight="1">
      <c r="A102" s="10" t="s">
        <v>899</v>
      </c>
      <c r="B102" s="10"/>
      <c r="C102" s="2" t="str">
        <f>Tabla1[[#This Row],[Formula]]</f>
        <v>C₃H₂N₂S₂</v>
      </c>
      <c r="D102" s="2" t="str">
        <f>Tabla1[[#This Row],[CAS number]]</f>
        <v>6317-18-6</v>
      </c>
      <c r="E102" s="2" t="s">
        <v>33</v>
      </c>
      <c r="F102" s="2" t="s">
        <v>902</v>
      </c>
      <c r="G102" s="2" t="s">
        <v>903</v>
      </c>
      <c r="H102" s="2" t="s">
        <v>904</v>
      </c>
      <c r="I102" s="2" t="s">
        <v>905</v>
      </c>
      <c r="J102" s="2" t="s">
        <v>2052</v>
      </c>
      <c r="K102" s="2" t="s">
        <v>2053</v>
      </c>
      <c r="L102" s="14">
        <f>1.51*100</f>
        <v>151</v>
      </c>
      <c r="M102" s="14">
        <v>50</v>
      </c>
      <c r="N102" s="14">
        <f>(Tabla13[[#This Row],['[max.'] to reach 100% mortality (mg/L)]]/1000)*1000/Tabla13[[#This Row],[Stock concentration (g/L)]]</f>
        <v>3.02</v>
      </c>
      <c r="O102" s="42">
        <f>6*Tabla13[[#This Row],[Minimum stock volume (per partner; ml)]]*Tabla13[[#This Row],[Stock concentration (g/L)]]/1000</f>
        <v>0.90600000000000003</v>
      </c>
      <c r="P102" s="47">
        <v>0.88988164901320477</v>
      </c>
      <c r="Q102" s="2">
        <v>0.90600000000000003</v>
      </c>
    </row>
    <row r="103" spans="1:18" s="2" customFormat="1" ht="84.75" customHeight="1">
      <c r="A103" s="10" t="s">
        <v>906</v>
      </c>
      <c r="B103" s="10"/>
      <c r="C103" s="2" t="str">
        <f>Tabla1[[#This Row],[Formula]]</f>
        <v>C₉H₁₇NOS</v>
      </c>
      <c r="D103" s="2" t="str">
        <f>Tabla1[[#This Row],[CAS number]]</f>
        <v>2212-67-1</v>
      </c>
      <c r="E103" s="2" t="s">
        <v>33</v>
      </c>
      <c r="F103" s="7" t="s">
        <v>909</v>
      </c>
      <c r="G103" s="2" t="s">
        <v>910</v>
      </c>
      <c r="H103" s="2" t="s">
        <v>911</v>
      </c>
      <c r="I103" s="2" t="s">
        <v>912</v>
      </c>
      <c r="J103" s="2" t="s">
        <v>2054</v>
      </c>
      <c r="K103" s="2" t="s">
        <v>2055</v>
      </c>
      <c r="L103" s="14">
        <f>32*100</f>
        <v>3200</v>
      </c>
      <c r="M103" s="14">
        <v>200</v>
      </c>
      <c r="N103" s="14">
        <f>(Tabla13[[#This Row],['[max.'] to reach 100% mortality (mg/L)]]/1000)*1000/Tabla13[[#This Row],[Stock concentration (g/L)]]</f>
        <v>16</v>
      </c>
      <c r="O103" s="42">
        <f>6*Tabla13[[#This Row],[Minimum stock volume (per partner; ml)]]*Tabla13[[#This Row],[Stock concentration (g/L)]]/1000</f>
        <v>19.2</v>
      </c>
      <c r="P103" s="47">
        <v>0.18766760883897968</v>
      </c>
      <c r="Q103" s="2">
        <v>19.2</v>
      </c>
    </row>
    <row r="104" spans="1:18" s="2" customFormat="1" ht="87" customHeight="1">
      <c r="A104" s="10" t="s">
        <v>913</v>
      </c>
      <c r="B104" s="10"/>
      <c r="C104" s="2" t="str">
        <f>Tabla1[[#This Row],[Formula]]</f>
        <v>C₁₆H₃₁NO</v>
      </c>
      <c r="D104" s="2" t="str">
        <f>Tabla1[[#This Row],[CAS number]]</f>
        <v>2687-96-9</v>
      </c>
      <c r="E104" s="2" t="s">
        <v>33</v>
      </c>
      <c r="F104" s="7" t="s">
        <v>916</v>
      </c>
      <c r="G104" s="2" t="s">
        <v>917</v>
      </c>
      <c r="H104" s="2" t="s">
        <v>918</v>
      </c>
      <c r="I104" s="2" t="s">
        <v>919</v>
      </c>
      <c r="J104" s="2" t="s">
        <v>2056</v>
      </c>
      <c r="K104" s="2" t="s">
        <v>2057</v>
      </c>
      <c r="L104" s="14">
        <f>0.59*100</f>
        <v>59</v>
      </c>
      <c r="M104" s="14">
        <v>50</v>
      </c>
      <c r="N104" s="14">
        <f>(Tabla13[[#This Row],['[max.'] to reach 100% mortality (mg/L)]]/1000)*1000/Tabla13[[#This Row],[Stock concentration (g/L)]]</f>
        <v>1.18</v>
      </c>
      <c r="O104" s="42">
        <f>6*Tabla13[[#This Row],[Minimum stock volume (per partner; ml)]]*Tabla13[[#This Row],[Stock concentration (g/L)]]/1000</f>
        <v>0.35399999999999998</v>
      </c>
      <c r="P104" s="47">
        <v>0.10442851739258252</v>
      </c>
      <c r="Q104" s="2">
        <v>0.35399999999999998</v>
      </c>
    </row>
    <row r="105" spans="1:18" s="2" customFormat="1" ht="76.5" customHeight="1">
      <c r="A105" s="10" t="s">
        <v>920</v>
      </c>
      <c r="B105" s="10"/>
      <c r="C105" s="2" t="str">
        <f>Tabla1[[#This Row],[Formula]]</f>
        <v>C₈H₈HgO₂</v>
      </c>
      <c r="D105" s="2" t="str">
        <f>Tabla1[[#This Row],[CAS number]]</f>
        <v>62-38-4</v>
      </c>
      <c r="E105" s="2" t="s">
        <v>926</v>
      </c>
      <c r="F105" s="2" t="s">
        <v>59</v>
      </c>
      <c r="G105" s="2" t="s">
        <v>923</v>
      </c>
      <c r="H105" s="2" t="s">
        <v>924</v>
      </c>
      <c r="I105" s="2" t="s">
        <v>925</v>
      </c>
      <c r="J105" s="2" t="s">
        <v>2058</v>
      </c>
      <c r="K105" s="2" t="s">
        <v>2059</v>
      </c>
      <c r="L105" s="14">
        <f>0.009*100</f>
        <v>0.89999999999999991</v>
      </c>
      <c r="M105" s="14">
        <v>1</v>
      </c>
      <c r="N105" s="14">
        <f>(Tabla13[[#This Row],['[max.'] to reach 100% mortality (mg/L)]]/1000)*1000/Tabla13[[#This Row],[Stock concentration (g/L)]]</f>
        <v>0.89999999999999991</v>
      </c>
      <c r="O105" s="42">
        <f>6*Tabla13[[#This Row],[Minimum stock volume (per partner; ml)]]*Tabla13[[#This Row],[Stock concentration (g/L)]]/1000</f>
        <v>5.3999999999999994E-3</v>
      </c>
      <c r="P105" s="47" t="e">
        <v>#REF!</v>
      </c>
      <c r="Q105" s="2" t="e">
        <v>#REF!</v>
      </c>
    </row>
    <row r="106" spans="1:18" s="2" customFormat="1" ht="105">
      <c r="A106" s="10" t="s">
        <v>927</v>
      </c>
      <c r="B106" s="10"/>
      <c r="C106" s="2" t="str">
        <f>Tabla1[[#This Row],[Formula]]</f>
        <v>C₁₈H₃₀O₃S</v>
      </c>
      <c r="D106" s="2" t="str">
        <f>Tabla1[[#This Row],[CAS number]]</f>
        <v>27176-87-0</v>
      </c>
      <c r="E106" s="2" t="s">
        <v>933</v>
      </c>
      <c r="G106" s="2" t="s">
        <v>930</v>
      </c>
      <c r="H106" s="2" t="s">
        <v>931</v>
      </c>
      <c r="I106" s="2" t="s">
        <v>932</v>
      </c>
      <c r="L106" s="14">
        <f>10.8*100</f>
        <v>1080</v>
      </c>
      <c r="M106" s="14">
        <v>200</v>
      </c>
      <c r="N106" s="14">
        <f>(Tabla13[[#This Row],['[max.'] to reach 100% mortality (mg/L)]]/1000)*1000/Tabla13[[#This Row],[Stock concentration (g/L)]]</f>
        <v>5.4</v>
      </c>
      <c r="O106" s="42">
        <f>6*Tabla13[[#This Row],[Minimum stock volume (per partner; ml)]]*Tabla13[[#This Row],[Stock concentration (g/L)]]/1000</f>
        <v>6.4800000000000013</v>
      </c>
      <c r="P106" s="47">
        <v>9.1198881353829253E-2</v>
      </c>
      <c r="Q106" s="2">
        <v>6.4800000000000013</v>
      </c>
    </row>
    <row r="107" spans="1:18" s="2" customFormat="1" ht="90">
      <c r="A107" s="10" t="s">
        <v>934</v>
      </c>
      <c r="B107" s="10"/>
      <c r="C107" s="2" t="str">
        <f>Tabla1[[#This Row],[Formula]]</f>
        <v>C₂₀H₂₅N₃O</v>
      </c>
      <c r="D107" s="2" t="str">
        <f>Tabla1[[#This Row],[CAS number]]</f>
        <v>3147-75-9</v>
      </c>
      <c r="E107" s="2" t="s">
        <v>33</v>
      </c>
      <c r="G107" s="2" t="s">
        <v>937</v>
      </c>
      <c r="H107" s="2" t="s">
        <v>938</v>
      </c>
      <c r="I107" s="2" t="s">
        <v>939</v>
      </c>
      <c r="L107" s="14">
        <f>1000*100</f>
        <v>100000</v>
      </c>
      <c r="M107" s="14">
        <v>500</v>
      </c>
      <c r="N107" s="14">
        <f>(Tabla13[[#This Row],['[max.'] to reach 100% mortality (mg/L)]]/1000)*1000/Tabla13[[#This Row],[Stock concentration (g/L)]]</f>
        <v>200</v>
      </c>
      <c r="O107" s="43">
        <f>6*Tabla13[[#This Row],[Minimum stock volume (per partner; ml)]]*Tabla13[[#This Row],[Stock concentration (g/L)]]/1000</f>
        <v>600</v>
      </c>
      <c r="P107" s="44">
        <v>0.1542824350188873</v>
      </c>
      <c r="Q107" s="2">
        <v>600</v>
      </c>
    </row>
    <row r="108" spans="1:18" s="2" customFormat="1" ht="75">
      <c r="A108" s="10" t="s">
        <v>940</v>
      </c>
      <c r="B108" s="119"/>
      <c r="C108" s="2" t="str">
        <f>Tabla1[[#This Row],[Formula]]</f>
        <v>C₈F₁₇KO₃S</v>
      </c>
      <c r="D108" s="2" t="str">
        <f>Tabla1[[#This Row],[CAS number]]</f>
        <v>2795-39-3</v>
      </c>
      <c r="E108" s="2" t="s">
        <v>33</v>
      </c>
      <c r="G108" s="2" t="s">
        <v>943</v>
      </c>
      <c r="H108" s="2" t="s">
        <v>944</v>
      </c>
      <c r="I108" s="2" t="s">
        <v>945</v>
      </c>
      <c r="L108" s="14">
        <f>91*100</f>
        <v>9100</v>
      </c>
      <c r="M108" s="14">
        <v>200</v>
      </c>
      <c r="N108" s="14">
        <f>(Tabla13[[#This Row],['[max.'] to reach 100% mortality (mg/L)]]/1000)*1000/Tabla13[[#This Row],[Stock concentration (g/L)]]</f>
        <v>45.5</v>
      </c>
      <c r="O108" s="42">
        <f>6*Tabla13[[#This Row],[Minimum stock volume (per partner; ml)]]*Tabla13[[#This Row],[Stock concentration (g/L)]]/1000</f>
        <v>54.6</v>
      </c>
      <c r="P108" s="47">
        <v>0.15301614330108809</v>
      </c>
      <c r="Q108" s="2">
        <v>54.6</v>
      </c>
    </row>
    <row r="109" spans="1:18" s="2" customFormat="1" ht="60">
      <c r="A109" s="10" t="s">
        <v>946</v>
      </c>
      <c r="B109" s="10"/>
      <c r="C109" s="2" t="str">
        <f>Tabla1[[#This Row],[Formula]]</f>
        <v>C₁₁H₁₉NOS</v>
      </c>
      <c r="D109" s="2" t="str">
        <f>Tabla1[[#This Row],[CAS number]]</f>
        <v>26530-20-1</v>
      </c>
      <c r="E109" s="2" t="s">
        <v>33</v>
      </c>
      <c r="G109" s="2" t="s">
        <v>949</v>
      </c>
      <c r="H109" s="2" t="s">
        <v>950</v>
      </c>
      <c r="I109" s="2" t="s">
        <v>951</v>
      </c>
      <c r="L109" s="14">
        <f>0.18*100</f>
        <v>18</v>
      </c>
      <c r="M109" s="14">
        <v>5</v>
      </c>
      <c r="N109" s="14">
        <f>(Tabla13[[#This Row],['[max.'] to reach 100% mortality (mg/L)]]/1000)*1000/Tabla13[[#This Row],[Stock concentration (g/L)]]</f>
        <v>3.6</v>
      </c>
      <c r="O109" s="42">
        <f>6*Tabla13[[#This Row],[Minimum stock volume (per partner; ml)]]*Tabla13[[#This Row],[Stock concentration (g/L)]]/1000</f>
        <v>0.108</v>
      </c>
      <c r="P109" s="47">
        <v>2.7519250095131609</v>
      </c>
      <c r="Q109" s="2">
        <v>2.7519250095131609</v>
      </c>
    </row>
    <row r="110" spans="1:18" s="2" customFormat="1" ht="81.75" customHeight="1">
      <c r="A110" s="10" t="s">
        <v>952</v>
      </c>
      <c r="B110" s="11"/>
      <c r="C110" s="9" t="str">
        <f>Tabla1[[#This Row],[Formula]]</f>
        <v>?</v>
      </c>
      <c r="D110" s="2" t="str">
        <f>Tabla1[[#This Row],[CAS number]]</f>
        <v>135080-03-4</v>
      </c>
      <c r="E110" s="9" t="s">
        <v>59</v>
      </c>
      <c r="G110" s="2" t="s">
        <v>59</v>
      </c>
      <c r="H110" s="2" t="s">
        <v>59</v>
      </c>
      <c r="I110" s="2" t="s">
        <v>59</v>
      </c>
      <c r="J110" s="2" t="s">
        <v>2060</v>
      </c>
      <c r="K110" s="2" t="s">
        <v>2061</v>
      </c>
      <c r="L110" s="14"/>
      <c r="M110" s="14"/>
      <c r="N110" s="14" t="e">
        <f>(Tabla13[[#This Row],['[max.'] to reach 100% mortality (mg/L)]]/1000)*1000/Tabla13[[#This Row],[Stock concentration (g/L)]]</f>
        <v>#DIV/0!</v>
      </c>
      <c r="O110" s="40" t="s">
        <v>1919</v>
      </c>
      <c r="P110" s="41">
        <v>0</v>
      </c>
      <c r="Q110" s="2">
        <v>0</v>
      </c>
      <c r="R110" s="2" t="s">
        <v>1898</v>
      </c>
    </row>
    <row r="111" spans="1:18" s="2" customFormat="1" ht="45">
      <c r="A111" s="10" t="s">
        <v>954</v>
      </c>
      <c r="B111" s="10"/>
      <c r="C111" s="14" t="str">
        <f>Tabla1[[#This Row],[Formula]]</f>
        <v>C₁₃H₉Cl₃N₂O</v>
      </c>
      <c r="D111" s="2" t="str">
        <f>Tabla1[[#This Row],[CAS number]]</f>
        <v>101-20-2</v>
      </c>
      <c r="E111" s="2" t="s">
        <v>33</v>
      </c>
      <c r="F111" s="2" t="s">
        <v>957</v>
      </c>
      <c r="G111" s="2" t="s">
        <v>958</v>
      </c>
      <c r="H111" s="2" t="s">
        <v>959</v>
      </c>
      <c r="I111" s="2" t="s">
        <v>960</v>
      </c>
      <c r="L111" s="14">
        <f>0.085*100</f>
        <v>8.5</v>
      </c>
      <c r="M111" s="14">
        <v>5</v>
      </c>
      <c r="N111" s="14">
        <f>(Tabla13[[#This Row],['[max.'] to reach 100% mortality (mg/L)]]/1000)*1000/Tabla13[[#This Row],[Stock concentration (g/L)]]</f>
        <v>1.7</v>
      </c>
      <c r="O111" s="42">
        <f>6*Tabla13[[#This Row],[Minimum stock volume (per partner; ml)]]*Tabla13[[#This Row],[Stock concentration (g/L)]]/1000</f>
        <v>5.0999999999999997E-2</v>
      </c>
      <c r="P111" s="47">
        <v>4.1960383876423264E-2</v>
      </c>
      <c r="Q111" s="2">
        <v>5.0999999999999997E-2</v>
      </c>
    </row>
    <row r="112" spans="1:18" s="2" customFormat="1" ht="44.45" customHeight="1">
      <c r="A112" s="10" t="s">
        <v>961</v>
      </c>
      <c r="B112" s="10"/>
      <c r="C112" s="14" t="str">
        <f>Tabla1[[#This Row],[Formula]]</f>
        <v>C₁₃H₂₂NO₃PS</v>
      </c>
      <c r="D112" s="2" t="str">
        <f>Tabla1[[#This Row],[CAS number]]</f>
        <v>22224-92-6</v>
      </c>
      <c r="E112" s="22" t="s">
        <v>967</v>
      </c>
      <c r="G112" s="2" t="s">
        <v>964</v>
      </c>
      <c r="H112" s="2" t="s">
        <v>965</v>
      </c>
      <c r="I112" s="2" t="s">
        <v>966</v>
      </c>
      <c r="J112" s="2" t="s">
        <v>2062</v>
      </c>
      <c r="K112" s="2" t="s">
        <v>2063</v>
      </c>
      <c r="L112" s="14">
        <f>0.6*100</f>
        <v>60</v>
      </c>
      <c r="M112" s="14">
        <v>5</v>
      </c>
      <c r="N112" s="14">
        <f>(Tabla13[[#This Row],['[max.'] to reach 100% mortality (mg/L)]]/1000)*1000/Tabla13[[#This Row],[Stock concentration (g/L)]]</f>
        <v>12</v>
      </c>
      <c r="O112" s="42">
        <f>6*Tabla13[[#This Row],[Minimum stock volume (per partner; ml)]]*Tabla13[[#This Row],[Stock concentration (g/L)]]/1000</f>
        <v>0.36</v>
      </c>
      <c r="P112" s="47">
        <v>0.29592414155228192</v>
      </c>
      <c r="Q112" s="2">
        <v>0.36</v>
      </c>
    </row>
    <row r="113" spans="1:18" s="2" customFormat="1" ht="75">
      <c r="A113" s="10" t="s">
        <v>968</v>
      </c>
      <c r="B113" s="10"/>
      <c r="C113" s="14" t="str">
        <f>Tabla1[[#This Row],[Formula]]</f>
        <v>C₂₀H₁₉NO₃</v>
      </c>
      <c r="D113" s="2" t="str">
        <f>Tabla1[[#This Row],[CAS number]]</f>
        <v>95737-68-1</v>
      </c>
      <c r="E113" s="2" t="s">
        <v>33</v>
      </c>
      <c r="F113" s="2" t="s">
        <v>971</v>
      </c>
      <c r="G113" s="2" t="s">
        <v>972</v>
      </c>
      <c r="H113" s="2" t="s">
        <v>973</v>
      </c>
      <c r="I113" s="2" t="s">
        <v>974</v>
      </c>
      <c r="L113" s="14">
        <f>0.45*100</f>
        <v>45</v>
      </c>
      <c r="M113" s="14">
        <v>5</v>
      </c>
      <c r="N113" s="14">
        <f>(Tabla13[[#This Row],['[max.'] to reach 100% mortality (mg/L)]]/1000)*1000/Tabla13[[#This Row],[Stock concentration (g/L)]]</f>
        <v>9</v>
      </c>
      <c r="O113" s="42">
        <f>6*Tabla13[[#This Row],[Minimum stock volume (per partner; ml)]]*Tabla13[[#This Row],[Stock concentration (g/L)]]/1000</f>
        <v>0.27</v>
      </c>
      <c r="P113" s="47">
        <v>0.13284468648701694</v>
      </c>
      <c r="Q113" s="2">
        <v>0.27</v>
      </c>
    </row>
    <row r="114" spans="1:18" s="2" customFormat="1" ht="75">
      <c r="A114" s="10" t="s">
        <v>975</v>
      </c>
      <c r="B114" s="10"/>
      <c r="C114" s="14" t="str">
        <f>Tabla1[[#This Row],[Formula]]</f>
        <v>C₁₅H₁₁ClF₃NO₄</v>
      </c>
      <c r="D114" s="2" t="str">
        <f>Tabla1[[#This Row],[CAS number]]</f>
        <v>42874-03-3</v>
      </c>
      <c r="E114" s="2" t="s">
        <v>33</v>
      </c>
      <c r="F114" s="2" t="s">
        <v>978</v>
      </c>
      <c r="G114" s="2" t="s">
        <v>979</v>
      </c>
      <c r="H114" s="2" t="s">
        <v>980</v>
      </c>
      <c r="I114" s="2" t="s">
        <v>981</v>
      </c>
      <c r="L114" s="14">
        <f>0.5*100</f>
        <v>50</v>
      </c>
      <c r="M114" s="14">
        <v>5</v>
      </c>
      <c r="N114" s="14">
        <f>(Tabla13[[#This Row],['[max.'] to reach 100% mortality (mg/L)]]/1000)*1000/Tabla13[[#This Row],[Stock concentration (g/L)]]</f>
        <v>10</v>
      </c>
      <c r="O114" s="42">
        <f>6*Tabla13[[#This Row],[Minimum stock volume (per partner; ml)]]*Tabla13[[#This Row],[Stock concentration (g/L)]]/1000</f>
        <v>0.3</v>
      </c>
      <c r="P114" s="47">
        <v>0.10235897886995025</v>
      </c>
      <c r="Q114" s="2">
        <v>0.3</v>
      </c>
    </row>
    <row r="115" spans="1:18" s="2" customFormat="1" ht="102" customHeight="1">
      <c r="A115" s="10" t="s">
        <v>982</v>
      </c>
      <c r="B115" s="10"/>
      <c r="C115" s="14" t="str">
        <f>Tabla1[[#This Row],[Formula]]</f>
        <v>C₁₀H₁₄NO₅PS</v>
      </c>
      <c r="D115" s="2" t="str">
        <f>Tabla1[[#This Row],[CAS number]]</f>
        <v>56-38-2</v>
      </c>
      <c r="E115" s="22" t="s">
        <v>295</v>
      </c>
      <c r="G115" s="2" t="s">
        <v>985</v>
      </c>
      <c r="H115" s="2" t="s">
        <v>987</v>
      </c>
      <c r="I115" s="2" t="s">
        <v>966</v>
      </c>
      <c r="J115" s="2" t="s">
        <v>2064</v>
      </c>
      <c r="K115" s="2" t="s">
        <v>2065</v>
      </c>
      <c r="L115" s="14">
        <f>0.03*100</f>
        <v>3</v>
      </c>
      <c r="M115" s="14">
        <v>5</v>
      </c>
      <c r="N115" s="14">
        <f>(Tabla13[[#This Row],['[max.'] to reach 100% mortality (mg/L)]]/1000)*1000/Tabla13[[#This Row],[Stock concentration (g/L)]]</f>
        <v>0.6</v>
      </c>
      <c r="O115" s="42">
        <f>6*Tabla13[[#This Row],[Minimum stock volume (per partner; ml)]]*Tabla13[[#This Row],[Stock concentration (g/L)]]/1000</f>
        <v>1.7999999999999999E-2</v>
      </c>
      <c r="P115" s="47">
        <v>0.16244201358058688</v>
      </c>
      <c r="Q115" s="2">
        <v>0.16244201358058688</v>
      </c>
    </row>
    <row r="116" spans="1:18" s="2" customFormat="1" ht="114" customHeight="1">
      <c r="A116" s="10" t="s">
        <v>988</v>
      </c>
      <c r="B116" s="10"/>
      <c r="C116" s="14" t="str">
        <f>Tabla1[[#This Row],[Formula]]</f>
        <v>C₁₄H₁₀Cl₄</v>
      </c>
      <c r="D116" s="2" t="str">
        <f>Tabla1[[#This Row],[CAS number]]</f>
        <v>72-54-8</v>
      </c>
      <c r="E116" s="2" t="s">
        <v>33</v>
      </c>
      <c r="G116" s="2" t="s">
        <v>991</v>
      </c>
      <c r="H116" s="2" t="s">
        <v>992</v>
      </c>
      <c r="I116" s="2" t="s">
        <v>993</v>
      </c>
      <c r="L116" s="14">
        <f>5*100</f>
        <v>500</v>
      </c>
      <c r="M116" s="14">
        <v>200</v>
      </c>
      <c r="N116" s="14">
        <f>(Tabla13[[#This Row],['[max.'] to reach 100% mortality (mg/L)]]/1000)*1000/Tabla13[[#This Row],[Stock concentration (g/L)]]</f>
        <v>2.5</v>
      </c>
      <c r="O116" s="42">
        <f>6*Tabla13[[#This Row],[Minimum stock volume (per partner; ml)]]*Tabla13[[#This Row],[Stock concentration (g/L)]]/1000</f>
        <v>3</v>
      </c>
      <c r="P116" s="47">
        <v>3.9204219066884344E-2</v>
      </c>
      <c r="Q116" s="2">
        <v>3</v>
      </c>
    </row>
    <row r="117" spans="1:18" s="2" customFormat="1" ht="75">
      <c r="A117" s="10" t="s">
        <v>994</v>
      </c>
      <c r="B117" s="10"/>
      <c r="C117" s="14" t="str">
        <f>Tabla1[[#This Row],[Formula]]</f>
        <v>C₁₆H₁₅Cl₃O₂</v>
      </c>
      <c r="D117" s="2" t="str">
        <f>Tabla1[[#This Row],[CAS number]]</f>
        <v>72-43-5</v>
      </c>
      <c r="E117" s="2" t="s">
        <v>33</v>
      </c>
      <c r="G117" s="2" t="s">
        <v>997</v>
      </c>
      <c r="H117" s="2" t="s">
        <v>998</v>
      </c>
      <c r="I117" s="2" t="s">
        <v>999</v>
      </c>
      <c r="L117" s="14">
        <f>0.052*100</f>
        <v>5.2</v>
      </c>
      <c r="M117" s="14">
        <v>1</v>
      </c>
      <c r="N117" s="14">
        <f>(Tabla13[[#This Row],['[max.'] to reach 100% mortality (mg/L)]]/1000)*1000/Tabla13[[#This Row],[Stock concentration (g/L)]]</f>
        <v>5.2</v>
      </c>
      <c r="O117" s="42">
        <f>6*Tabla13[[#This Row],[Minimum stock volume (per partner; ml)]]*Tabla13[[#This Row],[Stock concentration (g/L)]]/1000</f>
        <v>3.1200000000000002E-2</v>
      </c>
      <c r="P117" s="47">
        <v>7.756088779797643E-2</v>
      </c>
      <c r="Q117" s="2">
        <v>7.756088779797643E-2</v>
      </c>
    </row>
    <row r="118" spans="1:18" s="2" customFormat="1" ht="75">
      <c r="A118" s="10" t="s">
        <v>1000</v>
      </c>
      <c r="B118" s="10"/>
      <c r="C118" s="14" t="str">
        <f>Tabla1[[#This Row],[Formula]]</f>
        <v>C₁₄H₉Cl₅O</v>
      </c>
      <c r="D118" s="2" t="str">
        <f>Tabla1[[#This Row],[CAS number]]</f>
        <v>115-32-2</v>
      </c>
      <c r="E118" s="22" t="s">
        <v>295</v>
      </c>
      <c r="F118" s="2" t="s">
        <v>890</v>
      </c>
      <c r="G118" s="2" t="s">
        <v>1003</v>
      </c>
      <c r="H118" s="2" t="s">
        <v>1004</v>
      </c>
      <c r="I118" s="2" t="s">
        <v>1005</v>
      </c>
      <c r="L118" s="14">
        <f>0.21*100</f>
        <v>21</v>
      </c>
      <c r="M118" s="14">
        <v>5</v>
      </c>
      <c r="N118" s="14">
        <f>(Tabla13[[#This Row],['[max.'] to reach 100% mortality (mg/L)]]/1000)*1000/Tabla13[[#This Row],[Stock concentration (g/L)]]</f>
        <v>4.2</v>
      </c>
      <c r="O118" s="42">
        <f>6*Tabla13[[#This Row],[Minimum stock volume (per partner; ml)]]*Tabla13[[#This Row],[Stock concentration (g/L)]]/1000</f>
        <v>0.126</v>
      </c>
      <c r="P118" s="47">
        <v>8.7175541299567505E-2</v>
      </c>
      <c r="Q118" s="2">
        <v>0.126</v>
      </c>
    </row>
    <row r="119" spans="1:18" s="2" customFormat="1" ht="101.25" customHeight="1">
      <c r="A119" s="10" t="s">
        <v>1006</v>
      </c>
      <c r="B119" s="10"/>
      <c r="C119" s="14" t="str">
        <f>Tabla1[[#This Row],[Formula]]</f>
        <v>C₁₄H₁₃IN₅NaO₆S</v>
      </c>
      <c r="D119" s="2" t="str">
        <f>Tabla1[[#This Row],[CAS number]]</f>
        <v>144550-36-7</v>
      </c>
      <c r="E119" s="2" t="s">
        <v>33</v>
      </c>
      <c r="F119" s="2" t="s">
        <v>957</v>
      </c>
      <c r="G119" s="2" t="s">
        <v>1009</v>
      </c>
      <c r="H119" s="2" t="s">
        <v>1010</v>
      </c>
      <c r="I119" s="2" t="s">
        <v>1011</v>
      </c>
      <c r="J119" s="2" t="s">
        <v>2066</v>
      </c>
      <c r="K119" s="2" t="s">
        <v>2067</v>
      </c>
      <c r="L119" s="14">
        <f>1000*100</f>
        <v>100000</v>
      </c>
      <c r="M119" s="14">
        <v>500</v>
      </c>
      <c r="N119" s="14">
        <f>(Tabla13[[#This Row],['[max.'] to reach 100% mortality (mg/L)]]/1000)*1000/Tabla13[[#This Row],[Stock concentration (g/L)]]</f>
        <v>200</v>
      </c>
      <c r="O119" s="43">
        <f>6*Tabla13[[#This Row],[Minimum stock volume (per partner; ml)]]*Tabla13[[#This Row],[Stock concentration (g/L)]]/1000</f>
        <v>600</v>
      </c>
      <c r="P119" s="44">
        <v>53.454221096178301</v>
      </c>
      <c r="Q119" s="2">
        <v>600</v>
      </c>
      <c r="R119" s="2" t="s">
        <v>1835</v>
      </c>
    </row>
    <row r="120" spans="1:18" s="2" customFormat="1" ht="105">
      <c r="A120" s="10" t="s">
        <v>1012</v>
      </c>
      <c r="B120" s="10"/>
      <c r="C120" s="14" t="str">
        <f>Tabla1[[#This Row],[Formula]]</f>
        <v>C₄H₆O₂</v>
      </c>
      <c r="D120" s="2" t="str">
        <f>Tabla1[[#This Row],[CAS number]]</f>
        <v>96-48-0</v>
      </c>
      <c r="E120" s="2" t="s">
        <v>1018</v>
      </c>
      <c r="G120" s="2" t="s">
        <v>1015</v>
      </c>
      <c r="H120" s="2" t="s">
        <v>1016</v>
      </c>
      <c r="I120" s="2" t="s">
        <v>1017</v>
      </c>
      <c r="J120" s="2" t="s">
        <v>2068</v>
      </c>
      <c r="K120" s="2" t="s">
        <v>34</v>
      </c>
      <c r="L120" s="14">
        <f>1000*100</f>
        <v>100000</v>
      </c>
      <c r="M120" s="14">
        <v>500</v>
      </c>
      <c r="N120" s="14">
        <f>(Tabla13[[#This Row],['[max.'] to reach 100% mortality (mg/L)]]/1000)*1000/Tabla13[[#This Row],[Stock concentration (g/L)]]</f>
        <v>200</v>
      </c>
      <c r="O120" s="42">
        <f>6*Tabla13[[#This Row],[Minimum stock volume (per partner; ml)]]*Tabla13[[#This Row],[Stock concentration (g/L)]]/1000</f>
        <v>600</v>
      </c>
      <c r="P120" s="47">
        <v>236.31532033728337</v>
      </c>
      <c r="Q120" s="2">
        <v>600</v>
      </c>
    </row>
    <row r="121" spans="1:18" s="2" customFormat="1" ht="75">
      <c r="A121" s="10" t="s">
        <v>1019</v>
      </c>
      <c r="B121" s="10"/>
      <c r="C121" s="14" t="str">
        <f>Tabla1[[#This Row],[Formula]]</f>
        <v>C₆H₁₂O₃</v>
      </c>
      <c r="D121" s="2" t="str">
        <f>Tabla1[[#This Row],[CAS number]]</f>
        <v>111-15-9</v>
      </c>
      <c r="E121" s="2" t="s">
        <v>33</v>
      </c>
      <c r="G121" s="2" t="s">
        <v>1022</v>
      </c>
      <c r="H121" s="2" t="s">
        <v>1023</v>
      </c>
      <c r="I121" s="2" t="s">
        <v>1024</v>
      </c>
      <c r="L121" s="14">
        <f>193.6*100</f>
        <v>19360</v>
      </c>
      <c r="M121" s="14">
        <v>200</v>
      </c>
      <c r="N121" s="14">
        <f>(Tabla13[[#This Row],['[max.'] to reach 100% mortality (mg/L)]]/1000)*1000/Tabla13[[#This Row],[Stock concentration (g/L)]]</f>
        <v>96.8</v>
      </c>
      <c r="O121" s="42">
        <f>6*Tabla13[[#This Row],[Minimum stock volume (per partner; ml)]]*Tabla13[[#This Row],[Stock concentration (g/L)]]/1000</f>
        <v>116.15999999999998</v>
      </c>
      <c r="P121" s="47">
        <v>21.337815998397577</v>
      </c>
      <c r="Q121" s="2">
        <v>116.15999999999998</v>
      </c>
    </row>
    <row r="122" spans="1:18" s="2" customFormat="1" ht="99.75" customHeight="1">
      <c r="A122" s="10" t="s">
        <v>1026</v>
      </c>
      <c r="B122" s="120"/>
      <c r="C122" s="14" t="str">
        <f>Tabla1[[#This Row],[Formula]]</f>
        <v>C₁₃H₁₀Cl₂FN₅O₃S</v>
      </c>
      <c r="D122" s="2" t="str">
        <f>Tabla1[[#This Row],[CAS number]]</f>
        <v>145701-21-9</v>
      </c>
      <c r="E122" s="2" t="s">
        <v>33</v>
      </c>
      <c r="F122" s="2" t="s">
        <v>957</v>
      </c>
      <c r="G122" s="2" t="s">
        <v>1029</v>
      </c>
      <c r="H122" s="2" t="s">
        <v>1030</v>
      </c>
      <c r="I122" s="2" t="s">
        <v>1031</v>
      </c>
      <c r="J122" s="2" t="s">
        <v>2069</v>
      </c>
      <c r="K122" s="2" t="s">
        <v>2070</v>
      </c>
      <c r="L122" s="14">
        <f>200*100</f>
        <v>20000</v>
      </c>
      <c r="M122" s="14">
        <v>500</v>
      </c>
      <c r="N122" s="14">
        <f>(Tabla13[[#This Row],['[max.'] to reach 100% mortality (mg/L)]]/1000)*1000/Tabla13[[#This Row],[Stock concentration (g/L)]]</f>
        <v>40</v>
      </c>
      <c r="O122" s="43">
        <f>6*Tabla13[[#This Row],[Minimum stock volume (per partner; ml)]]*Tabla13[[#This Row],[Stock concentration (g/L)]]/1000</f>
        <v>120</v>
      </c>
      <c r="P122" s="44">
        <v>8.2279560806868091</v>
      </c>
      <c r="Q122" s="2">
        <v>120</v>
      </c>
    </row>
    <row r="123" spans="1:18" s="2" customFormat="1" ht="76.5" customHeight="1">
      <c r="A123" s="10" t="s">
        <v>1032</v>
      </c>
      <c r="B123" s="10"/>
      <c r="C123" s="14" t="str">
        <f>Tabla1[[#This Row],[Formula]]</f>
        <v>C₈H₁₆NO₅P</v>
      </c>
      <c r="D123" s="2" t="str">
        <f>Tabla1[[#This Row],[CAS number]]</f>
        <v>141-66-2</v>
      </c>
      <c r="E123" s="22" t="s">
        <v>295</v>
      </c>
      <c r="G123" s="2" t="s">
        <v>1035</v>
      </c>
      <c r="H123" s="2" t="s">
        <v>1036</v>
      </c>
      <c r="I123" s="2" t="s">
        <v>1037</v>
      </c>
      <c r="J123" s="2" t="s">
        <v>2071</v>
      </c>
      <c r="K123" s="2" t="s">
        <v>2072</v>
      </c>
      <c r="L123" s="14">
        <f>6.3*100</f>
        <v>630</v>
      </c>
      <c r="M123" s="14">
        <v>200</v>
      </c>
      <c r="N123" s="14">
        <f>(Tabla13[[#This Row],['[max.'] to reach 100% mortality (mg/L)]]/1000)*1000/Tabla13[[#This Row],[Stock concentration (g/L)]]</f>
        <v>3.15</v>
      </c>
      <c r="O123" s="42">
        <f>6*Tabla13[[#This Row],[Minimum stock volume (per partner; ml)]]*Tabla13[[#This Row],[Stock concentration (g/L)]]/1000</f>
        <v>3.7799999999999994</v>
      </c>
      <c r="P123" s="47">
        <v>149.61338682721802</v>
      </c>
      <c r="Q123" s="2">
        <v>149.61338682721802</v>
      </c>
    </row>
    <row r="124" spans="1:18" s="2" customFormat="1" ht="101.25" customHeight="1">
      <c r="A124" s="10" t="s">
        <v>1038</v>
      </c>
      <c r="B124" s="10"/>
      <c r="C124" s="14" t="str">
        <f>Tabla1[[#This Row],[Formula]]</f>
        <v>C₉H₁₉NOS</v>
      </c>
      <c r="D124" s="2" t="str">
        <f>Tabla1[[#This Row],[CAS number]]</f>
        <v>759-94-4</v>
      </c>
      <c r="E124" s="2" t="s">
        <v>33</v>
      </c>
      <c r="G124" s="2" t="s">
        <v>1041</v>
      </c>
      <c r="H124" s="2" t="s">
        <v>1042</v>
      </c>
      <c r="I124" s="2" t="s">
        <v>1043</v>
      </c>
      <c r="J124" s="2" t="s">
        <v>2073</v>
      </c>
      <c r="K124" s="124" t="s">
        <v>2074</v>
      </c>
      <c r="L124" s="14">
        <f>17*100</f>
        <v>1700</v>
      </c>
      <c r="M124" s="14">
        <v>200</v>
      </c>
      <c r="N124" s="14">
        <f>(Tabla13[[#This Row],['[max.'] to reach 100% mortality (mg/L)]]/1000)*1000/Tabla13[[#This Row],[Stock concentration (g/L)]]</f>
        <v>8.5</v>
      </c>
      <c r="O124" s="42">
        <f>6*Tabla13[[#This Row],[Minimum stock volume (per partner; ml)]]*Tabla13[[#This Row],[Stock concentration (g/L)]]/1000</f>
        <v>10.199999999999999</v>
      </c>
      <c r="P124" s="47">
        <v>0.18931409467089161</v>
      </c>
      <c r="Q124" s="2">
        <v>10.199999999999999</v>
      </c>
    </row>
    <row r="125" spans="1:18" s="2" customFormat="1" ht="78" customHeight="1">
      <c r="A125" s="10" t="s">
        <v>1044</v>
      </c>
      <c r="B125" s="10"/>
      <c r="C125" s="14" t="str">
        <f>Tabla1[[#This Row],[Formula]]</f>
        <v>C₅H₈ClN₅</v>
      </c>
      <c r="D125" s="2" t="str">
        <f>Tabla1[[#This Row],[CAS number]]</f>
        <v>1007-28-9</v>
      </c>
      <c r="E125" s="2" t="s">
        <v>33</v>
      </c>
      <c r="F125" s="2" t="s">
        <v>957</v>
      </c>
      <c r="G125" s="2" t="s">
        <v>44</v>
      </c>
      <c r="H125" s="2" t="s">
        <v>1047</v>
      </c>
      <c r="I125" s="2" t="s">
        <v>59</v>
      </c>
      <c r="J125" s="2" t="s">
        <v>2075</v>
      </c>
      <c r="K125" s="124" t="s">
        <v>2076</v>
      </c>
      <c r="L125" s="14">
        <f>535.7*100</f>
        <v>53570.000000000007</v>
      </c>
      <c r="M125" s="14">
        <v>500</v>
      </c>
      <c r="N125" s="14">
        <f>(Tabla13[[#This Row],['[max.'] to reach 100% mortality (mg/L)]]/1000)*1000/Tabla13[[#This Row],[Stock concentration (g/L)]]</f>
        <v>107.14000000000001</v>
      </c>
      <c r="O125" s="43">
        <f>6*Tabla13[[#This Row],[Minimum stock volume (per partner; ml)]]*Tabla13[[#This Row],[Stock concentration (g/L)]]/1000</f>
        <v>321.42000000000007</v>
      </c>
      <c r="P125" s="44">
        <v>7.7597277264824793</v>
      </c>
      <c r="Q125" s="2">
        <v>321.42000000000007</v>
      </c>
      <c r="R125" s="2" t="s">
        <v>1835</v>
      </c>
    </row>
    <row r="126" spans="1:18" s="2" customFormat="1" ht="60">
      <c r="A126" s="10" t="s">
        <v>1048</v>
      </c>
      <c r="B126" s="10"/>
      <c r="C126" s="14" t="str">
        <f>Tabla1[[#This Row],[Formula]]</f>
        <v>C₈H₁₈N₂O</v>
      </c>
      <c r="D126" s="2" t="str">
        <f>Tabla1[[#This Row],[CAS number]]</f>
        <v>924-16-3</v>
      </c>
      <c r="E126" s="2" t="s">
        <v>33</v>
      </c>
      <c r="F126" s="2" t="s">
        <v>1051</v>
      </c>
      <c r="G126" s="2" t="s">
        <v>1052</v>
      </c>
      <c r="H126" s="2" t="s">
        <v>1053</v>
      </c>
      <c r="I126" s="2" t="s">
        <v>59</v>
      </c>
      <c r="L126" s="14">
        <f>68.5*100</f>
        <v>6850</v>
      </c>
      <c r="M126" s="14">
        <v>500</v>
      </c>
      <c r="N126" s="14">
        <f>(Tabla13[[#This Row],['[max.'] to reach 100% mortality (mg/L)]]/1000)*1000/Tabla13[[#This Row],[Stock concentration (g/L)]]</f>
        <v>13.7</v>
      </c>
      <c r="O126" s="43">
        <f>6*Tabla13[[#This Row],[Minimum stock volume (per partner; ml)]]*Tabla13[[#This Row],[Stock concentration (g/L)]]/1000</f>
        <v>41.099999999999994</v>
      </c>
      <c r="P126" s="44">
        <v>0.44906467274653833</v>
      </c>
      <c r="Q126" s="2">
        <v>41.099999999999994</v>
      </c>
      <c r="R126" s="2" t="s">
        <v>1835</v>
      </c>
    </row>
    <row r="127" spans="1:18" s="2" customFormat="1" ht="73.5" customHeight="1">
      <c r="A127" s="10" t="s">
        <v>1055</v>
      </c>
      <c r="B127" s="10"/>
      <c r="C127" s="14" t="str">
        <f>Tabla1[[#This Row],[Formula]]</f>
        <v>C₇H₁₃N₃O₃S</v>
      </c>
      <c r="D127" s="2" t="str">
        <f>Tabla1[[#This Row],[CAS number]]</f>
        <v>23135-22-0</v>
      </c>
      <c r="E127" s="2" t="s">
        <v>33</v>
      </c>
      <c r="G127" s="2" t="s">
        <v>1058</v>
      </c>
      <c r="H127" s="2" t="s">
        <v>1059</v>
      </c>
      <c r="I127" s="2" t="s">
        <v>1060</v>
      </c>
      <c r="J127" s="2" t="s">
        <v>2077</v>
      </c>
      <c r="K127" s="2" t="s">
        <v>2078</v>
      </c>
      <c r="L127" s="14">
        <f>5.48*100</f>
        <v>548</v>
      </c>
      <c r="M127" s="14">
        <v>50</v>
      </c>
      <c r="N127" s="14">
        <f>(Tabla13[[#This Row],['[max.'] to reach 100% mortality (mg/L)]]/1000)*1000/Tabla13[[#This Row],[Stock concentration (g/L)]]</f>
        <v>10.96</v>
      </c>
      <c r="O127" s="42">
        <f>6*Tabla13[[#This Row],[Minimum stock volume (per partner; ml)]]*Tabla13[[#This Row],[Stock concentration (g/L)]]/1000</f>
        <v>3.2880000000000003</v>
      </c>
      <c r="P127" s="47">
        <v>408.93604736759966</v>
      </c>
      <c r="Q127" s="2">
        <v>408.93604736759966</v>
      </c>
    </row>
    <row r="128" spans="1:18" s="2" customFormat="1" ht="68.25" customHeight="1">
      <c r="A128" s="10" t="s">
        <v>1061</v>
      </c>
      <c r="B128" s="10"/>
      <c r="C128" s="14" t="str">
        <f>Tabla1[[#This Row],[Formula]]</f>
        <v>C₁₇H₁₇N₃O₃</v>
      </c>
      <c r="D128" s="2" t="str">
        <f>Tabla1[[#This Row],[CAS number]]</f>
        <v>81335-37-7</v>
      </c>
      <c r="E128" s="2" t="s">
        <v>33</v>
      </c>
      <c r="F128" s="2" t="s">
        <v>1064</v>
      </c>
      <c r="G128" s="2" t="s">
        <v>1065</v>
      </c>
      <c r="H128" s="2" t="s">
        <v>1066</v>
      </c>
      <c r="I128" s="2" t="s">
        <v>1067</v>
      </c>
      <c r="J128" s="2" t="s">
        <v>2079</v>
      </c>
      <c r="K128" s="124" t="s">
        <v>2080</v>
      </c>
      <c r="L128" s="14">
        <f>420*100</f>
        <v>42000</v>
      </c>
      <c r="M128" s="14">
        <v>500</v>
      </c>
      <c r="N128" s="14">
        <f>(Tabla13[[#This Row],['[max.'] to reach 100% mortality (mg/L)]]/1000)*1000/Tabla13[[#This Row],[Stock concentration (g/L)]]</f>
        <v>84</v>
      </c>
      <c r="O128" s="42">
        <f>6*Tabla13[[#This Row],[Minimum stock volume (per partner; ml)]]*Tabla13[[#This Row],[Stock concentration (g/L)]]/1000</f>
        <v>252</v>
      </c>
      <c r="P128" s="47">
        <v>26.488686321026965</v>
      </c>
      <c r="Q128" s="2">
        <v>252</v>
      </c>
    </row>
    <row r="129" spans="1:18" s="2" customFormat="1" ht="84.75" customHeight="1">
      <c r="A129" s="10" t="s">
        <v>1068</v>
      </c>
      <c r="B129" s="10"/>
      <c r="C129" s="14" t="str">
        <f>Tabla1[[#This Row],[Formula]]</f>
        <v>C₁₅H₂₁NO₄</v>
      </c>
      <c r="D129" s="2" t="str">
        <f>Tabla1[[#This Row],[CAS number]]</f>
        <v>57837-19-1</v>
      </c>
      <c r="E129" s="2" t="s">
        <v>33</v>
      </c>
      <c r="G129" s="2" t="s">
        <v>1071</v>
      </c>
      <c r="H129" s="2" t="s">
        <v>1072</v>
      </c>
      <c r="I129" s="2" t="s">
        <v>1073</v>
      </c>
      <c r="J129" s="2" t="s">
        <v>2081</v>
      </c>
      <c r="K129" s="2" t="s">
        <v>2082</v>
      </c>
      <c r="L129" s="14">
        <f>18.4*100</f>
        <v>1839.9999999999998</v>
      </c>
      <c r="M129" s="14">
        <v>500</v>
      </c>
      <c r="N129" s="14">
        <f>(Tabla13[[#This Row],['[max.'] to reach 100% mortality (mg/L)]]/1000)*1000/Tabla13[[#This Row],[Stock concentration (g/L)]]</f>
        <v>3.6799999999999997</v>
      </c>
      <c r="O129" s="42">
        <f>6*Tabla13[[#This Row],[Minimum stock volume (per partner; ml)]]*Tabla13[[#This Row],[Stock concentration (g/L)]]/1000</f>
        <v>11.04</v>
      </c>
      <c r="P129" s="47">
        <v>4.5655244239270489</v>
      </c>
      <c r="Q129" s="2">
        <v>11.04</v>
      </c>
    </row>
    <row r="130" spans="1:18" s="2" customFormat="1" ht="105">
      <c r="A130" s="10" t="s">
        <v>1074</v>
      </c>
      <c r="B130" s="10"/>
      <c r="C130" s="14" t="str">
        <f>Tabla1[[#This Row],[Formula]]</f>
        <v>C₁₁H₉Cl₂NO₃</v>
      </c>
      <c r="D130" s="2" t="str">
        <f>Tabla1[[#This Row],[CAS number]]</f>
        <v>113136-77-9</v>
      </c>
      <c r="E130" s="2" t="s">
        <v>33</v>
      </c>
      <c r="G130" s="2" t="s">
        <v>1077</v>
      </c>
      <c r="H130" s="2" t="s">
        <v>1078</v>
      </c>
      <c r="I130" s="2" t="s">
        <v>1079</v>
      </c>
      <c r="J130" s="2" t="s">
        <v>2083</v>
      </c>
      <c r="K130" s="124" t="s">
        <v>2084</v>
      </c>
      <c r="L130" s="14">
        <f>20*100</f>
        <v>2000</v>
      </c>
      <c r="M130" s="14">
        <v>50</v>
      </c>
      <c r="N130" s="14">
        <f>(Tabla13[[#This Row],['[max.'] to reach 100% mortality (mg/L)]]/1000)*1000/Tabla13[[#This Row],[Stock concentration (g/L)]]</f>
        <v>40</v>
      </c>
      <c r="O130" s="43">
        <f>6*Tabla13[[#This Row],[Minimum stock volume (per partner; ml)]]*Tabla13[[#This Row],[Stock concentration (g/L)]]/1000</f>
        <v>12</v>
      </c>
      <c r="P130" s="44">
        <v>4.1450867127506843</v>
      </c>
      <c r="Q130" s="2">
        <v>12</v>
      </c>
      <c r="R130" s="2" t="s">
        <v>1835</v>
      </c>
    </row>
    <row r="131" spans="1:18" s="2" customFormat="1" ht="101.25" customHeight="1">
      <c r="A131" s="10" t="s">
        <v>1080</v>
      </c>
      <c r="B131" s="10"/>
      <c r="C131" s="14" t="str">
        <f>Tabla1[[#This Row],[Formula]]</f>
        <v>C₆H₃Cl₃N₂O₂</v>
      </c>
      <c r="D131" s="2" t="str">
        <f>Tabla1[[#This Row],[CAS number]]</f>
        <v>1918-02-1</v>
      </c>
      <c r="E131" s="2" t="s">
        <v>1086</v>
      </c>
      <c r="G131" s="2" t="s">
        <v>1083</v>
      </c>
      <c r="H131" s="2" t="s">
        <v>1084</v>
      </c>
      <c r="I131" s="2" t="s">
        <v>1085</v>
      </c>
      <c r="J131" s="2" t="s">
        <v>2085</v>
      </c>
      <c r="K131" s="2" t="s">
        <v>2086</v>
      </c>
      <c r="L131" s="14">
        <f>100*100</f>
        <v>10000</v>
      </c>
      <c r="M131" s="14">
        <v>500</v>
      </c>
      <c r="N131" s="14">
        <f>(Tabla13[[#This Row],['[max.'] to reach 100% mortality (mg/L)]]/1000)*1000/Tabla13[[#This Row],[Stock concentration (g/L)]]</f>
        <v>20</v>
      </c>
      <c r="O131" s="42">
        <f>6*Tabla13[[#This Row],[Minimum stock volume (per partner; ml)]]*Tabla13[[#This Row],[Stock concentration (g/L)]]/1000</f>
        <v>60</v>
      </c>
      <c r="P131" s="47">
        <v>4.3167233258698019</v>
      </c>
      <c r="Q131" s="2">
        <v>60</v>
      </c>
    </row>
    <row r="132" spans="1:18" s="2" customFormat="1" ht="108" customHeight="1">
      <c r="A132" s="10" t="s">
        <v>1087</v>
      </c>
      <c r="B132" s="10"/>
      <c r="C132" s="14" t="str">
        <f>Tabla1[[#This Row],[Formula]]</f>
        <v>C₁₆H₁₄F₅N₅O₅S</v>
      </c>
      <c r="D132" s="2" t="str">
        <f>Tabla1[[#This Row],[CAS number]]</f>
        <v>219714-96-2</v>
      </c>
      <c r="E132" s="2" t="s">
        <v>33</v>
      </c>
      <c r="F132" s="2" t="s">
        <v>957</v>
      </c>
      <c r="G132" s="2" t="s">
        <v>1090</v>
      </c>
      <c r="H132" s="2" t="s">
        <v>1091</v>
      </c>
      <c r="I132" s="2" t="s">
        <v>1092</v>
      </c>
      <c r="J132" s="2" t="s">
        <v>2087</v>
      </c>
      <c r="K132" s="2" t="s">
        <v>2088</v>
      </c>
      <c r="L132" s="14">
        <f>200*100</f>
        <v>20000</v>
      </c>
      <c r="M132" s="14">
        <v>200</v>
      </c>
      <c r="N132" s="14">
        <f>(Tabla13[[#This Row],['[max.'] to reach 100% mortality (mg/L)]]/1000)*1000/Tabla13[[#This Row],[Stock concentration (g/L)]]</f>
        <v>100</v>
      </c>
      <c r="O132" s="43">
        <f>6*Tabla13[[#This Row],[Minimum stock volume (per partner; ml)]]*Tabla13[[#This Row],[Stock concentration (g/L)]]/1000</f>
        <v>120</v>
      </c>
      <c r="P132" s="44">
        <v>9.8087974843368979</v>
      </c>
      <c r="Q132" s="2">
        <v>120</v>
      </c>
      <c r="R132" s="2" t="s">
        <v>1835</v>
      </c>
    </row>
    <row r="133" spans="1:18" s="2" customFormat="1" ht="78" customHeight="1">
      <c r="A133" s="10" t="s">
        <v>1093</v>
      </c>
      <c r="B133" s="10"/>
      <c r="C133" s="14" t="str">
        <f>Tabla1[[#This Row],[Formula]]</f>
        <v>C₁₀H₁₀Cl₂O₃</v>
      </c>
      <c r="D133" s="2" t="str">
        <f>Tabla1[[#This Row],[CAS number]]</f>
        <v>94-82-6</v>
      </c>
      <c r="E133" s="2" t="s">
        <v>33</v>
      </c>
      <c r="F133" s="2" t="s">
        <v>1096</v>
      </c>
      <c r="G133" s="2" t="s">
        <v>1097</v>
      </c>
      <c r="H133" s="2" t="s">
        <v>1098</v>
      </c>
      <c r="I133" s="2" t="s">
        <v>1099</v>
      </c>
      <c r="J133" s="2" t="s">
        <v>2089</v>
      </c>
      <c r="K133" s="2" t="s">
        <v>2090</v>
      </c>
      <c r="L133" s="14">
        <f>25*100</f>
        <v>2500</v>
      </c>
      <c r="M133" s="14">
        <v>200</v>
      </c>
      <c r="N133" s="14">
        <f>(Tabla13[[#This Row],['[max.'] to reach 100% mortality (mg/L)]]/1000)*1000/Tabla13[[#This Row],[Stock concentration (g/L)]]</f>
        <v>12.5</v>
      </c>
      <c r="O133" s="42">
        <f>6*Tabla13[[#This Row],[Minimum stock volume (per partner; ml)]]*Tabla13[[#This Row],[Stock concentration (g/L)]]/1000</f>
        <v>15</v>
      </c>
      <c r="P133" s="47">
        <v>0.83021527994980948</v>
      </c>
      <c r="Q133" s="2">
        <v>15</v>
      </c>
    </row>
    <row r="134" spans="1:18" s="2" customFormat="1" ht="75">
      <c r="A134" s="10" t="s">
        <v>1100</v>
      </c>
      <c r="B134" s="118"/>
      <c r="C134" s="14" t="str">
        <f>Tabla1[[#This Row],[Formula]]</f>
        <v>C₁₂H₂₁N₂O₄P</v>
      </c>
      <c r="D134" s="2" t="str">
        <f>Tabla1[[#This Row],[CAS number]]</f>
        <v>962-58-3</v>
      </c>
      <c r="E134" s="22" t="s">
        <v>1106</v>
      </c>
      <c r="G134" s="2" t="s">
        <v>1103</v>
      </c>
      <c r="H134" s="2" t="s">
        <v>1105</v>
      </c>
      <c r="I134" s="2" t="s">
        <v>59</v>
      </c>
      <c r="J134" s="2" t="s">
        <v>2091</v>
      </c>
      <c r="K134" s="123" t="s">
        <v>2092</v>
      </c>
      <c r="L134" s="14">
        <f>13.31*100</f>
        <v>1331</v>
      </c>
      <c r="M134" s="14">
        <v>200</v>
      </c>
      <c r="N134" s="14">
        <f>(Tabla13[[#This Row],['[max.'] to reach 100% mortality (mg/L)]]/1000)*1000/Tabla13[[#This Row],[Stock concentration (g/L)]]</f>
        <v>6.6550000000000002</v>
      </c>
      <c r="O134" s="43">
        <f>6*Tabla13[[#This Row],[Minimum stock volume (per partner; ml)]]*Tabla13[[#This Row],[Stock concentration (g/L)]]/1000</f>
        <v>7.9859999999999998</v>
      </c>
      <c r="P134" s="44">
        <v>31.454920020931088</v>
      </c>
      <c r="Q134" s="2">
        <v>31.454920020931088</v>
      </c>
      <c r="R134" s="2" t="s">
        <v>1835</v>
      </c>
    </row>
    <row r="135" spans="1:18" s="2" customFormat="1" ht="144" customHeight="1">
      <c r="A135" s="10" t="s">
        <v>1107</v>
      </c>
      <c r="B135" s="10"/>
      <c r="C135" s="14" t="str">
        <f>Tabla1[[#This Row],[Formula]]</f>
        <v>C₇H₁₂ClN₅</v>
      </c>
      <c r="D135" s="2" t="str">
        <f>Tabla1[[#This Row],[CAS number]]</f>
        <v>122-34-9</v>
      </c>
      <c r="E135" s="2" t="s">
        <v>33</v>
      </c>
      <c r="F135" s="2" t="s">
        <v>1110</v>
      </c>
      <c r="G135" s="2" t="s">
        <v>1111</v>
      </c>
      <c r="H135" s="2" t="s">
        <v>1112</v>
      </c>
      <c r="I135" s="2" t="s">
        <v>1113</v>
      </c>
      <c r="J135" s="2" t="s">
        <v>2093</v>
      </c>
      <c r="K135" s="2" t="s">
        <v>2094</v>
      </c>
      <c r="L135" s="14">
        <f>118*100</f>
        <v>11800</v>
      </c>
      <c r="M135" s="14">
        <v>500</v>
      </c>
      <c r="N135" s="14">
        <f>(Tabla13[[#This Row],['[max.'] to reach 100% mortality (mg/L)]]/1000)*1000/Tabla13[[#This Row],[Stock concentration (g/L)]]</f>
        <v>23.6</v>
      </c>
      <c r="O135" s="42">
        <f>6*Tabla13[[#This Row],[Minimum stock volume (per partner; ml)]]*Tabla13[[#This Row],[Stock concentration (g/L)]]/1000</f>
        <v>70.800000000000011</v>
      </c>
      <c r="P135" s="47">
        <v>1.275851433919049</v>
      </c>
      <c r="Q135" s="2">
        <v>70.800000000000011</v>
      </c>
    </row>
    <row r="136" spans="1:18" s="2" customFormat="1" ht="90.75" customHeight="1">
      <c r="A136" s="10" t="s">
        <v>1114</v>
      </c>
      <c r="B136" s="10"/>
      <c r="C136" s="14" t="str">
        <f>Tabla1[[#This Row],[Formula]]</f>
        <v>C₂H₇AsO₂</v>
      </c>
      <c r="D136" s="2" t="str">
        <f>Tabla1[[#This Row],[CAS number]]</f>
        <v>75-60-5</v>
      </c>
      <c r="E136" s="2" t="s">
        <v>1119</v>
      </c>
      <c r="G136" s="2" t="s">
        <v>636</v>
      </c>
      <c r="H136" s="2" t="s">
        <v>1117</v>
      </c>
      <c r="I136" s="2" t="s">
        <v>1118</v>
      </c>
      <c r="J136" s="2" t="s">
        <v>2095</v>
      </c>
      <c r="K136" s="124" t="s">
        <v>2096</v>
      </c>
      <c r="L136" s="14">
        <f>180*100</f>
        <v>18000</v>
      </c>
      <c r="M136" s="14">
        <v>500</v>
      </c>
      <c r="N136" s="14">
        <f>(Tabla13[[#This Row],['[max.'] to reach 100% mortality (mg/L)]]/1000)*1000/Tabla13[[#This Row],[Stock concentration (g/L)]]</f>
        <v>36</v>
      </c>
      <c r="O136" s="42">
        <f>6*Tabla13[[#This Row],[Minimum stock volume (per partner; ml)]]*Tabla13[[#This Row],[Stock concentration (g/L)]]/1000</f>
        <v>108</v>
      </c>
      <c r="P136" s="47" t="e">
        <v>#VALUE!</v>
      </c>
      <c r="Q136" s="2" t="e">
        <v>#VALUE!</v>
      </c>
    </row>
    <row r="137" spans="1:18" s="2" customFormat="1" ht="101.25" customHeight="1">
      <c r="A137" s="10" t="s">
        <v>1120</v>
      </c>
      <c r="B137" s="10"/>
      <c r="C137" s="14" t="str">
        <f>Tabla1[[#This Row],[Formula]]</f>
        <v>C₅H₁₂NO₃PS₂</v>
      </c>
      <c r="D137" s="2" t="str">
        <f>Tabla1[[#This Row],[CAS number]]</f>
        <v>60-51-5</v>
      </c>
      <c r="E137" s="22" t="s">
        <v>295</v>
      </c>
      <c r="F137" s="2" t="s">
        <v>957</v>
      </c>
      <c r="G137" s="2" t="s">
        <v>1123</v>
      </c>
      <c r="H137" s="2" t="s">
        <v>1124</v>
      </c>
      <c r="I137" s="2" t="s">
        <v>1125</v>
      </c>
      <c r="J137" s="2" t="s">
        <v>2097</v>
      </c>
      <c r="K137" s="2" t="s">
        <v>2098</v>
      </c>
      <c r="L137" s="14">
        <f>7.5*100</f>
        <v>750</v>
      </c>
      <c r="M137" s="14">
        <v>50</v>
      </c>
      <c r="N137" s="14">
        <f>(Tabla13[[#This Row],['[max.'] to reach 100% mortality (mg/L)]]/1000)*1000/Tabla13[[#This Row],[Stock concentration (g/L)]]</f>
        <v>15</v>
      </c>
      <c r="O137" s="42">
        <f>6*Tabla13[[#This Row],[Minimum stock volume (per partner; ml)]]*Tabla13[[#This Row],[Stock concentration (g/L)]]/1000</f>
        <v>4.5</v>
      </c>
      <c r="P137" s="47">
        <v>28.033447325341005</v>
      </c>
      <c r="Q137" s="2">
        <v>28.033447325341005</v>
      </c>
    </row>
    <row r="138" spans="1:18" s="2" customFormat="1" ht="99.75" customHeight="1">
      <c r="A138" s="10" t="s">
        <v>1126</v>
      </c>
      <c r="B138" s="118"/>
      <c r="C138" s="14" t="str">
        <f>Tabla1[[#This Row],[Formula]]</f>
        <v>C₁₄H₈Cl₂N₄</v>
      </c>
      <c r="D138" s="2" t="str">
        <f>Tabla1[[#This Row],[CAS number]]</f>
        <v>74115-24-5</v>
      </c>
      <c r="E138" s="2" t="s">
        <v>33</v>
      </c>
      <c r="F138" s="2" t="s">
        <v>1129</v>
      </c>
      <c r="G138" s="2" t="s">
        <v>1130</v>
      </c>
      <c r="H138" s="2" t="s">
        <v>1131</v>
      </c>
      <c r="I138" s="2" t="s">
        <v>1132</v>
      </c>
      <c r="J138" s="2" t="s">
        <v>2099</v>
      </c>
      <c r="K138" s="2" t="s">
        <v>2100</v>
      </c>
      <c r="L138" s="14">
        <f>0.015*100</f>
        <v>1.5</v>
      </c>
      <c r="M138" s="14">
        <v>1</v>
      </c>
      <c r="N138" s="14">
        <f>(Tabla13[[#This Row],['[max.'] to reach 100% mortality (mg/L)]]/1000)*1000/Tabla13[[#This Row],[Stock concentration (g/L)]]</f>
        <v>1.5</v>
      </c>
      <c r="O138" s="42">
        <f>6*Tabla13[[#This Row],[Minimum stock volume (per partner; ml)]]*Tabla13[[#This Row],[Stock concentration (g/L)]]/1000</f>
        <v>8.9999999999999993E-3</v>
      </c>
      <c r="P138" s="47">
        <v>0.36929474767600357</v>
      </c>
      <c r="Q138" s="2">
        <v>0.36929474767600357</v>
      </c>
    </row>
    <row r="139" spans="1:18" s="2" customFormat="1" ht="117" customHeight="1">
      <c r="A139" s="10" t="s">
        <v>1133</v>
      </c>
      <c r="B139" s="118"/>
      <c r="C139" s="14" t="str">
        <f>Tabla1[[#This Row],[Formula]]</f>
        <v>C₁₄H₁₀N₂O₂</v>
      </c>
      <c r="D139" s="2" t="str">
        <f>Tabla1[[#This Row],[CAS number]]</f>
        <v>128-95-0</v>
      </c>
      <c r="E139" s="2" t="s">
        <v>33</v>
      </c>
      <c r="F139" s="2" t="s">
        <v>957</v>
      </c>
      <c r="G139" s="2" t="s">
        <v>1136</v>
      </c>
      <c r="H139" s="2" t="s">
        <v>59</v>
      </c>
      <c r="I139" s="2" t="s">
        <v>59</v>
      </c>
      <c r="J139" s="2" t="s">
        <v>2101</v>
      </c>
      <c r="K139" s="2" t="s">
        <v>2102</v>
      </c>
      <c r="L139" s="14"/>
      <c r="M139" s="14"/>
      <c r="N139" s="14" t="e">
        <f>(Tabla13[[#This Row],['[max.'] to reach 100% mortality (mg/L)]]/1000)*1000/Tabla13[[#This Row],[Stock concentration (g/L)]]</f>
        <v>#DIV/0!</v>
      </c>
      <c r="O139" s="40" t="s">
        <v>1919</v>
      </c>
      <c r="P139" s="41">
        <v>0.34848938167781229</v>
      </c>
      <c r="Q139" s="2">
        <v>0.34848938167781229</v>
      </c>
    </row>
    <row r="140" spans="1:18" s="2" customFormat="1" ht="98.25" customHeight="1">
      <c r="A140" s="10" t="s">
        <v>1137</v>
      </c>
      <c r="B140" s="10"/>
      <c r="C140" s="14" t="str">
        <f>Tabla1[[#This Row],[Formula]]</f>
        <v>C₁₄H₆N₂O₈</v>
      </c>
      <c r="D140" s="2" t="str">
        <f>Tabla1[[#This Row],[CAS number]]</f>
        <v>81-55-0</v>
      </c>
      <c r="E140" s="2" t="s">
        <v>33</v>
      </c>
      <c r="F140" s="2" t="s">
        <v>1140</v>
      </c>
      <c r="G140" s="2" t="s">
        <v>1141</v>
      </c>
      <c r="H140" s="2" t="s">
        <v>1142</v>
      </c>
      <c r="I140" s="2" t="s">
        <v>1142</v>
      </c>
      <c r="J140" s="2" t="s">
        <v>2103</v>
      </c>
      <c r="K140" s="124" t="s">
        <v>2104</v>
      </c>
      <c r="L140" s="14"/>
      <c r="M140" s="14"/>
      <c r="N140" s="14" t="e">
        <f>(Tabla13[[#This Row],['[max.'] to reach 100% mortality (mg/L)]]/1000)*1000/Tabla13[[#This Row],[Stock concentration (g/L)]]</f>
        <v>#DIV/0!</v>
      </c>
      <c r="O140" s="40" t="s">
        <v>1919</v>
      </c>
      <c r="P140" s="41">
        <v>8.7043859551373295</v>
      </c>
      <c r="Q140" s="2">
        <v>8.7043859551373295</v>
      </c>
    </row>
    <row r="141" spans="1:18" s="2" customFormat="1" ht="84">
      <c r="A141" s="10" t="s">
        <v>1143</v>
      </c>
      <c r="B141" s="118"/>
      <c r="C141" s="14" t="str">
        <f>Tabla1[[#This Row],[Formula]]</f>
        <v>C₁₄H₉NO₂</v>
      </c>
      <c r="D141" s="2" t="str">
        <f>Tabla1[[#This Row],[CAS number]]</f>
        <v>117-79-3</v>
      </c>
      <c r="E141" s="2" t="s">
        <v>33</v>
      </c>
      <c r="F141" s="2" t="s">
        <v>1146</v>
      </c>
      <c r="G141" s="2" t="s">
        <v>1147</v>
      </c>
      <c r="H141" s="2" t="s">
        <v>1148</v>
      </c>
      <c r="I141" s="2" t="s">
        <v>1149</v>
      </c>
      <c r="J141" s="2" t="s">
        <v>2105</v>
      </c>
      <c r="K141" s="124" t="s">
        <v>2106</v>
      </c>
      <c r="L141" s="14">
        <f>10000*100</f>
        <v>1000000</v>
      </c>
      <c r="M141" s="14">
        <v>1000</v>
      </c>
      <c r="N141" s="14">
        <f>(Tabla13[[#This Row],['[max.'] to reach 100% mortality (mg/L)]]/1000)*1000/Tabla13[[#This Row],[Stock concentration (g/L)]]</f>
        <v>1000</v>
      </c>
      <c r="O141" s="42">
        <f>6*Tabla13[[#This Row],[Minimum stock volume (per partner; ml)]]*Tabla13[[#This Row],[Stock concentration (g/L)]]/1000</f>
        <v>6000</v>
      </c>
      <c r="P141" s="47">
        <v>0.20150720872858199</v>
      </c>
      <c r="Q141" s="2">
        <v>6000</v>
      </c>
      <c r="R141" s="9" t="s">
        <v>1929</v>
      </c>
    </row>
    <row r="142" spans="1:18" s="2" customFormat="1" ht="66.75" customHeight="1">
      <c r="A142" s="10" t="s">
        <v>1150</v>
      </c>
      <c r="B142" s="118"/>
      <c r="C142" s="14" t="str">
        <f>Tabla1[[#This Row],[Formula]]</f>
        <v>C₁₉H₁₇N₃ · HCl</v>
      </c>
      <c r="D142" s="2" t="str">
        <f>Tabla1[[#This Row],[CAS number]]</f>
        <v>569-61-9</v>
      </c>
      <c r="E142" s="22" t="s">
        <v>1154</v>
      </c>
      <c r="G142" s="2" t="s">
        <v>1153</v>
      </c>
      <c r="H142" s="2" t="s">
        <v>59</v>
      </c>
      <c r="I142" s="2" t="s">
        <v>59</v>
      </c>
      <c r="J142" s="2" t="s">
        <v>2107</v>
      </c>
      <c r="K142" s="2" t="s">
        <v>2108</v>
      </c>
      <c r="L142" s="14"/>
      <c r="M142" s="14"/>
      <c r="N142" s="14" t="e">
        <f>(Tabla13[[#This Row],['[max.'] to reach 100% mortality (mg/L)]]/1000)*1000/Tabla13[[#This Row],[Stock concentration (g/L)]]</f>
        <v>#DIV/0!</v>
      </c>
      <c r="O142" s="40" t="s">
        <v>1919</v>
      </c>
      <c r="P142" s="41">
        <v>4512.6677057618908</v>
      </c>
      <c r="Q142" s="2">
        <v>4512.6677057618908</v>
      </c>
    </row>
    <row r="143" spans="1:18" s="2" customFormat="1" ht="75">
      <c r="A143" s="10" t="s">
        <v>1155</v>
      </c>
      <c r="B143" s="10"/>
      <c r="C143" s="14" t="str">
        <f>Tabla1[[#This Row],[Formula]]</f>
        <v>C₁₅H₁₁BrClF₃N₂O</v>
      </c>
      <c r="D143" s="2" t="str">
        <f>Tabla1[[#This Row],[CAS number]]</f>
        <v>122453-73-0</v>
      </c>
      <c r="E143" s="2" t="s">
        <v>33</v>
      </c>
      <c r="F143" s="2" t="s">
        <v>1158</v>
      </c>
      <c r="G143" s="2" t="s">
        <v>1159</v>
      </c>
      <c r="H143" s="2" t="s">
        <v>1160</v>
      </c>
      <c r="I143" s="2" t="s">
        <v>1161</v>
      </c>
      <c r="L143" s="14">
        <f>0.01*100</f>
        <v>1</v>
      </c>
      <c r="M143" s="14">
        <v>1</v>
      </c>
      <c r="N143" s="14">
        <f>(Tabla13[[#This Row],['[max.'] to reach 100% mortality (mg/L)]]/1000)*1000/Tabla13[[#This Row],[Stock concentration (g/L)]]</f>
        <v>1</v>
      </c>
      <c r="O143" s="42">
        <f>6*Tabla13[[#This Row],[Minimum stock volume (per partner; ml)]]*Tabla13[[#This Row],[Stock concentration (g/L)]]/1000</f>
        <v>6.0000000000000001E-3</v>
      </c>
      <c r="P143" s="47">
        <v>0.10827779361876601</v>
      </c>
      <c r="Q143" s="2">
        <v>0.10827779361876601</v>
      </c>
    </row>
    <row r="144" spans="1:18" s="2" customFormat="1" ht="99.75" customHeight="1">
      <c r="A144" s="10" t="s">
        <v>1162</v>
      </c>
      <c r="B144" s="10"/>
      <c r="C144" s="14" t="str">
        <f>Tabla1[[#This Row],[Formula]]</f>
        <v>C₂₃H₁₅ClO₃</v>
      </c>
      <c r="D144" s="2" t="str">
        <f>Tabla1[[#This Row],[CAS number]]</f>
        <v>3691-35-8</v>
      </c>
      <c r="E144" s="2" t="s">
        <v>33</v>
      </c>
      <c r="F144" s="2" t="s">
        <v>1110</v>
      </c>
      <c r="G144" s="2" t="s">
        <v>44</v>
      </c>
      <c r="H144" s="2" t="s">
        <v>1165</v>
      </c>
      <c r="I144" s="2" t="s">
        <v>1166</v>
      </c>
      <c r="J144" s="2" t="s">
        <v>2109</v>
      </c>
      <c r="K144" s="124" t="s">
        <v>2110</v>
      </c>
      <c r="L144" s="14">
        <f>0.64*100</f>
        <v>64</v>
      </c>
      <c r="M144" s="14">
        <v>5</v>
      </c>
      <c r="N144" s="14">
        <f>(Tabla13[[#This Row],['[max.'] to reach 100% mortality (mg/L)]]/1000)*1000/Tabla13[[#This Row],[Stock concentration (g/L)]]</f>
        <v>12.8</v>
      </c>
      <c r="O144" s="42">
        <f>6*Tabla13[[#This Row],[Minimum stock volume (per partner; ml)]]*Tabla13[[#This Row],[Stock concentration (g/L)]]/1000</f>
        <v>0.38400000000000006</v>
      </c>
      <c r="P144" s="47">
        <v>0.47450183041137495</v>
      </c>
      <c r="Q144" s="2">
        <v>0.47450183041137495</v>
      </c>
    </row>
    <row r="145" spans="1:24" s="2" customFormat="1" ht="105">
      <c r="A145" s="10" t="s">
        <v>1167</v>
      </c>
      <c r="B145" s="10"/>
      <c r="C145" s="14" t="str">
        <f>Tabla1[[#This Row],[Formula]]</f>
        <v>C₁₇H₉Cl₃N₄O₂</v>
      </c>
      <c r="D145" s="2" t="str">
        <f>Tabla1[[#This Row],[CAS number]]</f>
        <v>101831-37-2</v>
      </c>
      <c r="E145" s="2" t="s">
        <v>33</v>
      </c>
      <c r="F145" s="2" t="s">
        <v>1170</v>
      </c>
      <c r="G145" s="2" t="s">
        <v>44</v>
      </c>
      <c r="H145" s="2" t="s">
        <v>1171</v>
      </c>
      <c r="I145" s="2" t="s">
        <v>1172</v>
      </c>
      <c r="J145" s="2" t="s">
        <v>2111</v>
      </c>
      <c r="K145" s="124" t="s">
        <v>2112</v>
      </c>
      <c r="L145" s="14">
        <f>0.63*100</f>
        <v>63</v>
      </c>
      <c r="M145" s="14">
        <v>50</v>
      </c>
      <c r="N145" s="14">
        <f>(Tabla13[[#This Row],['[max.'] to reach 100% mortality (mg/L)]]/1000)*1000/Tabla13[[#This Row],[Stock concentration (g/L)]]</f>
        <v>1.26</v>
      </c>
      <c r="O145" s="42">
        <f>6*Tabla13[[#This Row],[Minimum stock volume (per partner; ml)]]*Tabla13[[#This Row],[Stock concentration (g/L)]]/1000</f>
        <v>0.378</v>
      </c>
      <c r="P145" s="47">
        <v>2.3627502608794471</v>
      </c>
      <c r="Q145" s="2">
        <v>2.3627502608794471</v>
      </c>
    </row>
    <row r="146" spans="1:24" s="2" customFormat="1" ht="60">
      <c r="A146" s="10" t="s">
        <v>1173</v>
      </c>
      <c r="B146" s="118"/>
      <c r="C146" s="14" t="str">
        <f>Tabla1[[#This Row],[Formula]]</f>
        <v>C₁₃H₁₂N₂O</v>
      </c>
      <c r="D146" s="2" t="str">
        <f>Tabla1[[#This Row],[CAS number]]</f>
        <v>102-07-8</v>
      </c>
      <c r="E146" s="2" t="s">
        <v>33</v>
      </c>
      <c r="G146" s="2" t="s">
        <v>1176</v>
      </c>
      <c r="H146" s="2" t="s">
        <v>59</v>
      </c>
      <c r="I146" s="2" t="s">
        <v>59</v>
      </c>
      <c r="J146" s="2" t="s">
        <v>2113</v>
      </c>
      <c r="K146" s="124" t="s">
        <v>2114</v>
      </c>
      <c r="L146" s="14"/>
      <c r="M146" s="14"/>
      <c r="N146" s="14" t="e">
        <f>(Tabla13[[#This Row],['[max.'] to reach 100% mortality (mg/L)]]/1000)*1000/Tabla13[[#This Row],[Stock concentration (g/L)]]</f>
        <v>#DIV/0!</v>
      </c>
      <c r="O146" s="40" t="s">
        <v>1919</v>
      </c>
      <c r="P146" s="41">
        <v>0.30914029280659322</v>
      </c>
      <c r="Q146" s="2">
        <v>0.30914029280659322</v>
      </c>
      <c r="R146" s="2" t="s">
        <v>1898</v>
      </c>
    </row>
    <row r="147" spans="1:24" s="2" customFormat="1" ht="116.25" customHeight="1">
      <c r="A147" s="10" t="s">
        <v>1177</v>
      </c>
      <c r="B147" s="10"/>
      <c r="C147" s="14" t="str">
        <f>Tabla1[[#This Row],[Formula]]</f>
        <v>C₁₅H₁₀O₅</v>
      </c>
      <c r="D147" s="2" t="str">
        <f>Tabla1[[#This Row],[CAS number]]</f>
        <v>518-82-1</v>
      </c>
      <c r="E147" s="22" t="s">
        <v>1182</v>
      </c>
      <c r="F147" s="2" t="s">
        <v>1179</v>
      </c>
      <c r="G147" s="2" t="s">
        <v>1180</v>
      </c>
      <c r="H147" s="2" t="s">
        <v>1181</v>
      </c>
      <c r="I147" s="2" t="s">
        <v>59</v>
      </c>
      <c r="J147" s="2" t="s">
        <v>2115</v>
      </c>
      <c r="K147" s="2" t="s">
        <v>2116</v>
      </c>
      <c r="L147" s="14">
        <f>3.15*100</f>
        <v>315</v>
      </c>
      <c r="M147" s="14">
        <v>50</v>
      </c>
      <c r="N147" s="14">
        <f>(Tabla13[[#This Row],['[max.'] to reach 100% mortality (mg/L)]]/1000)*1000/Tabla13[[#This Row],[Stock concentration (g/L)]]</f>
        <v>6.3</v>
      </c>
      <c r="O147" s="43">
        <f>6*Tabla13[[#This Row],[Minimum stock volume (per partner; ml)]]*Tabla13[[#This Row],[Stock concentration (g/L)]]/1000</f>
        <v>1.8899999999999997</v>
      </c>
      <c r="P147" s="44">
        <v>2.5768439048716472</v>
      </c>
      <c r="Q147" s="2">
        <v>2.5768439048716472</v>
      </c>
      <c r="R147" s="2" t="s">
        <v>1835</v>
      </c>
    </row>
    <row r="148" spans="1:24" s="2" customFormat="1" ht="116.25" customHeight="1">
      <c r="A148" s="10" t="s">
        <v>1183</v>
      </c>
      <c r="B148" s="10"/>
      <c r="C148" s="14" t="str">
        <f>Tabla1[[#This Row],[Formula]]</f>
        <v>C₁₀H₅F₃N₄O</v>
      </c>
      <c r="D148" s="2" t="str">
        <f>Tabla1[[#This Row],[CAS number]]</f>
        <v>370-86-5</v>
      </c>
      <c r="E148" s="22" t="s">
        <v>1182</v>
      </c>
      <c r="F148" s="2" t="s">
        <v>1186</v>
      </c>
      <c r="G148" s="2" t="s">
        <v>44</v>
      </c>
      <c r="H148" s="2" t="s">
        <v>59</v>
      </c>
      <c r="I148" s="2" t="s">
        <v>59</v>
      </c>
      <c r="J148" s="2" t="s">
        <v>2117</v>
      </c>
      <c r="K148" s="2" t="s">
        <v>2118</v>
      </c>
      <c r="L148" s="14"/>
      <c r="M148" s="14"/>
      <c r="N148" s="14" t="e">
        <f>(Tabla13[[#This Row],['[max.'] to reach 100% mortality (mg/L)]]/1000)*1000/Tabla13[[#This Row],[Stock concentration (g/L)]]</f>
        <v>#DIV/0!</v>
      </c>
      <c r="O148" s="40" t="s">
        <v>1919</v>
      </c>
      <c r="P148" s="41" t="e">
        <v>#REF!</v>
      </c>
      <c r="Q148" s="2" t="e">
        <v>#REF!</v>
      </c>
      <c r="R148" s="2" t="s">
        <v>1898</v>
      </c>
    </row>
    <row r="149" spans="1:24" s="2" customFormat="1" ht="60">
      <c r="A149" s="10" t="s">
        <v>1187</v>
      </c>
      <c r="B149" s="10"/>
      <c r="C149" s="14" t="str">
        <f>Tabla1[[#This Row],[Formula]]</f>
        <v>C₁₃H₈Cl₂N₂O₄</v>
      </c>
      <c r="D149" s="2" t="str">
        <f>Tabla1[[#This Row],[CAS number]]</f>
        <v>50-65-7</v>
      </c>
      <c r="E149" s="2" t="s">
        <v>33</v>
      </c>
      <c r="F149" s="2" t="s">
        <v>1190</v>
      </c>
      <c r="G149" s="2" t="s">
        <v>1191</v>
      </c>
      <c r="H149" s="2" t="s">
        <v>1192</v>
      </c>
      <c r="I149" s="2" t="s">
        <v>1193</v>
      </c>
      <c r="L149" s="14">
        <f>0.11*100</f>
        <v>11</v>
      </c>
      <c r="M149" s="14">
        <v>5</v>
      </c>
      <c r="N149" s="14">
        <f>(Tabla13[[#This Row],['[max.'] to reach 100% mortality (mg/L)]]/1000)*1000/Tabla13[[#This Row],[Stock concentration (g/L)]]</f>
        <v>2.2000000000000002</v>
      </c>
      <c r="O149" s="42">
        <f>6*Tabla13[[#This Row],[Minimum stock volume (per partner; ml)]]*Tabla13[[#This Row],[Stock concentration (g/L)]]/1000</f>
        <v>6.6000000000000003E-2</v>
      </c>
      <c r="P149" s="47">
        <v>7.6467172657945975E-2</v>
      </c>
      <c r="Q149" s="2">
        <v>7.6467172657945975E-2</v>
      </c>
    </row>
    <row r="150" spans="1:24" s="2" customFormat="1" ht="75">
      <c r="A150" s="10" t="s">
        <v>1194</v>
      </c>
      <c r="B150" s="10"/>
      <c r="C150" s="14" t="str">
        <f>Tabla1[[#This Row],[Formula]]</f>
        <v>C₂₁H₂₂NO₄</v>
      </c>
      <c r="D150" s="2" t="str">
        <f>Tabla1[[#This Row],[CAS number]]</f>
        <v>3486-67-7</v>
      </c>
      <c r="E150" s="22" t="s">
        <v>1199</v>
      </c>
      <c r="F150" s="2" t="s">
        <v>1197</v>
      </c>
      <c r="G150" s="2" t="s">
        <v>1198</v>
      </c>
      <c r="H150" s="2" t="s">
        <v>59</v>
      </c>
      <c r="I150" s="2" t="s">
        <v>59</v>
      </c>
      <c r="L150" s="14"/>
      <c r="M150" s="14"/>
      <c r="N150" s="14" t="e">
        <f>(Tabla13[[#This Row],['[max.'] to reach 100% mortality (mg/L)]]/1000)*1000/Tabla13[[#This Row],[Stock concentration (g/L)]]</f>
        <v>#DIV/0!</v>
      </c>
      <c r="O150" s="40" t="s">
        <v>1919</v>
      </c>
      <c r="P150" s="41">
        <v>3.567004033017982</v>
      </c>
      <c r="Q150" s="2">
        <v>3.567004033017982</v>
      </c>
      <c r="R150" s="2" t="s">
        <v>1898</v>
      </c>
    </row>
    <row r="151" spans="1:24" s="2" customFormat="1" ht="60">
      <c r="A151" s="10" t="s">
        <v>1200</v>
      </c>
      <c r="B151" s="10"/>
      <c r="C151" s="14" t="str">
        <f>Tabla1[[#This Row],[Formula]]</f>
        <v>C₂₅H₂₅ClN₂</v>
      </c>
      <c r="D151" s="5" t="str">
        <f>Tabla1[[#This Row],[CAS number]]</f>
        <v>605-91-4
2768-90-3</v>
      </c>
      <c r="E151" s="22" t="s">
        <v>295</v>
      </c>
      <c r="F151" s="2" t="s">
        <v>59</v>
      </c>
      <c r="G151" s="2" t="s">
        <v>1203</v>
      </c>
      <c r="H151" s="2" t="s">
        <v>59</v>
      </c>
      <c r="I151" s="2" t="s">
        <v>59</v>
      </c>
      <c r="J151" s="2" t="s">
        <v>2119</v>
      </c>
      <c r="K151" s="124" t="s">
        <v>2120</v>
      </c>
      <c r="L151" s="14"/>
      <c r="M151" s="14"/>
      <c r="N151" s="14" t="e">
        <f>(Tabla13[[#This Row],['[max.'] to reach 100% mortality (mg/L)]]/1000)*1000/Tabla13[[#This Row],[Stock concentration (g/L)]]</f>
        <v>#DIV/0!</v>
      </c>
      <c r="O151" s="40" t="s">
        <v>1919</v>
      </c>
      <c r="P151" s="41">
        <v>54.809726168129359</v>
      </c>
      <c r="Q151" s="2">
        <v>54.809726168129359</v>
      </c>
      <c r="R151" s="2" t="s">
        <v>1898</v>
      </c>
    </row>
    <row r="152" spans="1:24" s="2" customFormat="1" ht="114.75" customHeight="1">
      <c r="A152" s="10" t="s">
        <v>1204</v>
      </c>
      <c r="B152" s="10"/>
      <c r="C152" s="14" t="str">
        <f>Tabla1[[#This Row],[Formula]]</f>
        <v>C₁₅H₈O₆</v>
      </c>
      <c r="D152" s="2" t="str">
        <f>Tabla1[[#This Row],[CAS number]]</f>
        <v>478-43-3</v>
      </c>
      <c r="E152" s="22" t="s">
        <v>1182</v>
      </c>
      <c r="G152" s="2" t="s">
        <v>1207</v>
      </c>
      <c r="H152" s="2" t="s">
        <v>59</v>
      </c>
      <c r="I152" s="2" t="s">
        <v>59</v>
      </c>
      <c r="J152" s="2" t="s">
        <v>2121</v>
      </c>
      <c r="K152" s="2" t="s">
        <v>2122</v>
      </c>
      <c r="L152" s="14"/>
      <c r="M152" s="14"/>
      <c r="N152" s="14" t="e">
        <f>(Tabla13[[#This Row],['[max.'] to reach 100% mortality (mg/L)]]/1000)*1000/Tabla13[[#This Row],[Stock concentration (g/L)]]</f>
        <v>#DIV/0!</v>
      </c>
      <c r="O152" s="40" t="s">
        <v>1919</v>
      </c>
      <c r="P152" s="41">
        <v>5.5309178664945176</v>
      </c>
      <c r="Q152" s="2">
        <v>5.5309178664945176</v>
      </c>
      <c r="R152" s="2" t="s">
        <v>1898</v>
      </c>
    </row>
    <row r="153" spans="1:24" s="2" customFormat="1" ht="60">
      <c r="A153" s="10" t="s">
        <v>1208</v>
      </c>
      <c r="B153" s="10"/>
      <c r="C153" s="14" t="str">
        <f>Tabla1[[#This Row],[Formula]]</f>
        <v>C₄₃H₅₈N₄O₁₂</v>
      </c>
      <c r="D153" s="2" t="str">
        <f>Tabla1[[#This Row],[CAS number]]</f>
        <v>13292-46-1</v>
      </c>
      <c r="E153" s="22" t="s">
        <v>1182</v>
      </c>
      <c r="F153" s="2" t="s">
        <v>1211</v>
      </c>
      <c r="G153" s="2" t="s">
        <v>1212</v>
      </c>
      <c r="H153" s="2" t="s">
        <v>1213</v>
      </c>
      <c r="I153" s="2" t="s">
        <v>1214</v>
      </c>
      <c r="J153" s="2" t="s">
        <v>2123</v>
      </c>
      <c r="K153" s="124" t="s">
        <v>2124</v>
      </c>
      <c r="L153" s="14">
        <f>3300*100</f>
        <v>330000</v>
      </c>
      <c r="M153" s="14">
        <v>1000</v>
      </c>
      <c r="N153" s="14">
        <f>(Tabla13[[#This Row],['[max.'] to reach 100% mortality (mg/L)]]/1000)*1000/Tabla13[[#This Row],[Stock concentration (g/L)]]</f>
        <v>330</v>
      </c>
      <c r="O153" s="42">
        <f>6*Tabla13[[#This Row],[Minimum stock volume (per partner; ml)]]*Tabla13[[#This Row],[Stock concentration (g/L)]]/1000</f>
        <v>1980</v>
      </c>
      <c r="P153" s="47">
        <v>6.0661416544051825</v>
      </c>
      <c r="Q153" s="2">
        <v>1980</v>
      </c>
    </row>
    <row r="154" spans="1:24" s="2" customFormat="1" ht="116.25" customHeight="1">
      <c r="A154" s="10" t="s">
        <v>1215</v>
      </c>
      <c r="B154" s="10"/>
      <c r="C154" s="14" t="str">
        <f>Tabla1[[#This Row],[Formula]]</f>
        <v>C₄₇H₆₄N₄O₁₂</v>
      </c>
      <c r="D154" s="2" t="str">
        <f>Tabla1[[#This Row],[CAS number]]</f>
        <v>61379-65-5</v>
      </c>
      <c r="E154" s="22" t="s">
        <v>295</v>
      </c>
      <c r="F154" s="2" t="s">
        <v>1218</v>
      </c>
      <c r="G154" s="2" t="s">
        <v>44</v>
      </c>
      <c r="H154" s="2" t="s">
        <v>1219</v>
      </c>
      <c r="I154" s="2" t="s">
        <v>1220</v>
      </c>
      <c r="J154" s="2" t="s">
        <v>2125</v>
      </c>
      <c r="K154" s="2" t="s">
        <v>2126</v>
      </c>
      <c r="L154" s="14">
        <f>3300*100</f>
        <v>330000</v>
      </c>
      <c r="M154" s="14">
        <v>1000</v>
      </c>
      <c r="N154" s="14">
        <f>(Tabla13[[#This Row],['[max.'] to reach 100% mortality (mg/L)]]/1000)*1000/Tabla13[[#This Row],[Stock concentration (g/L)]]</f>
        <v>330</v>
      </c>
      <c r="O154" s="42">
        <f>6*Tabla13[[#This Row],[Minimum stock volume (per partner; ml)]]*Tabla13[[#This Row],[Stock concentration (g/L)]]/1000</f>
        <v>1980</v>
      </c>
      <c r="P154" s="47">
        <v>3.3054264332501724</v>
      </c>
      <c r="Q154" s="2">
        <v>1980</v>
      </c>
    </row>
    <row r="155" spans="1:24" s="2" customFormat="1" ht="90">
      <c r="A155" s="10" t="s">
        <v>1221</v>
      </c>
      <c r="B155" s="10"/>
      <c r="C155" s="14" t="str">
        <f>Tabla1[[#This Row],[Formula]]</f>
        <v>C₂₃H₂₂O₆</v>
      </c>
      <c r="D155" s="2" t="str">
        <f>Tabla1[[#This Row],[CAS number]]</f>
        <v>83-79-4</v>
      </c>
      <c r="E155" s="21" t="s">
        <v>1227</v>
      </c>
      <c r="F155" s="2" t="s">
        <v>1224</v>
      </c>
      <c r="G155" s="2" t="s">
        <v>44</v>
      </c>
      <c r="H155" s="2" t="s">
        <v>1225</v>
      </c>
      <c r="I155" s="2" t="s">
        <v>1226</v>
      </c>
      <c r="L155" s="14">
        <f>0.6*100</f>
        <v>60</v>
      </c>
      <c r="M155" s="14">
        <v>5</v>
      </c>
      <c r="N155" s="14">
        <f>(Tabla13[[#This Row],['[max.'] to reach 100% mortality (mg/L)]]/1000)*1000/Tabla13[[#This Row],[Stock concentration (g/L)]]</f>
        <v>12</v>
      </c>
      <c r="O155" s="42">
        <f>6*Tabla13[[#This Row],[Minimum stock volume (per partner; ml)]]*Tabla13[[#This Row],[Stock concentration (g/L)]]/1000</f>
        <v>0.36</v>
      </c>
      <c r="P155" s="47">
        <v>0.17650430447847212</v>
      </c>
      <c r="Q155" s="2">
        <v>0.36</v>
      </c>
    </row>
    <row r="156" spans="1:24" s="2" customFormat="1" ht="80.25" customHeight="1">
      <c r="A156" s="10" t="s">
        <v>1228</v>
      </c>
      <c r="B156" s="10"/>
      <c r="C156" s="14" t="str">
        <f>Tabla1[[#This Row],[Formula]]</f>
        <v>C₉H₈N₄OS</v>
      </c>
      <c r="D156" s="2" t="str">
        <f>Tabla1[[#This Row],[CAS number]]</f>
        <v>51707-55-2</v>
      </c>
      <c r="E156" s="2" t="s">
        <v>33</v>
      </c>
      <c r="F156" s="2" t="s">
        <v>1231</v>
      </c>
      <c r="G156" s="2" t="s">
        <v>44</v>
      </c>
      <c r="H156" s="2" t="s">
        <v>1232</v>
      </c>
      <c r="I156" s="2" t="s">
        <v>1233</v>
      </c>
      <c r="J156" s="2" t="s">
        <v>2127</v>
      </c>
      <c r="K156" s="2" t="s">
        <v>2128</v>
      </c>
      <c r="L156" s="14">
        <f>19*100</f>
        <v>1900</v>
      </c>
      <c r="M156" s="14">
        <v>200</v>
      </c>
      <c r="N156" s="14">
        <f>(Tabla13[[#This Row],['[max.'] to reach 100% mortality (mg/L)]]/1000)*1000/Tabla13[[#This Row],[Stock concentration (g/L)]]</f>
        <v>9.5</v>
      </c>
      <c r="O156" s="42">
        <f>6*Tabla13[[#This Row],[Minimum stock volume (per partner; ml)]]*Tabla13[[#This Row],[Stock concentration (g/L)]]/1000</f>
        <v>11.4</v>
      </c>
      <c r="P156" s="47">
        <v>2.9083970568523489</v>
      </c>
      <c r="Q156" s="2">
        <v>11.4</v>
      </c>
    </row>
    <row r="157" spans="1:24" s="5" customFormat="1" ht="45">
      <c r="A157" s="24" t="s">
        <v>1234</v>
      </c>
      <c r="B157" s="24"/>
      <c r="C157" s="22" t="str">
        <f>Tabla1[[#This Row],[Formula]]</f>
        <v>C₁₃H₉Cl₃N₂O</v>
      </c>
      <c r="D157" s="22" t="str">
        <f>Tabla1[[#This Row],[CAS number]]</f>
        <v>101-20-2</v>
      </c>
      <c r="E157" s="22" t="s">
        <v>33</v>
      </c>
      <c r="F157" s="22" t="s">
        <v>1236</v>
      </c>
      <c r="G157" s="22" t="s">
        <v>44</v>
      </c>
      <c r="H157" s="22" t="s">
        <v>959</v>
      </c>
      <c r="I157" s="22" t="s">
        <v>960</v>
      </c>
      <c r="J157" s="21"/>
      <c r="K157" s="21"/>
      <c r="L157" s="26">
        <f>0.085*100</f>
        <v>8.5</v>
      </c>
      <c r="M157" s="26">
        <v>5</v>
      </c>
      <c r="N157" s="26">
        <f>(Tabla13[[#This Row],['[max.'] to reach 100% mortality (mg/L)]]/1000)*1000/Tabla13[[#This Row],[Stock concentration (g/L)]]</f>
        <v>1.7</v>
      </c>
      <c r="O157" s="26">
        <f>6*Tabla13[[#This Row],[Minimum stock volume (per partner; ml)]]*Tabla13[[#This Row],[Stock concentration (g/L)]]/1000</f>
        <v>5.0999999999999997E-2</v>
      </c>
      <c r="P157" s="50">
        <v>4.1960383876423264E-2</v>
      </c>
      <c r="Q157" s="21">
        <v>5.0999999999999997E-2</v>
      </c>
      <c r="R157" s="22" t="s">
        <v>2129</v>
      </c>
      <c r="S157" s="22"/>
      <c r="T157" s="22"/>
      <c r="U157" s="22"/>
      <c r="V157" s="22"/>
      <c r="W157" s="22"/>
      <c r="X157" s="22"/>
    </row>
    <row r="158" spans="1:24" s="2" customFormat="1" ht="60">
      <c r="A158" s="10" t="s">
        <v>1240</v>
      </c>
      <c r="B158" s="10"/>
      <c r="C158" s="14" t="str">
        <f>Tabla1[[#This Row],[Formula]]</f>
        <v>C₆H₁₅BrSn</v>
      </c>
      <c r="D158" s="2" t="str">
        <f>Tabla1[[#This Row],[CAS number]]</f>
        <v>2767-54-6</v>
      </c>
      <c r="E158" s="2" t="s">
        <v>1248</v>
      </c>
      <c r="F158" s="2" t="s">
        <v>1243</v>
      </c>
      <c r="G158" s="2" t="s">
        <v>1244</v>
      </c>
      <c r="H158" s="2" t="s">
        <v>1246</v>
      </c>
      <c r="I158" s="2" t="s">
        <v>1247</v>
      </c>
      <c r="L158" s="14">
        <f>0.75*100</f>
        <v>75</v>
      </c>
      <c r="M158" s="14">
        <v>5</v>
      </c>
      <c r="N158" s="14">
        <f>(Tabla13[[#This Row],['[max.'] to reach 100% mortality (mg/L)]]/1000)*1000/Tabla13[[#This Row],[Stock concentration (g/L)]]</f>
        <v>15</v>
      </c>
      <c r="O158" s="42">
        <f>6*Tabla13[[#This Row],[Minimum stock volume (per partner; ml)]]*Tabla13[[#This Row],[Stock concentration (g/L)]]/1000</f>
        <v>0.45</v>
      </c>
      <c r="P158" s="47" t="e">
        <v>#REF!</v>
      </c>
      <c r="Q158" s="2" t="e">
        <v>#REF!</v>
      </c>
    </row>
    <row r="159" spans="1:24" s="2" customFormat="1" ht="82.9" customHeight="1">
      <c r="A159" s="56" t="str">
        <f>Tabla1[[#This Row],[Compound]]</f>
        <v>N-(hydroxymethyl)methacrylamide</v>
      </c>
      <c r="B159" s="56">
        <f>Tabla1[[#This Row],[Prec.Tox code]]</f>
        <v>0</v>
      </c>
      <c r="C159" s="2">
        <f>Tabla1[[#This Row],[Formula]]</f>
        <v>0</v>
      </c>
      <c r="D159" s="2" t="str">
        <f>Tabla1[[#This Row],[CAS number]]</f>
        <v>923-02-4</v>
      </c>
      <c r="H159" s="2" t="str">
        <f>Tabla1[[#This Row],[EC50 fish]]</f>
        <v>LC50 - Leuciscus idus (96h) - 142.5 - 285 mg/l</v>
      </c>
      <c r="I159" s="2" t="str">
        <f>Tabla1[[#This Row],[EC50 daphnia]]</f>
        <v>EC50 - Daphnia magna (Water flea) - &gt; 75 mg/l - 48 h</v>
      </c>
      <c r="J159" s="2" t="s">
        <v>2130</v>
      </c>
      <c r="L159" s="2">
        <f>285*100</f>
        <v>28500</v>
      </c>
      <c r="M159" s="2">
        <v>1000</v>
      </c>
      <c r="N159" s="14">
        <f>(Tabla13[[#This Row],['[max.'] to reach 100% mortality (mg/L)]]/1000)*1000/Tabla13[[#This Row],[Stock concentration (g/L)]]</f>
        <v>28.5</v>
      </c>
      <c r="O159" s="42">
        <f>6*Tabla13[[#This Row],[Minimum stock volume (per partner; ml)]]*Tabla13[[#This Row],[Stock concentration (g/L)]]/1000</f>
        <v>171</v>
      </c>
      <c r="P159" s="30" t="s">
        <v>59</v>
      </c>
      <c r="Q159" s="2">
        <f>MAX(Tabla13[[#This Row],[Needed amount of chemical (g); Ruben Leitat calculations]:[Needed amount of chemical (g); Stefan UFZ calculations]])</f>
        <v>171</v>
      </c>
      <c r="R159" s="2" t="s">
        <v>2131</v>
      </c>
      <c r="S159" s="2">
        <v>500</v>
      </c>
      <c r="T159" s="2" t="s">
        <v>1831</v>
      </c>
      <c r="U159" s="2" t="s">
        <v>1831</v>
      </c>
    </row>
    <row r="160" spans="1:24" s="2" customFormat="1" ht="96.6" customHeight="1">
      <c r="A160" s="56" t="str">
        <f>Tabla1[[#This Row],[Compound]]</f>
        <v>N-(methoxymethyl)methacrylamide</v>
      </c>
      <c r="B160" s="56">
        <f>Tabla1[[#This Row],[Prec.Tox code]]</f>
        <v>0</v>
      </c>
      <c r="C160" s="2">
        <f>Tabla1[[#This Row],[Formula]]</f>
        <v>0</v>
      </c>
      <c r="D160" s="2" t="str">
        <f>Tabla1[[#This Row],[CAS number]]</f>
        <v>3644-12-0</v>
      </c>
      <c r="H160" s="2" t="str">
        <f>Tabla1[[#This Row],[EC50 fish]]</f>
        <v>Effect concentration (from EPISUITE): 43.13 mg/L</v>
      </c>
      <c r="I160" s="2" t="str">
        <f>Tabla1[[#This Row],[EC50 daphnia]]</f>
        <v>EC50 - Daphnia magna (Water flea) 48h: &gt;100 mg/l
From EPISUITE: EC50=109.632 mg/L</v>
      </c>
      <c r="J160" s="2" t="s">
        <v>2132</v>
      </c>
      <c r="L160" s="2">
        <f>100*100</f>
        <v>10000</v>
      </c>
      <c r="M160" s="2">
        <v>100</v>
      </c>
      <c r="N160" s="14">
        <f>(Tabla13[[#This Row],['[max.'] to reach 100% mortality (mg/L)]]/1000)*1000/Tabla13[[#This Row],[Stock concentration (g/L)]]</f>
        <v>100</v>
      </c>
      <c r="O160" s="42">
        <f>6*Tabla13[[#This Row],[Minimum stock volume (per partner; ml)]]*Tabla13[[#This Row],[Stock concentration (g/L)]]/1000</f>
        <v>60</v>
      </c>
      <c r="P160" s="30" t="s">
        <v>59</v>
      </c>
      <c r="Q160" s="2">
        <f>MAX(Tabla13[[#This Row],[Needed amount of chemical (g); Ruben Leitat calculations]:[Needed amount of chemical (g); Stefan UFZ calculations]])</f>
        <v>60</v>
      </c>
      <c r="S160" s="2">
        <v>500</v>
      </c>
      <c r="T160" s="2" t="s">
        <v>1831</v>
      </c>
      <c r="U160" s="2" t="s">
        <v>1831</v>
      </c>
    </row>
    <row r="161" spans="1:24" s="2" customFormat="1" ht="93" customHeight="1">
      <c r="A161" s="56" t="str">
        <f>Tabla1[[#This Row],[Compound]]</f>
        <v>N-(butoxymethyl)methacrylamide</v>
      </c>
      <c r="B161" s="56">
        <f>Tabla1[[#This Row],[Prec.Tox code]]</f>
        <v>0</v>
      </c>
      <c r="C161" s="2">
        <f>Tabla1[[#This Row],[Formula]]</f>
        <v>0</v>
      </c>
      <c r="D161" s="2" t="str">
        <f>Tabla1[[#This Row],[CAS number]]</f>
        <v>5153-77-5</v>
      </c>
      <c r="H161" s="2" t="str">
        <f>Tabla1[[#This Row],[EC50 fish]]</f>
        <v>LC50 - Poecilia reticulata - &gt;100 mg/l - 96h
From EPISUITE: 8904 mg/l</v>
      </c>
      <c r="I161" s="2" t="str">
        <f>Tabla1[[#This Row],[EC50 daphnia]]</f>
        <v>EC50 - Daphnia magna (Water flea) 48h: &gt;100 mg/l
From EPISUITE: EC50= 23.686  mg/L</v>
      </c>
      <c r="J161" s="2" t="s">
        <v>2133</v>
      </c>
      <c r="L161" s="2">
        <f>10000*100</f>
        <v>1000000</v>
      </c>
      <c r="M161" s="2">
        <v>1000</v>
      </c>
      <c r="N161" s="14">
        <f>(Tabla13[[#This Row],['[max.'] to reach 100% mortality (mg/L)]]/1000)*1000/Tabla13[[#This Row],[Stock concentration (g/L)]]</f>
        <v>1000</v>
      </c>
      <c r="O161" s="42">
        <f>6*Tabla13[[#This Row],[Minimum stock volume (per partner; ml)]]*Tabla13[[#This Row],[Stock concentration (g/L)]]/1000</f>
        <v>6000</v>
      </c>
      <c r="P161" s="30" t="s">
        <v>59</v>
      </c>
      <c r="Q161" s="2">
        <f>MAX(Tabla13[[#This Row],[Needed amount of chemical (g); Ruben Leitat calculations]:[Needed amount of chemical (g); Stefan UFZ calculations]])</f>
        <v>6000</v>
      </c>
      <c r="T161" s="2" t="s">
        <v>2134</v>
      </c>
      <c r="U161" s="2" t="s">
        <v>2134</v>
      </c>
    </row>
    <row r="162" spans="1:24" s="2" customFormat="1" ht="31.5">
      <c r="A162" s="65" t="s">
        <v>1263</v>
      </c>
      <c r="B162" s="10"/>
      <c r="O162" s="30"/>
      <c r="P162" s="30"/>
    </row>
    <row r="163" spans="1:24" s="2" customFormat="1" ht="81.75" customHeight="1">
      <c r="A163" s="56" t="str">
        <f>Tabla1[[#This Row],[Compound]]</f>
        <v>HC yellow 13</v>
      </c>
      <c r="B163" s="56" t="str">
        <f>Tabla1[[#This Row],[Prec.Tox code]]</f>
        <v>PTX057</v>
      </c>
      <c r="C163" s="2" t="str">
        <f>Tabla1[[#This Row],[Formula]]</f>
        <v>C9H9F3N2O3</v>
      </c>
      <c r="D163" s="2" t="str">
        <f>Tabla1[[#This Row],[CAS number]]</f>
        <v>10442-83-8</v>
      </c>
      <c r="E163" s="2" t="str">
        <f>Tabla1[[#This Row],[Storage conditions]]</f>
        <v xml:space="preserve">2 - 8 °C </v>
      </c>
      <c r="F163" s="2" t="str">
        <f>Tabla1[[#This Row],[Solubility (DMSO)]]</f>
        <v>50 g/L</v>
      </c>
      <c r="G163" s="2" t="str">
        <f>Tabla1[[#This Row],[Solubility (H2O)]]</f>
        <v>0.506 g/L</v>
      </c>
      <c r="H163" s="2" t="str">
        <f>Tabla1[[#This Row],[EC50 fish]]</f>
        <v>?</v>
      </c>
      <c r="I163" s="2" t="str">
        <f>Tabla1[[#This Row],[EC50 daphnia]]</f>
        <v>?</v>
      </c>
      <c r="J163" s="107" t="s">
        <v>2135</v>
      </c>
      <c r="K163" s="2" t="s">
        <v>2136</v>
      </c>
      <c r="L163" s="2" t="s">
        <v>59</v>
      </c>
      <c r="M163" s="2">
        <v>50</v>
      </c>
      <c r="N163" s="14" t="e">
        <f>(Tabla13[[#This Row],['[max.'] to reach 100% mortality (mg/L)]]/1000)*1000/Tabla13[[#This Row],[Stock concentration (g/L)]]</f>
        <v>#VALUE!</v>
      </c>
      <c r="O163" s="40" t="s">
        <v>1919</v>
      </c>
      <c r="P163" s="79">
        <v>2.3192826529665078</v>
      </c>
      <c r="Q163" s="91">
        <f>MAX(Tabla13[[#This Row],[Needed amount of chemical (g); Ruben Leitat calculations]:[Needed amount of chemical (g); Stefan UFZ calculations]])</f>
        <v>2.3192826529665078</v>
      </c>
      <c r="S163" s="2">
        <v>5</v>
      </c>
      <c r="T163" s="2" t="s">
        <v>1915</v>
      </c>
      <c r="U163" s="2" t="s">
        <v>1802</v>
      </c>
      <c r="V163" s="2" t="s">
        <v>2137</v>
      </c>
      <c r="W163" s="2" t="s">
        <v>1804</v>
      </c>
      <c r="X163" s="2">
        <v>1</v>
      </c>
    </row>
    <row r="164" spans="1:24" s="2" customFormat="1" ht="71.25" customHeight="1">
      <c r="A164" s="56" t="str">
        <f>Tabla1[[#This Row],[Compound]]</f>
        <v>Tamoxifen</v>
      </c>
      <c r="B164" s="56" t="str">
        <f>Tabla1[[#This Row],[Prec.Tox code]]</f>
        <v>PTX058</v>
      </c>
      <c r="C164" s="2" t="str">
        <f>Tabla1[[#This Row],[Formula]]</f>
        <v>C26H29NO</v>
      </c>
      <c r="D164" s="2" t="str">
        <f>Tabla1[[#This Row],[CAS number]]</f>
        <v>10540-29-1</v>
      </c>
      <c r="E164" s="2" t="str">
        <f>Tabla1[[#This Row],[Storage conditions]]</f>
        <v>2 - 8 °C
(&lt;-15  °C based on manufaturer info)
Light sensitive</v>
      </c>
      <c r="F164" s="2" t="str">
        <f>Tabla1[[#This Row],[Solubility (DMSO)]]</f>
        <v>2 g/l</v>
      </c>
      <c r="G164" s="2" t="str">
        <f>Tabla1[[#This Row],[Solubility (H2O)]]</f>
        <v>insoluble</v>
      </c>
      <c r="H164" s="2" t="str">
        <f>Tabla1[[#This Row],[EC50 fish]]</f>
        <v>LC50 - Oncorhynchus mykiss (rainbow trout) - 0,41 mg/l - 96 h</v>
      </c>
      <c r="I164" s="2" t="str">
        <f>Tabla1[[#This Row],[EC50 daphnia]]</f>
        <v>0.21 - 1.53 mg/L (Dellagreca et al., 2007;Orias et al., 2015a)</v>
      </c>
      <c r="J164" s="107" t="s">
        <v>2138</v>
      </c>
      <c r="K164" s="124" t="s">
        <v>2139</v>
      </c>
      <c r="L164" s="2">
        <f>1.53*100</f>
        <v>153</v>
      </c>
      <c r="M164" s="2">
        <v>50</v>
      </c>
      <c r="N164" s="14">
        <f>(Tabla13[[#This Row],['[max.'] to reach 100% mortality (mg/L)]]/1000)*1000/Tabla13[[#This Row],[Stock concentration (g/L)]]</f>
        <v>3.06</v>
      </c>
      <c r="O164" s="42">
        <f>6*Tabla13[[#This Row],[Minimum stock volume (per partner; ml)]]*Tabla13[[#This Row],[Stock concentration (g/L)]]/1000</f>
        <v>0.91800000000000004</v>
      </c>
      <c r="P164" s="79">
        <v>2.8152358430214668E-2</v>
      </c>
      <c r="Q164" s="91">
        <f>MAX(Tabla13[[#This Row],[Needed amount of chemical (g); Ruben Leitat calculations]:[Needed amount of chemical (g); Stefan UFZ calculations]])</f>
        <v>0.91800000000000004</v>
      </c>
      <c r="S164" s="2">
        <v>2</v>
      </c>
      <c r="T164" s="2" t="s">
        <v>2140</v>
      </c>
      <c r="U164" s="2" t="s">
        <v>1875</v>
      </c>
      <c r="V164" s="2" t="s">
        <v>2141</v>
      </c>
      <c r="W164" s="2" t="s">
        <v>2142</v>
      </c>
      <c r="X164" s="2">
        <v>1</v>
      </c>
    </row>
    <row r="165" spans="1:24" s="2" customFormat="1" ht="60">
      <c r="A165" s="56" t="str">
        <f>Tabla1[[#This Row],[Compound]]</f>
        <v>N,N‐Dimethylacetamide</v>
      </c>
      <c r="B165" s="56" t="str">
        <f>Tabla1[[#This Row],[Prec.Tox code]]</f>
        <v>PTX059</v>
      </c>
      <c r="C165" s="2" t="str">
        <f>Tabla1[[#This Row],[Formula]]</f>
        <v>C4H9NO</v>
      </c>
      <c r="D165" s="2" t="str">
        <f>Tabla1[[#This Row],[CAS number]]</f>
        <v>127-19-5</v>
      </c>
      <c r="E165" s="2" t="str">
        <f>Tabla1[[#This Row],[Storage conditions]]</f>
        <v>Room temperature</v>
      </c>
      <c r="F165" s="2" t="str">
        <f>Tabla1[[#This Row],[Solubility (DMSO)]]</f>
        <v>?</v>
      </c>
      <c r="G165" s="2" t="str">
        <f>Tabla1[[#This Row],[Solubility (H2O)]]</f>
        <v>1.000 g/l (completely miscible)</v>
      </c>
      <c r="H165" s="2" t="str">
        <f>Tabla1[[#This Row],[EC50 fish]]</f>
        <v>static test LC50 - Leuciscus idus (Golden orfe) - &gt; 500 mg/l - 96 h</v>
      </c>
      <c r="I165" s="2" t="str">
        <f>Tabla1[[#This Row],[EC50 daphnia]]</f>
        <v>static test EC50 - Daphnia magna (Water flea) - &gt; 500 mg/l - 48 h</v>
      </c>
      <c r="J165" s="107" t="s">
        <v>2143</v>
      </c>
      <c r="K165" s="124" t="s">
        <v>2144</v>
      </c>
      <c r="L165" s="2">
        <f>500*100</f>
        <v>50000</v>
      </c>
      <c r="M165" s="2">
        <v>100</v>
      </c>
      <c r="N165" s="14">
        <f>(Tabla13[[#This Row],['[max.'] to reach 100% mortality (mg/L)]]/1000)*1000/Tabla13[[#This Row],[Stock concentration (g/L)]]</f>
        <v>500</v>
      </c>
      <c r="O165" s="42">
        <f>6*Tabla13[[#This Row],[Minimum stock volume (per partner; ml)]]*Tabla13[[#This Row],[Stock concentration (g/L)]]/1000</f>
        <v>300</v>
      </c>
      <c r="P165" s="79">
        <v>324.65098240348749</v>
      </c>
      <c r="Q165" s="91">
        <f>MAX(Tabla13[[#This Row],[Needed amount of chemical (g); Ruben Leitat calculations]:[Needed amount of chemical (g); Stefan UFZ calculations]])</f>
        <v>324.65098240348749</v>
      </c>
      <c r="S165" s="2">
        <v>1000</v>
      </c>
      <c r="T165" s="2" t="s">
        <v>1802</v>
      </c>
      <c r="U165" s="2" t="s">
        <v>1875</v>
      </c>
      <c r="V165" s="2" t="s">
        <v>2145</v>
      </c>
      <c r="W165" s="2" t="s">
        <v>2146</v>
      </c>
      <c r="X165" s="2">
        <v>1</v>
      </c>
    </row>
    <row r="166" spans="1:24" s="2" customFormat="1" ht="33" customHeight="1">
      <c r="A166" s="56" t="str">
        <f>Tabla1[[#This Row],[Compound]]</f>
        <v>Atrazine</v>
      </c>
      <c r="B166" s="56" t="str">
        <f>Tabla1[[#This Row],[Prec.Tox code]]</f>
        <v>PTX060</v>
      </c>
      <c r="C166" s="2" t="str">
        <f>Tabla1[[#This Row],[Formula]]</f>
        <v>C8H14ClN5</v>
      </c>
      <c r="D166" s="2" t="str">
        <f>Tabla1[[#This Row],[CAS number]]</f>
        <v>1912-24-9</v>
      </c>
      <c r="E166" s="2" t="str">
        <f>Tabla1[[#This Row],[Storage conditions]]</f>
        <v>Room temperature</v>
      </c>
      <c r="F166" s="2" t="str">
        <f>Tabla1[[#This Row],[Solubility (DMSO)]]</f>
        <v>20 g/l</v>
      </c>
      <c r="G166" s="2" t="str">
        <f>Tabla1[[#This Row],[Solubility (H2O)]]</f>
        <v>0.07 g/L</v>
      </c>
      <c r="H166" s="2" t="str">
        <f>Tabla1[[#This Row],[EC50 fish]]</f>
        <v>EC50 &gt; 29 mg/L</v>
      </c>
      <c r="I166" s="2" t="str">
        <f>Tabla1[[#This Row],[EC50 daphnia]]</f>
        <v>36.5 mg/L (48h; Daphnia pulex)</v>
      </c>
      <c r="J166" s="107" t="s">
        <v>2147</v>
      </c>
      <c r="K166" s="124" t="s">
        <v>2148</v>
      </c>
      <c r="L166" s="2">
        <f>36.5*100</f>
        <v>3650</v>
      </c>
      <c r="M166" s="2">
        <v>100</v>
      </c>
      <c r="N166" s="14">
        <f>(Tabla13[[#This Row],['[max.'] to reach 100% mortality (mg/L)]]/1000)*1000/Tabla13[[#This Row],[Stock concentration (g/L)]]</f>
        <v>36.5</v>
      </c>
      <c r="O166" s="42">
        <f>6*Tabla13[[#This Row],[Minimum stock volume (per partner; ml)]]*Tabla13[[#This Row],[Stock concentration (g/L)]]/1000</f>
        <v>21.9</v>
      </c>
      <c r="P166" s="79">
        <v>1.883649153601759</v>
      </c>
      <c r="Q166" s="91">
        <f>MAX(Tabla13[[#This Row],[Needed amount of chemical (g); Ruben Leitat calculations]:[Needed amount of chemical (g); Stefan UFZ calculations]])</f>
        <v>21.9</v>
      </c>
      <c r="S166" s="2">
        <v>25</v>
      </c>
      <c r="T166" s="2" t="s">
        <v>2149</v>
      </c>
      <c r="U166" s="2" t="s">
        <v>1802</v>
      </c>
      <c r="V166" s="2" t="s">
        <v>2150</v>
      </c>
      <c r="W166" s="2" t="s">
        <v>1889</v>
      </c>
      <c r="X166" s="2">
        <v>1</v>
      </c>
    </row>
    <row r="167" spans="1:24" s="2" customFormat="1" ht="84.75" customHeight="1">
      <c r="A167" s="56" t="str">
        <f>Tabla1[[#This Row],[Compound]]</f>
        <v>Imazalil</v>
      </c>
      <c r="B167" s="56" t="str">
        <f>Tabla1[[#This Row],[Prec.Tox code]]</f>
        <v>PTX061</v>
      </c>
      <c r="C167" s="2" t="str">
        <f>Tabla1[[#This Row],[Formula]]</f>
        <v>C14H14Cl2N2O</v>
      </c>
      <c r="D167" s="2" t="str">
        <f>Tabla1[[#This Row],[CAS number]]</f>
        <v>35554-44-0</v>
      </c>
      <c r="E167" s="2" t="str">
        <f>Tabla1[[#This Row],[Storage conditions]]</f>
        <v>2 - 8 °C
(-20  °C based on manufaturer info)</v>
      </c>
      <c r="F167" s="2" t="str">
        <f>Tabla1[[#This Row],[Solubility (DMSO)]]</f>
        <v>59-100 g/L</v>
      </c>
      <c r="G167" s="2" t="str">
        <f>Tabla1[[#This Row],[Solubility (H2O)]]</f>
        <v>0.2-20 g/L?</v>
      </c>
      <c r="H167" s="2" t="str">
        <f>Tabla1[[#This Row],[EC50 fish]]</f>
        <v>6.96 - 9.08 mg/l (sol. 500 g/L)
2.75 mg/L for zebra fish (Danio rerio)</v>
      </c>
      <c r="I167" s="2" t="str">
        <f>Tabla1[[#This Row],[EC50 daphnia]]</f>
        <v>6.86 mg/l (sol. 500 g/L)
EC50 (48 h) of 3.5 mg/l</v>
      </c>
      <c r="J167" s="107" t="s">
        <v>2151</v>
      </c>
      <c r="K167" s="2" t="s">
        <v>2152</v>
      </c>
      <c r="L167" s="2">
        <f>9.08*100</f>
        <v>908</v>
      </c>
      <c r="M167" s="2">
        <v>101</v>
      </c>
      <c r="N167" s="14">
        <f>(Tabla13[[#This Row],['[max.'] to reach 100% mortality (mg/L)]]/1000)*1000/Tabla13[[#This Row],[Stock concentration (g/L)]]</f>
        <v>8.990099009900991</v>
      </c>
      <c r="O167" s="42">
        <f>6*Tabla13[[#This Row],[Minimum stock volume (per partner; ml)]]*Tabla13[[#This Row],[Stock concentration (g/L)]]/1000</f>
        <v>5.4480000000000013</v>
      </c>
      <c r="P167" s="79">
        <v>0.10805316531442052</v>
      </c>
      <c r="Q167" s="91">
        <f>MAX(Tabla13[[#This Row],[Needed amount of chemical (g); Ruben Leitat calculations]:[Needed amount of chemical (g); Stefan UFZ calculations]])</f>
        <v>5.4480000000000013</v>
      </c>
      <c r="S167" s="2">
        <v>5</v>
      </c>
      <c r="T167" s="2" t="s">
        <v>2153</v>
      </c>
      <c r="U167" s="2" t="s">
        <v>1875</v>
      </c>
      <c r="V167" s="2" t="s">
        <v>2154</v>
      </c>
      <c r="W167" s="2" t="s">
        <v>1804</v>
      </c>
      <c r="X167" s="2">
        <v>1</v>
      </c>
    </row>
    <row r="168" spans="1:24" s="2" customFormat="1" ht="90">
      <c r="A168" s="56" t="str">
        <f>Tabla1[[#This Row],[Compound]]</f>
        <v>Cyclosporin A</v>
      </c>
      <c r="B168" s="56" t="str">
        <f>Tabla1[[#This Row],[Prec.Tox code]]</f>
        <v>PTX062</v>
      </c>
      <c r="C168" s="2" t="str">
        <f>Tabla1[[#This Row],[Formula]]</f>
        <v>C62H111N11O12</v>
      </c>
      <c r="D168" s="2" t="str">
        <f>Tabla1[[#This Row],[CAS number]]</f>
        <v>59865-13-3</v>
      </c>
      <c r="E168" s="2" t="str">
        <f>Tabla1[[#This Row],[Storage conditions]]</f>
        <v>2 - 8 °C
(&lt;-15  °C based on manufaturer info)</v>
      </c>
      <c r="F168" s="2" t="str">
        <f>Tabla1[[#This Row],[Solubility (DMSO)]]</f>
        <v>3-100 g/L</v>
      </c>
      <c r="G168" s="2" t="str">
        <f>Tabla1[[#This Row],[Solubility (H2O)]]</f>
        <v>0.0286 g/l</v>
      </c>
      <c r="H168" s="2" t="str">
        <f>Tabla1[[#This Row],[EC50 fish]]</f>
        <v>2-100 mg/L</v>
      </c>
      <c r="I168" s="2" t="str">
        <f>Tabla1[[#This Row],[EC50 daphnia]]</f>
        <v>EC50 0.8753 mg/L (predicted)</v>
      </c>
      <c r="J168" s="107" t="s">
        <v>2155</v>
      </c>
      <c r="K168" s="124" t="s">
        <v>2156</v>
      </c>
      <c r="L168" s="2">
        <f>100*100</f>
        <v>10000</v>
      </c>
      <c r="M168" s="2">
        <v>100</v>
      </c>
      <c r="N168" s="14">
        <f>(Tabla13[[#This Row],['[max.'] to reach 100% mortality (mg/L)]]/1000)*1000/Tabla13[[#This Row],[Stock concentration (g/L)]]</f>
        <v>100</v>
      </c>
      <c r="O168" s="42">
        <f>6*Tabla13[[#This Row],[Minimum stock volume (per partner; ml)]]*Tabla13[[#This Row],[Stock concentration (g/L)]]/1000</f>
        <v>60</v>
      </c>
      <c r="P168" s="79">
        <v>2.0220715191603422</v>
      </c>
      <c r="Q168" s="91">
        <f>MAX(Tabla13[[#This Row],[Needed amount of chemical (g); Ruben Leitat calculations]:[Needed amount of chemical (g); Stefan UFZ calculations]])</f>
        <v>60</v>
      </c>
      <c r="S168" s="2">
        <v>25</v>
      </c>
      <c r="T168" s="2" t="s">
        <v>2140</v>
      </c>
      <c r="U168" s="2" t="s">
        <v>1875</v>
      </c>
      <c r="V168" s="2" t="s">
        <v>2157</v>
      </c>
      <c r="W168" s="2" t="s">
        <v>1889</v>
      </c>
      <c r="X168" s="2">
        <v>1</v>
      </c>
    </row>
    <row r="169" spans="1:24" s="2" customFormat="1" ht="71.25" customHeight="1">
      <c r="A169" s="56" t="str">
        <f>Tabla1[[#This Row],[Compound]]</f>
        <v>Tetracycline
(Tetracycline hydrochloride)</v>
      </c>
      <c r="B169" s="56" t="str">
        <f>Tabla1[[#This Row],[Prec.Tox code]]</f>
        <v>PTX063</v>
      </c>
      <c r="C169" s="2" t="str">
        <f>Tabla1[[#This Row],[Formula]]</f>
        <v>C22H24N2O8 · HCl</v>
      </c>
      <c r="D169" s="2" t="str">
        <f>Tabla1[[#This Row],[CAS number]]</f>
        <v>60-54-8
(64-75-5)</v>
      </c>
      <c r="E169" s="2" t="str">
        <f>Tabla1[[#This Row],[Storage conditions]]</f>
        <v>2 - 8 °C
(&lt;0 °C based on manufaturer info)
Light sensitive</v>
      </c>
      <c r="F169" s="2" t="str">
        <f>Tabla1[[#This Row],[Solubility (DMSO)]]</f>
        <v>89-125 g/L</v>
      </c>
      <c r="G169" s="2" t="str">
        <f>Tabla1[[#This Row],[Solubility (H2O)]]</f>
        <v>1.7 g/l</v>
      </c>
      <c r="H169" s="2" t="str">
        <f>Tabla1[[#This Row],[EC50 fish]]</f>
        <v>LC50 759.71 mg/L</v>
      </c>
      <c r="I169" s="2" t="str">
        <f>Tabla1[[#This Row],[EC50 daphnia]]</f>
        <v>EC50 (Anabaena flos-aquae (cyanobacterium)): 6,2 mg/l</v>
      </c>
      <c r="J169" s="107" t="s">
        <v>2158</v>
      </c>
      <c r="K169" s="2" t="s">
        <v>2159</v>
      </c>
      <c r="L169" s="2">
        <f>759.71*100</f>
        <v>75971</v>
      </c>
      <c r="M169" s="2">
        <v>100</v>
      </c>
      <c r="N169" s="14">
        <f>(Tabla13[[#This Row],['[max.'] to reach 100% mortality (mg/L)]]/1000)*1000/Tabla13[[#This Row],[Stock concentration (g/L)]]</f>
        <v>759.71</v>
      </c>
      <c r="O169" s="42">
        <f>6*Tabla13[[#This Row],[Minimum stock volume (per partner; ml)]]*Tabla13[[#This Row],[Stock concentration (g/L)]]/1000</f>
        <v>455.82600000000002</v>
      </c>
      <c r="P169" s="79">
        <v>3603.9863983510145</v>
      </c>
      <c r="Q169" s="91">
        <f>MAX(Tabla13[[#This Row],[Needed amount of chemical (g); Ruben Leitat calculations]:[Needed amount of chemical (g); Stefan UFZ calculations]])</f>
        <v>3603.9863983510145</v>
      </c>
      <c r="S169" s="2">
        <v>300</v>
      </c>
      <c r="T169" s="2" t="s">
        <v>2149</v>
      </c>
      <c r="U169" s="2" t="s">
        <v>1875</v>
      </c>
      <c r="V169" s="2" t="s">
        <v>2160</v>
      </c>
      <c r="W169" s="2" t="s">
        <v>1820</v>
      </c>
      <c r="X169" s="2">
        <v>3</v>
      </c>
    </row>
    <row r="170" spans="1:24" s="2" customFormat="1" ht="69" customHeight="1">
      <c r="A170" s="56" t="str">
        <f>Tabla1[[#This Row],[Compound]]</f>
        <v>Toluene-2,5-diamine (sulphate)</v>
      </c>
      <c r="B170" s="56" t="str">
        <f>Tabla1[[#This Row],[Prec.Tox code]]</f>
        <v>PTX064</v>
      </c>
      <c r="C170" s="2" t="str">
        <f>Tabla1[[#This Row],[Formula]]</f>
        <v>C7H12N2O4S</v>
      </c>
      <c r="D170" s="2" t="str">
        <f>Tabla1[[#This Row],[CAS number]]</f>
        <v>615-50-9</v>
      </c>
      <c r="E170" s="2" t="str">
        <f>Tabla1[[#This Row],[Storage conditions]]</f>
        <v>Room temperature</v>
      </c>
      <c r="F170" s="2" t="str">
        <f>Tabla1[[#This Row],[Solubility (DMSO)]]</f>
        <v>5-15 g/l</v>
      </c>
      <c r="G170" s="2" t="str">
        <f>Tabla1[[#This Row],[Solubility (H2O)]]</f>
        <v>5.03 g/L</v>
      </c>
      <c r="H170" s="2" t="str">
        <f>Tabla1[[#This Row],[EC50 fish]]</f>
        <v>flow-through test LC50 - Danio rerio (zebra fish) - 1,08 mg/l - 96 h</v>
      </c>
      <c r="I170" s="2" t="str">
        <f>Tabla1[[#This Row],[EC50 daphnia]]</f>
        <v>static test EC50 - Daphnia magna (Water flea) - 1,19 mg/l - 48 h</v>
      </c>
      <c r="J170" s="107" t="s">
        <v>2161</v>
      </c>
      <c r="K170" s="124" t="s">
        <v>2162</v>
      </c>
      <c r="L170" s="2">
        <f>1.19*100</f>
        <v>119</v>
      </c>
      <c r="M170" s="2">
        <v>100</v>
      </c>
      <c r="N170" s="14">
        <f>(Tabla13[[#This Row],['[max.'] to reach 100% mortality (mg/L)]]/1000)*1000/Tabla13[[#This Row],[Stock concentration (g/L)]]</f>
        <v>1.19</v>
      </c>
      <c r="O170" s="42">
        <f>6*Tabla13[[#This Row],[Minimum stock volume (per partner; ml)]]*Tabla13[[#This Row],[Stock concentration (g/L)]]/1000</f>
        <v>0.71399999999999997</v>
      </c>
      <c r="P170" s="79">
        <v>41.285752073011942</v>
      </c>
      <c r="Q170" s="91">
        <f>MAX(Tabla13[[#This Row],[Needed amount of chemical (g); Ruben Leitat calculations]:[Needed amount of chemical (g); Stefan UFZ calculations]])</f>
        <v>41.285752073011942</v>
      </c>
      <c r="S170" s="2">
        <v>25</v>
      </c>
      <c r="T170" s="2" t="s">
        <v>2149</v>
      </c>
      <c r="U170" s="2" t="s">
        <v>1875</v>
      </c>
      <c r="V170" s="2" t="s">
        <v>2163</v>
      </c>
      <c r="W170" s="2" t="s">
        <v>1889</v>
      </c>
      <c r="X170" s="2">
        <v>1</v>
      </c>
    </row>
    <row r="171" spans="1:24" s="2" customFormat="1" ht="61.5" customHeight="1">
      <c r="A171" s="56" t="str">
        <f>Tabla1[[#This Row],[Compound]]</f>
        <v>N,N-Dimethylformamide</v>
      </c>
      <c r="B171" s="56" t="str">
        <f>Tabla1[[#This Row],[Prec.Tox code]]</f>
        <v>PTX065</v>
      </c>
      <c r="C171" s="2" t="str">
        <f>Tabla1[[#This Row],[Formula]]</f>
        <v>C3H7NO</v>
      </c>
      <c r="D171" s="2" t="str">
        <f>Tabla1[[#This Row],[CAS number]]</f>
        <v>68-12-2</v>
      </c>
      <c r="E171" s="2" t="str">
        <f>Tabla1[[#This Row],[Storage conditions]]</f>
        <v>Room temperature</v>
      </c>
      <c r="F171" s="2" t="str">
        <f>Tabla1[[#This Row],[Solubility (DMSO)]]</f>
        <v>'soluble'</v>
      </c>
      <c r="G171" s="2" t="str">
        <f>Tabla1[[#This Row],[Solubility (H2O)]]</f>
        <v>1.000 g/l (completely miscible)</v>
      </c>
      <c r="H171" s="2" t="str">
        <f>Tabla1[[#This Row],[EC50 fish]]</f>
        <v>flow-through test LC50 - Lepomis macrochirus (Bluegill sunfish) - 7.100 mg/l - 96 h</v>
      </c>
      <c r="I171" s="2" t="str">
        <f>Tabla1[[#This Row],[EC50 daphnia]]</f>
        <v>static test EC50 - Daphnia magna (Water flea) - 13.100 mg/l - 48 h</v>
      </c>
      <c r="J171" s="107" t="s">
        <v>2164</v>
      </c>
      <c r="K171" s="124" t="s">
        <v>2165</v>
      </c>
      <c r="L171" s="2">
        <f>13100*100</f>
        <v>1310000</v>
      </c>
      <c r="M171" s="2">
        <v>1000</v>
      </c>
      <c r="N171" s="14">
        <f>(Tabla13[[#This Row],['[max.'] to reach 100% mortality (mg/L)]]/1000)*1000/Tabla13[[#This Row],[Stock concentration (g/L)]]</f>
        <v>1310</v>
      </c>
      <c r="O171" s="42">
        <f>6*Tabla13[[#This Row],[Minimum stock volume (per partner; ml)]]*Tabla13[[#This Row],[Stock concentration (g/L)]]/1000</f>
        <v>7860</v>
      </c>
      <c r="P171" s="79">
        <v>472.33121280876662</v>
      </c>
      <c r="Q171" s="91">
        <f>MAX(Tabla13[[#This Row],[Needed amount of chemical (g); Ruben Leitat calculations]:[Needed amount of chemical (g); Stefan UFZ calculations]])</f>
        <v>7860</v>
      </c>
      <c r="S171" s="2">
        <v>4000</v>
      </c>
      <c r="T171" s="2" t="s">
        <v>1825</v>
      </c>
      <c r="U171" s="2" t="s">
        <v>1875</v>
      </c>
      <c r="V171" s="2" t="s">
        <v>2166</v>
      </c>
      <c r="W171" s="2" t="s">
        <v>1971</v>
      </c>
      <c r="X171" s="2">
        <v>4</v>
      </c>
    </row>
    <row r="172" spans="1:24" s="2" customFormat="1" ht="63.75" customHeight="1">
      <c r="A172" s="106" t="s">
        <v>1358</v>
      </c>
      <c r="B172" s="56" t="str">
        <f>Tabla1[[#This Row],[Prec.Tox code]]</f>
        <v>PTX066</v>
      </c>
      <c r="C172" s="2" t="str">
        <f>Tabla1[[#This Row],[Formula]]</f>
        <v>C9H12N2O3</v>
      </c>
      <c r="D172" s="2" t="str">
        <f>Tabla1[[#This Row],[CAS number]]</f>
        <v>84041-77-0</v>
      </c>
      <c r="E172" s="2" t="str">
        <f>Tabla1[[#This Row],[Storage conditions]]</f>
        <v>2 - 8 °C</v>
      </c>
      <c r="F172" s="2" t="str">
        <f>Tabla1[[#This Row],[Solubility (DMSO)]]</f>
        <v>7.5 g/l</v>
      </c>
      <c r="G172" s="2" t="str">
        <f>Tabla1[[#This Row],[Solubility (H2O)]]</f>
        <v>&gt;100 g/l</v>
      </c>
      <c r="H172" s="2" t="str">
        <f>Tabla1[[#This Row],[EC50 fish]]</f>
        <v>?</v>
      </c>
      <c r="I172" s="2" t="str">
        <f>Tabla1[[#This Row],[EC50 daphnia]]</f>
        <v>?</v>
      </c>
      <c r="J172" s="107" t="s">
        <v>2167</v>
      </c>
      <c r="K172" s="124" t="s">
        <v>2168</v>
      </c>
      <c r="L172" s="2" t="s">
        <v>59</v>
      </c>
      <c r="M172" s="2">
        <v>100</v>
      </c>
      <c r="N172" s="14" t="e">
        <f>(Tabla13[[#This Row],['[max.'] to reach 100% mortality (mg/L)]]/1000)*1000/Tabla13[[#This Row],[Stock concentration (g/L)]]</f>
        <v>#VALUE!</v>
      </c>
      <c r="O172" s="40" t="s">
        <v>1919</v>
      </c>
      <c r="P172" s="79">
        <v>11.590276341481363</v>
      </c>
      <c r="Q172" s="91">
        <f>MAX(Tabla13[[#This Row],[Needed amount of chemical (g); Ruben Leitat calculations]:[Needed amount of chemical (g); Stefan UFZ calculations]])</f>
        <v>11.590276341481363</v>
      </c>
      <c r="S172" s="2">
        <v>25</v>
      </c>
      <c r="T172" s="2" t="s">
        <v>2169</v>
      </c>
      <c r="U172" s="2" t="s">
        <v>1875</v>
      </c>
      <c r="V172" s="14" t="s">
        <v>2170</v>
      </c>
      <c r="W172" s="2" t="s">
        <v>1889</v>
      </c>
      <c r="X172" s="2">
        <v>1</v>
      </c>
    </row>
    <row r="173" spans="1:24" s="14" customFormat="1" ht="68.25" customHeight="1">
      <c r="A173" s="56" t="str">
        <f>Tabla1[[#This Row],[Compound]]</f>
        <v>Cyproconazole</v>
      </c>
      <c r="B173" s="56" t="str">
        <f>Tabla1[[#This Row],[Prec.Tox code]]</f>
        <v>PTX067</v>
      </c>
      <c r="C173" s="2" t="str">
        <f>Tabla1[[#This Row],[Formula]]</f>
        <v>C15H18ClN3O</v>
      </c>
      <c r="D173" s="14" t="str">
        <f>Tabla1[[#This Row],[CAS number]]</f>
        <v>94361-06-5</v>
      </c>
      <c r="E173" s="2" t="str">
        <f>Tabla1[[#This Row],[Storage conditions]]</f>
        <v>Room temperature</v>
      </c>
      <c r="F173" s="2" t="str">
        <f>Tabla1[[#This Row],[Solubility (DMSO)]]</f>
        <v>'soluble' (18-180 g/L?)</v>
      </c>
      <c r="G173" s="2" t="str">
        <f>Tabla1[[#This Row],[Solubility (H2O)]]</f>
        <v>93 mg/L</v>
      </c>
      <c r="H173" s="14" t="str">
        <f>Tabla1[[#This Row],[EC50 fish]]</f>
        <v>LC50 - Oncorhynchus mykiss (rainbow trout) - 19 mg/l - 96,0 h</v>
      </c>
      <c r="I173" s="14" t="str">
        <f>Tabla1[[#This Row],[EC50 daphnia]]</f>
        <v>?</v>
      </c>
      <c r="J173" s="107" t="s">
        <v>2171</v>
      </c>
      <c r="K173" s="2" t="s">
        <v>2172</v>
      </c>
      <c r="L173" s="14">
        <f>19*100</f>
        <v>1900</v>
      </c>
      <c r="M173" s="14">
        <v>100</v>
      </c>
      <c r="N173" s="14">
        <f>(Tabla13[[#This Row],['[max.'] to reach 100% mortality (mg/L)]]/1000)*1000/Tabla13[[#This Row],[Stock concentration (g/L)]]</f>
        <v>19</v>
      </c>
      <c r="O173" s="42">
        <f>6*Tabla13[[#This Row],[Minimum stock volume (per partner; ml)]]*Tabla13[[#This Row],[Stock concentration (g/L)]]/1000</f>
        <v>11.4</v>
      </c>
      <c r="P173" s="99">
        <v>0.50850534740042241</v>
      </c>
      <c r="Q173" s="91">
        <f>MAX(Tabla13[[#This Row],[Needed amount of chemical (g); Ruben Leitat calculations]:[Needed amount of chemical (g); Stefan UFZ calculations]])</f>
        <v>11.4</v>
      </c>
      <c r="S173" s="14">
        <v>10</v>
      </c>
      <c r="T173" s="14" t="s">
        <v>1836</v>
      </c>
      <c r="U173" s="14" t="s">
        <v>1802</v>
      </c>
      <c r="V173" s="2" t="s">
        <v>2173</v>
      </c>
      <c r="W173" s="14" t="s">
        <v>1804</v>
      </c>
      <c r="X173" s="14">
        <v>2</v>
      </c>
    </row>
    <row r="174" spans="1:24" s="2" customFormat="1" ht="69.75" customHeight="1">
      <c r="A174" s="56" t="str">
        <f>Tabla1[[#This Row],[Compound]]</f>
        <v>o-Aminophenol</v>
      </c>
      <c r="B174" s="56" t="str">
        <f>Tabla1[[#This Row],[Prec.Tox code]]</f>
        <v>PTX068</v>
      </c>
      <c r="C174" s="2" t="str">
        <f>Tabla1[[#This Row],[Formula]]</f>
        <v>C6H7NO</v>
      </c>
      <c r="D174" s="2" t="str">
        <f>Tabla1[[#This Row],[CAS number]]</f>
        <v>95-55-6</v>
      </c>
      <c r="E174" s="2" t="str">
        <f>Tabla1[[#This Row],[Storage conditions]]</f>
        <v>Room temperature</v>
      </c>
      <c r="F174" s="2" t="str">
        <f>Tabla1[[#This Row],[Solubility (DMSO)]]</f>
        <v>'Slightly Soluble'</v>
      </c>
      <c r="G174" s="2" t="str">
        <f>Tabla1[[#This Row],[Solubility (H2O)]]</f>
        <v>17 g/L</v>
      </c>
      <c r="H174" s="2" t="str">
        <f>Tabla1[[#This Row],[EC50 fish]]</f>
        <v>LC50 - Leuciscus idus (Golden orfe) - 0,1 mg/l</v>
      </c>
      <c r="I174" s="2" t="str">
        <f>Tabla1[[#This Row],[EC50 daphnia]]</f>
        <v>EC50 - Daphnia magna (Water flea) - 35 mg/l - 24 h</v>
      </c>
      <c r="J174" s="107" t="s">
        <v>2174</v>
      </c>
      <c r="K174" s="124" t="s">
        <v>2175</v>
      </c>
      <c r="L174" s="2">
        <f>35*100</f>
        <v>3500</v>
      </c>
      <c r="M174" s="2">
        <v>100</v>
      </c>
      <c r="N174" s="14">
        <f>(Tabla13[[#This Row],['[max.'] to reach 100% mortality (mg/L)]]/1000)*1000/Tabla13[[#This Row],[Stock concentration (g/L)]]</f>
        <v>35</v>
      </c>
      <c r="O174" s="42">
        <f>6*Tabla13[[#This Row],[Minimum stock volume (per partner; ml)]]*Tabla13[[#This Row],[Stock concentration (g/L)]]/1000</f>
        <v>21</v>
      </c>
      <c r="P174" s="79">
        <v>16.498986658331628</v>
      </c>
      <c r="Q174" s="91">
        <f>MAX(Tabla13[[#This Row],[Needed amount of chemical (g); Ruben Leitat calculations]:[Needed amount of chemical (g); Stefan UFZ calculations]])</f>
        <v>21</v>
      </c>
      <c r="S174" s="2">
        <v>100</v>
      </c>
      <c r="T174" s="2" t="s">
        <v>1825</v>
      </c>
      <c r="U174" s="2" t="s">
        <v>1875</v>
      </c>
      <c r="V174" s="2" t="s">
        <v>2176</v>
      </c>
      <c r="W174" s="2" t="s">
        <v>1820</v>
      </c>
      <c r="X174" s="2">
        <v>1</v>
      </c>
    </row>
    <row r="175" spans="1:24" s="2" customFormat="1" ht="69.75" customHeight="1">
      <c r="A175" s="56" t="str">
        <f>Tabla1[[#This Row],[Compound]]</f>
        <v>Tigecycline </v>
      </c>
      <c r="B175" s="56" t="str">
        <f>Tabla1[[#This Row],[Prec.Tox code]]</f>
        <v>PTX069</v>
      </c>
      <c r="C175" s="2" t="str">
        <f>Tabla1[[#This Row],[Formula]]</f>
        <v>C22H24N2O8</v>
      </c>
      <c r="D175" s="2" t="str">
        <f>Tabla1[[#This Row],[CAS number]]</f>
        <v>220620-09-7</v>
      </c>
      <c r="E175" s="2" t="str">
        <f>Tabla1[[#This Row],[Storage conditions]]</f>
        <v>-20 °C</v>
      </c>
      <c r="F175" s="2" t="str">
        <f>Tabla1[[#This Row],[Solubility (DMSO)]]</f>
        <v>&gt; 3 g/L</v>
      </c>
      <c r="G175" s="2" t="str">
        <f>Tabla1[[#This Row],[Solubility (H2O)]]</f>
        <v>0.45 g/L</v>
      </c>
      <c r="H175" s="2" t="str">
        <f>Tabla1[[#This Row],[EC50 fish]]</f>
        <v>?</v>
      </c>
      <c r="I175" s="2" t="str">
        <f>Tabla1[[#This Row],[EC50 daphnia]]</f>
        <v>EC50 - Daphnia magna (Water flea) - 2 mg/l - 48 h</v>
      </c>
      <c r="J175" s="107" t="s">
        <v>2177</v>
      </c>
      <c r="K175" s="124" t="s">
        <v>2178</v>
      </c>
      <c r="L175" s="2">
        <f>2*100</f>
        <v>200</v>
      </c>
      <c r="M175" s="2">
        <v>100</v>
      </c>
      <c r="N175" s="14">
        <f>(Tabla13[[#This Row],['[max.'] to reach 100% mortality (mg/L)]]/1000)*1000/Tabla13[[#This Row],[Stock concentration (g/L)]]</f>
        <v>2</v>
      </c>
      <c r="O175" s="42">
        <f>6*Tabla13[[#This Row],[Minimum stock volume (per partner; ml)]]*Tabla13[[#This Row],[Stock concentration (g/L)]]/1000</f>
        <v>1.2</v>
      </c>
      <c r="P175" s="79">
        <v>4749.1302899951806</v>
      </c>
      <c r="Q175" s="91">
        <f>MAX(Tabla13[[#This Row],[Needed amount of chemical (g); Ruben Leitat calculations]:[Needed amount of chemical (g); Stefan UFZ calculations]])</f>
        <v>4749.1302899951806</v>
      </c>
      <c r="S175" s="2">
        <v>1</v>
      </c>
      <c r="T175" s="2" t="s">
        <v>2140</v>
      </c>
      <c r="U175" s="2" t="s">
        <v>1875</v>
      </c>
      <c r="V175" s="2" t="s">
        <v>2179</v>
      </c>
      <c r="W175" s="2" t="s">
        <v>1938</v>
      </c>
      <c r="X175" s="2">
        <v>1</v>
      </c>
    </row>
    <row r="176" spans="1:24" s="2" customFormat="1" ht="69.75" customHeight="1">
      <c r="A176" s="56" t="str">
        <f>Tabla1[[#This Row],[Compound]]</f>
        <v>Rotenone  </v>
      </c>
      <c r="B176" s="56" t="str">
        <f>Tabla1[[#This Row],[Prec.Tox code]]</f>
        <v>PTX070</v>
      </c>
      <c r="C176" s="2" t="str">
        <f>Tabla1[[#This Row],[Formula]]</f>
        <v>C23H22O6</v>
      </c>
      <c r="D176" s="2" t="str">
        <f>Tabla1[[#This Row],[CAS number]]</f>
        <v>83-79-4</v>
      </c>
      <c r="E176" s="2" t="str">
        <f>Tabla1[[#This Row],[Storage conditions]]</f>
        <v>Room temperature
Light sensitive</v>
      </c>
      <c r="F176" s="2" t="str">
        <f>Tabla1[[#This Row],[Solubility (DMSO)]]</f>
        <v>50 g/L</v>
      </c>
      <c r="G176" s="2" t="str">
        <f>Tabla1[[#This Row],[Solubility (H2O)]]</f>
        <v xml:space="preserve"> 0.1 g/L</v>
      </c>
      <c r="H176" s="2" t="str">
        <f>Tabla1[[#This Row],[EC50 fish]]</f>
        <v>LC50 - Carassius auratus (goldfish) - 0,41 - 0,6 mg/l - 96 h</v>
      </c>
      <c r="I176" s="2" t="str">
        <f>Tabla1[[#This Row],[EC50 daphnia]]</f>
        <v>EC50 - Daphnia pulex (Water flea) - 0,074 - 0,134 mg/l - 48 h</v>
      </c>
      <c r="J176" s="107" t="s">
        <v>2180</v>
      </c>
      <c r="K176" s="124" t="s">
        <v>2181</v>
      </c>
      <c r="L176" s="2">
        <f>0.6*100</f>
        <v>60</v>
      </c>
      <c r="M176" s="2">
        <v>500</v>
      </c>
      <c r="N176" s="14">
        <f>(Tabla13[[#This Row],['[max.'] to reach 100% mortality (mg/L)]]/1000)*1000/Tabla13[[#This Row],[Stock concentration (g/L)]]</f>
        <v>0.12</v>
      </c>
      <c r="O176" s="42">
        <f>6*Tabla13[[#This Row],[Minimum stock volume (per partner; ml)]]*Tabla13[[#This Row],[Stock concentration (g/L)]]/1000</f>
        <v>0.36</v>
      </c>
      <c r="P176" s="79">
        <v>8.2058175027058963E-2</v>
      </c>
      <c r="Q176" s="91">
        <f>MAX(Tabla13[[#This Row],[Needed amount of chemical (g); Ruben Leitat calculations]:[Needed amount of chemical (g); Stefan UFZ calculations]])</f>
        <v>0.36</v>
      </c>
      <c r="S176" s="2">
        <v>1</v>
      </c>
      <c r="T176" s="2" t="s">
        <v>2140</v>
      </c>
      <c r="U176" s="2" t="s">
        <v>1875</v>
      </c>
      <c r="V176" s="2" t="s">
        <v>2182</v>
      </c>
      <c r="W176" s="2" t="s">
        <v>1938</v>
      </c>
      <c r="X176" s="2">
        <v>1</v>
      </c>
    </row>
    <row r="177" spans="1:24" s="2" customFormat="1" ht="69.75" customHeight="1">
      <c r="A177" s="56" t="str">
        <f>Tabla1[[#This Row],[Compound]]</f>
        <v>T-butyl hydroperoxide  </v>
      </c>
      <c r="B177" s="56" t="str">
        <f>Tabla1[[#This Row],[Prec.Tox code]]</f>
        <v>PTX071</v>
      </c>
      <c r="C177" s="2" t="str">
        <f>Tabla1[[#This Row],[Formula]]</f>
        <v>C4H10O2</v>
      </c>
      <c r="D177" s="2" t="str">
        <f>Tabla1[[#This Row],[CAS number]]</f>
        <v>75-91-2</v>
      </c>
      <c r="E177" s="2" t="str">
        <f>Tabla1[[#This Row],[Storage conditions]]</f>
        <v>2 - 8 °C</v>
      </c>
      <c r="F177" s="2" t="str">
        <f>Tabla1[[#This Row],[Solubility (DMSO)]]</f>
        <v>&gt; 100 g/L</v>
      </c>
      <c r="G177" s="2" t="str">
        <f>Tabla1[[#This Row],[Solubility (H2O)]]</f>
        <v>691 g/L</v>
      </c>
      <c r="H177" s="2" t="str">
        <f>Tabla1[[#This Row],[EC50 fish]]</f>
        <v>29.61 mg/L</v>
      </c>
      <c r="I177" s="2" t="str">
        <f>Tabla1[[#This Row],[EC50 daphnia]]</f>
        <v>14.07 mg/L</v>
      </c>
      <c r="J177" s="19" t="s">
        <v>2183</v>
      </c>
      <c r="K177" s="124" t="s">
        <v>2184</v>
      </c>
      <c r="L177" s="2">
        <f>29.61*100</f>
        <v>2961</v>
      </c>
      <c r="M177" s="2">
        <v>500</v>
      </c>
      <c r="N177" s="14">
        <f>(Tabla13[[#This Row],['[max.'] to reach 100% mortality (mg/L)]]/1000)*1000/Tabla13[[#This Row],[Stock concentration (g/L)]]</f>
        <v>5.9219999999999997</v>
      </c>
      <c r="O177" s="42">
        <f>6*Tabla13[[#This Row],[Minimum stock volume (per partner; ml)]]*Tabla13[[#This Row],[Stock concentration (g/L)]]/1000</f>
        <v>17.765999999999998</v>
      </c>
      <c r="P177" s="79">
        <v>3.3392887352003582</v>
      </c>
      <c r="Q177" s="91">
        <f>MAX(Tabla13[[#This Row],[Needed amount of chemical (g); Ruben Leitat calculations]:[Needed amount of chemical (g); Stefan UFZ calculations]])</f>
        <v>17.765999999999998</v>
      </c>
      <c r="S177" s="2">
        <v>100</v>
      </c>
      <c r="T177" s="2" t="s">
        <v>1825</v>
      </c>
      <c r="U177" s="2" t="s">
        <v>1875</v>
      </c>
      <c r="V177" s="2" t="s">
        <v>2185</v>
      </c>
      <c r="W177" s="2" t="s">
        <v>1846</v>
      </c>
      <c r="X177" s="2">
        <v>1</v>
      </c>
    </row>
    <row r="178" spans="1:24" s="2" customFormat="1" ht="69.75" customHeight="1">
      <c r="A178" s="56" t="str">
        <f>Tabla1[[#This Row],[Compound]]</f>
        <v>Polychlorinated biphenyl (PCB nº28)</v>
      </c>
      <c r="B178" s="56" t="str">
        <f>Tabla1[[#This Row],[Prec.Tox code]]</f>
        <v>PTX073</v>
      </c>
      <c r="C178" s="2" t="str">
        <f>Tabla1[[#This Row],[Formula]]</f>
        <v>C12H7Cl3</v>
      </c>
      <c r="D178" s="2" t="str">
        <f>Tabla1[[#This Row],[CAS number]]</f>
        <v>7012-37-5</v>
      </c>
      <c r="E178" s="2" t="str">
        <f>Tabla1[[#This Row],[Storage conditions]]</f>
        <v>Room temperature</v>
      </c>
      <c r="F178" s="2" t="str">
        <f>Tabla1[[#This Row],[Solubility (DMSO)]]</f>
        <v>?</v>
      </c>
      <c r="G178" s="2" t="str">
        <f>Tabla1[[#This Row],[Solubility (H2O)]]</f>
        <v>0.27 mg/L</v>
      </c>
      <c r="H178" s="2" t="str">
        <f>Tabla1[[#This Row],[EC50 fish]]</f>
        <v>LC50 - Pimephales promelas (fathead minnow) - &gt; 0,16 mg/l - 96,0h</v>
      </c>
      <c r="I178" s="2" t="str">
        <f>Tabla1[[#This Row],[EC50 daphnia]]</f>
        <v>EC50 - Daphnia magna (Water flea) - &gt; 0,16 mg/l - 48 h</v>
      </c>
      <c r="J178" s="2" t="s">
        <v>2186</v>
      </c>
      <c r="K178" s="124" t="s">
        <v>2187</v>
      </c>
      <c r="L178" s="2">
        <f>0.16*100</f>
        <v>16</v>
      </c>
      <c r="M178" s="2">
        <v>500</v>
      </c>
      <c r="N178" s="14">
        <f>(Tabla13[[#This Row],['[max.'] to reach 100% mortality (mg/L)]]/1000)*1000/Tabla13[[#This Row],[Stock concentration (g/L)]]</f>
        <v>3.2000000000000001E-2</v>
      </c>
      <c r="O178" s="42">
        <f>6*Tabla13[[#This Row],[Minimum stock volume (per partner; ml)]]*Tabla13[[#This Row],[Stock concentration (g/L)]]/1000</f>
        <v>9.6000000000000002E-2</v>
      </c>
      <c r="P178" s="30"/>
      <c r="Q178" s="2">
        <v>0.05</v>
      </c>
      <c r="R178" s="9" t="s">
        <v>2188</v>
      </c>
      <c r="S178" s="2">
        <v>0.05</v>
      </c>
      <c r="T178" s="2" t="s">
        <v>2153</v>
      </c>
      <c r="U178" s="2" t="s">
        <v>1875</v>
      </c>
      <c r="V178" s="2" t="s">
        <v>2189</v>
      </c>
      <c r="W178" s="2" t="s">
        <v>1811</v>
      </c>
      <c r="X178" s="2">
        <v>1</v>
      </c>
    </row>
    <row r="179" spans="1:24" s="14" customFormat="1" ht="69.75" customHeight="1">
      <c r="A179" s="56" t="s">
        <v>1427</v>
      </c>
      <c r="B179" s="56">
        <f>Tabla1[[#This Row],[Prec.Tox code]]</f>
        <v>0</v>
      </c>
      <c r="C179" s="2" t="str">
        <f>Tabla1[[#This Row],[Formula]]</f>
        <v>C7H8</v>
      </c>
      <c r="D179" s="14" t="str">
        <f>Tabla1[[#This Row],[CAS number]]</f>
        <v>108-88-3</v>
      </c>
      <c r="E179" s="2">
        <f>Tabla1[[#This Row],[Storage conditions]]</f>
        <v>0</v>
      </c>
      <c r="F179" s="2">
        <f>Tabla1[[#This Row],[Solubility (DMSO)]]</f>
        <v>0</v>
      </c>
      <c r="G179" s="2" t="str">
        <f>Tabla1[[#This Row],[Solubility (H2O)]]</f>
        <v>0,58 g/l</v>
      </c>
      <c r="H179" s="14" t="str">
        <f>Tabla1[[#This Row],[EC50 fish]]</f>
        <v>LC50 - Oncorhynchus kisutch (coho salmon) - 5,5 mg/l - 96 h</v>
      </c>
      <c r="I179" s="14" t="str">
        <f>Tabla1[[#This Row],[EC50 daphnia]]</f>
        <v>EC50 - Ceriodaphnia dubia (water flea) - 3,78 mg/l - 48 h</v>
      </c>
      <c r="J179" s="107" t="s">
        <v>2190</v>
      </c>
      <c r="K179" s="124" t="s">
        <v>2191</v>
      </c>
      <c r="L179" s="14">
        <f>5.5*100</f>
        <v>550</v>
      </c>
      <c r="M179" s="14">
        <v>501</v>
      </c>
      <c r="N179" s="14">
        <f>(Tabla13[[#This Row],['[max.'] to reach 100% mortality (mg/L)]]/1000)*1000/Tabla13[[#This Row],[Stock concentration (g/L)]]</f>
        <v>1.0978043912175648</v>
      </c>
      <c r="O179" s="42">
        <f>6*Tabla13[[#This Row],[Minimum stock volume (per partner; ml)]]*Tabla13[[#This Row],[Stock concentration (g/L)]]/1000</f>
        <v>3.2999999999999994</v>
      </c>
      <c r="P179" s="42"/>
      <c r="Q179" s="105">
        <f>MAX(Tabla13[[#This Row],[Needed amount of chemical (g); Ruben Leitat calculations]:[Needed amount of chemical (g); Stefan UFZ calculations]])</f>
        <v>3.2999999999999994</v>
      </c>
    </row>
    <row r="180" spans="1:24" s="14" customFormat="1" ht="69.75" customHeight="1">
      <c r="A180" s="56" t="s">
        <v>1434</v>
      </c>
      <c r="B180" s="56">
        <f>Tabla1[[#This Row],[Prec.Tox code]]</f>
        <v>0</v>
      </c>
      <c r="C180" s="2" t="str">
        <f>Tabla1[[#This Row],[Formula]]</f>
        <v>C10H9ClN4S</v>
      </c>
      <c r="D180" s="14" t="str">
        <f>Tabla1[[#This Row],[CAS number]]</f>
        <v>111988-49-9</v>
      </c>
      <c r="E180" s="2" t="str">
        <f>Tabla1[[#This Row],[Storage conditions]]</f>
        <v>Room temperature</v>
      </c>
      <c r="F180" s="2">
        <f>Tabla1[[#This Row],[Solubility (DMSO)]]</f>
        <v>0</v>
      </c>
      <c r="G180" s="2" t="str">
        <f>Tabla1[[#This Row],[Solubility (H2O)]]</f>
        <v>0,184 g/l</v>
      </c>
      <c r="H180" s="14" t="str">
        <f>Tabla1[[#This Row],[EC50 fish]]</f>
        <v>static test LC50 - Lepomis macrochirus (Bluegill) - 25,2 mg/l - 96 h</v>
      </c>
      <c r="I180" s="14" t="str">
        <f>Tabla1[[#This Row],[EC50 daphnia]]</f>
        <v>static test EC50 - other microorganisms - 0,006 mg/l - 48 h</v>
      </c>
      <c r="J180" s="107" t="s">
        <v>2192</v>
      </c>
      <c r="K180" s="124" t="s">
        <v>2193</v>
      </c>
      <c r="L180" s="14">
        <f>100*25.2</f>
        <v>2520</v>
      </c>
      <c r="M180" s="14">
        <v>10</v>
      </c>
      <c r="N180" s="14">
        <f>(Tabla13[[#This Row],['[max.'] to reach 100% mortality (mg/L)]]/1000)*1000/Tabla13[[#This Row],[Stock concentration (g/L)]]</f>
        <v>252</v>
      </c>
      <c r="O180" s="42">
        <f>6*Tabla13[[#This Row],[Minimum stock volume (per partner; ml)]]*Tabla13[[#This Row],[Stock concentration (g/L)]]/1000</f>
        <v>15.12</v>
      </c>
      <c r="P180" s="42"/>
      <c r="Q180" s="105">
        <f>MAX(Tabla13[[#This Row],[Needed amount of chemical (g); Ruben Leitat calculations]:[Needed amount of chemical (g); Stefan UFZ calculations]])</f>
        <v>15.12</v>
      </c>
    </row>
    <row r="181" spans="1:24" s="2" customFormat="1" ht="78" customHeight="1">
      <c r="A181" s="56" t="s">
        <v>1441</v>
      </c>
      <c r="B181" s="56">
        <f>Tabla1[[#This Row],[Prec.Tox code]]</f>
        <v>0</v>
      </c>
      <c r="C181" s="2">
        <f>Tabla1[[#This Row],[Formula]]</f>
        <v>0</v>
      </c>
      <c r="D181" s="2" t="str">
        <f>Tabla1[[#This Row],[CAS number]]</f>
        <v xml:space="preserve">117-98-6
62563-80-8 </v>
      </c>
      <c r="E181" s="2">
        <f>Tabla1[[#This Row],[Storage conditions]]</f>
        <v>0</v>
      </c>
      <c r="F181" s="2">
        <f>Tabla1[[#This Row],[Solubility (DMSO)]]</f>
        <v>0</v>
      </c>
      <c r="G181" s="2">
        <f>Tabla1[[#This Row],[Solubility (H2O)]]</f>
        <v>0</v>
      </c>
      <c r="H181" s="2" t="str">
        <f>Tabla1[[#This Row],[EC50 fish]]</f>
        <v>?</v>
      </c>
      <c r="I181" s="2" t="str">
        <f>Tabla1[[#This Row],[EC50 daphnia]]</f>
        <v>?</v>
      </c>
      <c r="J181" s="107" t="s">
        <v>2194</v>
      </c>
      <c r="L181" s="14" t="s">
        <v>34</v>
      </c>
      <c r="M181" s="2">
        <v>500</v>
      </c>
      <c r="N181" s="14" t="e">
        <f>(Tabla13[[#This Row],['[max.'] to reach 100% mortality (mg/L)]]/1000)*1000/Tabla13[[#This Row],[Stock concentration (g/L)]]</f>
        <v>#VALUE!</v>
      </c>
      <c r="O181" s="40" t="s">
        <v>1919</v>
      </c>
      <c r="P181" s="30"/>
      <c r="Q181" s="91">
        <f>MAX(Tabla13[[#This Row],[Needed amount of chemical (g); Ruben Leitat calculations]:[Needed amount of chemical (g); Stefan UFZ calculations]])</f>
        <v>0</v>
      </c>
    </row>
    <row r="182" spans="1:24" s="2" customFormat="1" ht="65.25" customHeight="1">
      <c r="A182" s="56" t="s">
        <v>1443</v>
      </c>
      <c r="B182" s="56">
        <f>Tabla1[[#This Row],[Prec.Tox code]]</f>
        <v>0</v>
      </c>
      <c r="C182" s="2">
        <f>Tabla1[[#This Row],[Formula]]</f>
        <v>0</v>
      </c>
      <c r="D182" s="2" t="str">
        <f>Tabla1[[#This Row],[CAS number]]</f>
        <v>123-03-5
6004-24-6</v>
      </c>
      <c r="E182" s="2">
        <f>Tabla1[[#This Row],[Storage conditions]]</f>
        <v>0</v>
      </c>
      <c r="F182" s="2">
        <f>Tabla1[[#This Row],[Solubility (DMSO)]]</f>
        <v>0</v>
      </c>
      <c r="G182" s="2">
        <f>Tabla1[[#This Row],[Solubility (H2O)]]</f>
        <v>0</v>
      </c>
      <c r="H182" s="2" t="str">
        <f>Tabla1[[#This Row],[EC50 fish]]</f>
        <v>static test LC50 - Oncorhynchus mykiss (rainbow trout) - 0,16 mg/l - 96 h</v>
      </c>
      <c r="I182" s="2" t="str">
        <f>Tabla1[[#This Row],[EC50 daphnia]]</f>
        <v>semi-static test EC50 - Daphnia magna (Water flea) - 0,0041 mg/l - 48 h</v>
      </c>
      <c r="J182" s="107" t="s">
        <v>2195</v>
      </c>
      <c r="K182" s="124" t="s">
        <v>2196</v>
      </c>
      <c r="L182" s="15">
        <f>100*0.16</f>
        <v>16</v>
      </c>
      <c r="M182" s="2">
        <v>1000</v>
      </c>
      <c r="N182" s="14">
        <f>(Tabla13[[#This Row],['[max.'] to reach 100% mortality (mg/L)]]/1000)*1000/Tabla13[[#This Row],[Stock concentration (g/L)]]</f>
        <v>1.6E-2</v>
      </c>
      <c r="O182" s="42">
        <f>6*Tabla13[[#This Row],[Minimum stock volume (per partner; ml)]]*Tabla13[[#This Row],[Stock concentration (g/L)]]/1000</f>
        <v>9.6000000000000002E-2</v>
      </c>
      <c r="P182" s="30"/>
      <c r="Q182" s="91">
        <f>MAX(Tabla13[[#This Row],[Needed amount of chemical (g); Ruben Leitat calculations]:[Needed amount of chemical (g); Stefan UFZ calculations]])</f>
        <v>9.6000000000000002E-2</v>
      </c>
    </row>
    <row r="183" spans="1:24" s="2" customFormat="1" ht="65.25" customHeight="1">
      <c r="A183" s="56" t="s">
        <v>1447</v>
      </c>
      <c r="B183" s="56">
        <f>Tabla1[[#This Row],[Prec.Tox code]]</f>
        <v>0</v>
      </c>
      <c r="C183" s="2">
        <f>Tabla1[[#This Row],[Formula]]</f>
        <v>0</v>
      </c>
      <c r="D183" s="2" t="str">
        <f>Tabla1[[#This Row],[CAS number]]</f>
        <v>1241-94-7</v>
      </c>
      <c r="E183" s="2">
        <f>Tabla1[[#This Row],[Storage conditions]]</f>
        <v>0</v>
      </c>
      <c r="F183" s="2">
        <f>Tabla1[[#This Row],[Solubility (DMSO)]]</f>
        <v>0</v>
      </c>
      <c r="G183" s="2">
        <f>Tabla1[[#This Row],[Solubility (H2O)]]</f>
        <v>0</v>
      </c>
      <c r="H183" s="2" t="str">
        <f>Tabla1[[#This Row],[EC50 fish]]</f>
        <v>Fish: 48h LC50: 17.7 mg/L (Oryzias latipes)</v>
      </c>
      <c r="I183" s="2" t="str">
        <f>Tabla1[[#This Row],[EC50 daphnia]]</f>
        <v>48-h EC50: 0.38 mg/L</v>
      </c>
      <c r="J183" s="107" t="s">
        <v>2197</v>
      </c>
      <c r="K183" s="125" t="s">
        <v>2198</v>
      </c>
      <c r="L183" s="15">
        <f>100*17.7</f>
        <v>1770</v>
      </c>
      <c r="M183" s="2">
        <v>100</v>
      </c>
      <c r="N183" s="14">
        <f>(Tabla13[[#This Row],['[max.'] to reach 100% mortality (mg/L)]]/1000)*1000/Tabla13[[#This Row],[Stock concentration (g/L)]]</f>
        <v>17.7</v>
      </c>
      <c r="O183" s="42">
        <f>6*Tabla13[[#This Row],[Minimum stock volume (per partner; ml)]]*Tabla13[[#This Row],[Stock concentration (g/L)]]/1000</f>
        <v>10.619999999999997</v>
      </c>
      <c r="P183" s="30"/>
      <c r="Q183" s="91">
        <f>MAX(Tabla13[[#This Row],[Needed amount of chemical (g); Ruben Leitat calculations]:[Needed amount of chemical (g); Stefan UFZ calculations]])</f>
        <v>10.619999999999997</v>
      </c>
    </row>
    <row r="184" spans="1:24" s="14" customFormat="1" ht="65.25" customHeight="1">
      <c r="A184" s="56" t="s">
        <v>1451</v>
      </c>
      <c r="B184" s="56">
        <f>Tabla1[[#This Row],[Prec.Tox code]]</f>
        <v>0</v>
      </c>
      <c r="C184" s="2">
        <f>Tabla1[[#This Row],[Formula]]</f>
        <v>0</v>
      </c>
      <c r="D184" s="14" t="str">
        <f>Tabla1[[#This Row],[CAS number]]</f>
        <v>127-18-4</v>
      </c>
      <c r="E184" s="2">
        <f>Tabla1[[#This Row],[Storage conditions]]</f>
        <v>0</v>
      </c>
      <c r="F184" s="2">
        <f>Tabla1[[#This Row],[Solubility (DMSO)]]</f>
        <v>0</v>
      </c>
      <c r="G184" s="2">
        <f>Tabla1[[#This Row],[Solubility (H2O)]]</f>
        <v>0</v>
      </c>
      <c r="H184" s="14" t="str">
        <f>Tabla1[[#This Row],[EC50 fish]]</f>
        <v>LC50 - Oncorhynchus mykiss (rainbow trout) - 5 mg/l - 96 h</v>
      </c>
      <c r="I184" s="14" t="str">
        <f>Tabla1[[#This Row],[EC50 daphnia]]</f>
        <v>EC50 - Daphnia magna (Water flea) - 7,50 mg/l - 48 h</v>
      </c>
      <c r="J184" s="107" t="s">
        <v>2199</v>
      </c>
      <c r="K184" s="124" t="s">
        <v>2200</v>
      </c>
      <c r="L184" s="15">
        <f>100*7.5</f>
        <v>750</v>
      </c>
      <c r="M184" s="2">
        <v>100</v>
      </c>
      <c r="N184" s="14">
        <f>(Tabla13[[#This Row],['[max.'] to reach 100% mortality (mg/L)]]/1000)*1000/Tabla13[[#This Row],[Stock concentration (g/L)]]</f>
        <v>7.5</v>
      </c>
      <c r="O184" s="42">
        <f>6*Tabla13[[#This Row],[Minimum stock volume (per partner; ml)]]*Tabla13[[#This Row],[Stock concentration (g/L)]]/1000</f>
        <v>4.5</v>
      </c>
      <c r="P184" s="42"/>
      <c r="Q184" s="105">
        <f>MAX(Tabla13[[#This Row],[Needed amount of chemical (g); Ruben Leitat calculations]:[Needed amount of chemical (g); Stefan UFZ calculations]])</f>
        <v>4.5</v>
      </c>
    </row>
    <row r="185" spans="1:24" s="2" customFormat="1" ht="65.25" customHeight="1">
      <c r="A185" s="57" t="s">
        <v>1455</v>
      </c>
      <c r="B185" s="56">
        <f>Tabla1[[#This Row],[Prec.Tox code]]</f>
        <v>0</v>
      </c>
      <c r="C185" s="2">
        <f>Tabla1[[#This Row],[Formula]]</f>
        <v>0</v>
      </c>
      <c r="D185" s="2" t="str">
        <f>Tabla1[[#This Row],[CAS number]]</f>
        <v>1330-20-7</v>
      </c>
      <c r="E185" s="2">
        <f>Tabla1[[#This Row],[Storage conditions]]</f>
        <v>0</v>
      </c>
      <c r="F185" s="2">
        <f>Tabla1[[#This Row],[Solubility (DMSO)]]</f>
        <v>0</v>
      </c>
      <c r="G185" s="2">
        <f>Tabla1[[#This Row],[Solubility (H2O)]]</f>
        <v>0</v>
      </c>
      <c r="H185" s="2" t="str">
        <f>Tabla1[[#This Row],[EC50 fish]]</f>
        <v>static test LC50 - Oncorhynchus mykiss (rainbow trout) - 2,60 mg/l - 96 h (Xylene)</v>
      </c>
      <c r="I185" s="2" t="str">
        <f>Tabla1[[#This Row],[EC50 daphnia]]</f>
        <v>1.0 - 4.7 mg/L</v>
      </c>
      <c r="J185" s="107" t="s">
        <v>2201</v>
      </c>
      <c r="K185" s="124" t="s">
        <v>2202</v>
      </c>
      <c r="L185" s="15">
        <f>100*4.7</f>
        <v>470</v>
      </c>
      <c r="M185" s="2">
        <v>100</v>
      </c>
      <c r="N185" s="14">
        <f>(Tabla13[[#This Row],['[max.'] to reach 100% mortality (mg/L)]]/1000)*1000/Tabla13[[#This Row],[Stock concentration (g/L)]]</f>
        <v>4.7</v>
      </c>
      <c r="O185" s="42">
        <f>6*Tabla13[[#This Row],[Minimum stock volume (per partner; ml)]]*Tabla13[[#This Row],[Stock concentration (g/L)]]/1000</f>
        <v>2.8200000000000003</v>
      </c>
      <c r="P185" s="30"/>
      <c r="Q185" s="91">
        <f>MAX(Tabla13[[#This Row],[Needed amount of chemical (g); Ruben Leitat calculations]:[Needed amount of chemical (g); Stefan UFZ calculations]])</f>
        <v>2.8200000000000003</v>
      </c>
      <c r="R185" s="22" t="s">
        <v>2203</v>
      </c>
    </row>
    <row r="186" spans="1:24" s="14" customFormat="1" ht="65.25" customHeight="1">
      <c r="A186" s="56" t="s">
        <v>1459</v>
      </c>
      <c r="B186" s="56">
        <f>Tabla1[[#This Row],[Prec.Tox code]]</f>
        <v>0</v>
      </c>
      <c r="C186" s="2">
        <f>Tabla1[[#This Row],[Formula]]</f>
        <v>0</v>
      </c>
      <c r="D186" s="14" t="str">
        <f>Tabla1[[#This Row],[CAS number]]</f>
        <v>143-50-0</v>
      </c>
      <c r="E186" s="2">
        <f>Tabla1[[#This Row],[Storage conditions]]</f>
        <v>0</v>
      </c>
      <c r="F186" s="2">
        <f>Tabla1[[#This Row],[Solubility (DMSO)]]</f>
        <v>0</v>
      </c>
      <c r="G186" s="2">
        <f>Tabla1[[#This Row],[Solubility (H2O)]]</f>
        <v>0</v>
      </c>
      <c r="H186" s="14" t="str">
        <f>Tabla1[[#This Row],[EC50 fish]]</f>
        <v>LC50 - Oncorhynchus mykiss (rainbow trout) - 0,03 mg/l - 96,0 h</v>
      </c>
      <c r="I186" s="14" t="str">
        <f>Tabla1[[#This Row],[EC50 daphnia]]</f>
        <v>EC50 - Daphnia magna (Water flea) - 0,26 mg/l - 48 h</v>
      </c>
      <c r="J186" s="107" t="s">
        <v>2204</v>
      </c>
      <c r="K186" s="124" t="s">
        <v>2205</v>
      </c>
      <c r="L186" s="15">
        <f>100*0.26</f>
        <v>26</v>
      </c>
      <c r="M186" s="14">
        <v>100</v>
      </c>
      <c r="N186" s="14">
        <f>(Tabla13[[#This Row],['[max.'] to reach 100% mortality (mg/L)]]/1000)*1000/Tabla13[[#This Row],[Stock concentration (g/L)]]</f>
        <v>0.26</v>
      </c>
      <c r="O186" s="42">
        <f>6*Tabla13[[#This Row],[Minimum stock volume (per partner; ml)]]*Tabla13[[#This Row],[Stock concentration (g/L)]]/1000</f>
        <v>0.156</v>
      </c>
      <c r="P186" s="42"/>
      <c r="Q186" s="105">
        <f>MAX(Tabla13[[#This Row],[Needed amount of chemical (g); Ruben Leitat calculations]:[Needed amount of chemical (g); Stefan UFZ calculations]])</f>
        <v>0.156</v>
      </c>
    </row>
    <row r="187" spans="1:24" s="2" customFormat="1" ht="65.25" customHeight="1">
      <c r="A187" s="56" t="s">
        <v>1463</v>
      </c>
      <c r="B187" s="56">
        <f>Tabla1[[#This Row],[Prec.Tox code]]</f>
        <v>0</v>
      </c>
      <c r="C187" s="2">
        <f>Tabla1[[#This Row],[Formula]]</f>
        <v>0</v>
      </c>
      <c r="D187" s="2" t="str">
        <f>Tabla1[[#This Row],[CAS number]]</f>
        <v>1910-42-5
(75365-73-0)</v>
      </c>
      <c r="E187" s="2">
        <f>Tabla1[[#This Row],[Storage conditions]]</f>
        <v>0</v>
      </c>
      <c r="F187" s="2">
        <f>Tabla1[[#This Row],[Solubility (DMSO)]]</f>
        <v>0</v>
      </c>
      <c r="G187" s="2">
        <f>Tabla1[[#This Row],[Solubility (H2O)]]</f>
        <v>0</v>
      </c>
      <c r="H187" s="2" t="str">
        <f>Tabla1[[#This Row],[EC50 fish]]</f>
        <v>flow-through test LC50 - Pimephales promelas (fathead minnow) - 6,48 mg/l - 96 h</v>
      </c>
      <c r="I187" s="2" t="str">
        <f>Tabla1[[#This Row],[EC50 daphnia]]</f>
        <v>static test EC50 - Daphnia magna (Water flea) - 4,4 mg/l - 48 h</v>
      </c>
      <c r="J187" s="107" t="s">
        <v>2206</v>
      </c>
      <c r="K187" s="124" t="s">
        <v>2207</v>
      </c>
      <c r="L187" s="15">
        <f>100*6.48</f>
        <v>648</v>
      </c>
      <c r="M187" s="2">
        <v>500</v>
      </c>
      <c r="N187" s="14">
        <f>(Tabla13[[#This Row],['[max.'] to reach 100% mortality (mg/L)]]/1000)*1000/Tabla13[[#This Row],[Stock concentration (g/L)]]</f>
        <v>1.296</v>
      </c>
      <c r="O187" s="42">
        <f>6*Tabla13[[#This Row],[Minimum stock volume (per partner; ml)]]*Tabla13[[#This Row],[Stock concentration (g/L)]]/1000</f>
        <v>3.8879999999999999</v>
      </c>
      <c r="P187" s="30"/>
      <c r="Q187" s="91">
        <f>MAX(Tabla13[[#This Row],[Needed amount of chemical (g); Ruben Leitat calculations]:[Needed amount of chemical (g); Stefan UFZ calculations]])</f>
        <v>3.8879999999999999</v>
      </c>
    </row>
    <row r="188" spans="1:24" s="14" customFormat="1" ht="65.25" customHeight="1">
      <c r="A188" s="56" t="s">
        <v>1467</v>
      </c>
      <c r="B188" s="56">
        <f>Tabla1[[#This Row],[Prec.Tox code]]</f>
        <v>0</v>
      </c>
      <c r="C188" s="2">
        <f>Tabla1[[#This Row],[Formula]]</f>
        <v>0</v>
      </c>
      <c r="D188" s="14" t="str">
        <f>Tabla1[[#This Row],[CAS number]]</f>
        <v>1951-25-3
(19774-82-4)</v>
      </c>
      <c r="E188" s="2">
        <f>Tabla1[[#This Row],[Storage conditions]]</f>
        <v>0</v>
      </c>
      <c r="F188" s="2">
        <f>Tabla1[[#This Row],[Solubility (DMSO)]]</f>
        <v>0</v>
      </c>
      <c r="G188" s="2">
        <f>Tabla1[[#This Row],[Solubility (H2O)]]</f>
        <v>0</v>
      </c>
      <c r="H188" s="14" t="str">
        <f>Tabla1[[#This Row],[EC50 fish]]</f>
        <v>Around 50 μM (other species)</v>
      </c>
      <c r="I188" s="14" t="str">
        <f>Tabla1[[#This Row],[EC50 daphnia]]</f>
        <v>Around 50 μM (other species)</v>
      </c>
      <c r="J188" s="107" t="s">
        <v>2208</v>
      </c>
      <c r="K188" s="124" t="s">
        <v>2209</v>
      </c>
      <c r="L188" s="17">
        <f>50*100*(1/1000000)*645.32*1000</f>
        <v>3226.6000000000004</v>
      </c>
      <c r="M188" s="2">
        <v>501</v>
      </c>
      <c r="N188" s="14">
        <f>(Tabla13[[#This Row],['[max.'] to reach 100% mortality (mg/L)]]/1000)*1000/Tabla13[[#This Row],[Stock concentration (g/L)]]</f>
        <v>6.4403193612774459</v>
      </c>
      <c r="O188" s="42">
        <f>6*Tabla13[[#This Row],[Minimum stock volume (per partner; ml)]]*Tabla13[[#This Row],[Stock concentration (g/L)]]/1000</f>
        <v>19.359600000000004</v>
      </c>
      <c r="P188" s="42"/>
      <c r="Q188" s="105">
        <f>MAX(Tabla13[[#This Row],[Needed amount of chemical (g); Ruben Leitat calculations]:[Needed amount of chemical (g); Stefan UFZ calculations]])</f>
        <v>19.359600000000004</v>
      </c>
    </row>
    <row r="189" spans="1:24" s="2" customFormat="1" ht="69" customHeight="1">
      <c r="A189" s="56" t="s">
        <v>1470</v>
      </c>
      <c r="B189" s="56">
        <f>Tabla1[[#This Row],[Prec.Tox code]]</f>
        <v>0</v>
      </c>
      <c r="C189" s="2">
        <f>Tabla1[[#This Row],[Formula]]</f>
        <v>0</v>
      </c>
      <c r="D189" s="2" t="str">
        <f>Tabla1[[#This Row],[CAS number]]</f>
        <v>210880-92-5</v>
      </c>
      <c r="E189" s="2">
        <f>Tabla1[[#This Row],[Storage conditions]]</f>
        <v>0</v>
      </c>
      <c r="F189" s="2">
        <f>Tabla1[[#This Row],[Solubility (DMSO)]]</f>
        <v>0</v>
      </c>
      <c r="G189" s="2">
        <f>Tabla1[[#This Row],[Solubility (H2O)]]</f>
        <v>0</v>
      </c>
      <c r="H189" s="2" t="str">
        <f>Tabla1[[#This Row],[EC50 fish]]</f>
        <v>LC50 - Oncorhynchus mykiss (rainbow trout) - &gt; 104,2 mg/l - 96,0h</v>
      </c>
      <c r="I189" s="2" t="str">
        <f>Tabla1[[#This Row],[EC50 daphnia]]</f>
        <v>EC50 - Daphnia magna (Water flea) - &gt; 119 mg/l - 48 h</v>
      </c>
      <c r="J189" s="107" t="s">
        <v>2210</v>
      </c>
      <c r="K189" s="124" t="s">
        <v>2211</v>
      </c>
      <c r="L189" s="14">
        <f>100*119</f>
        <v>11900</v>
      </c>
      <c r="M189" s="2">
        <v>1000</v>
      </c>
      <c r="N189" s="14">
        <f>(Tabla13[[#This Row],['[max.'] to reach 100% mortality (mg/L)]]/1000)*1000/Tabla13[[#This Row],[Stock concentration (g/L)]]</f>
        <v>11.9</v>
      </c>
      <c r="O189" s="42">
        <f>6*Tabla13[[#This Row],[Minimum stock volume (per partner; ml)]]*Tabla13[[#This Row],[Stock concentration (g/L)]]/1000</f>
        <v>71.400000000000006</v>
      </c>
      <c r="P189" s="30"/>
      <c r="Q189" s="91">
        <f>MAX(Tabla13[[#This Row],[Needed amount of chemical (g); Ruben Leitat calculations]:[Needed amount of chemical (g); Stefan UFZ calculations]])</f>
        <v>71.400000000000006</v>
      </c>
    </row>
    <row r="190" spans="1:24" s="2" customFormat="1" ht="45">
      <c r="A190" s="9" t="s">
        <v>1474</v>
      </c>
      <c r="B190" s="56">
        <f>Tabla1[[#This Row],[Prec.Tox code]]</f>
        <v>0</v>
      </c>
      <c r="C190" s="2">
        <f>Tabla1[[#This Row],[Formula]]</f>
        <v>0</v>
      </c>
      <c r="D190" s="2" t="str">
        <f>Tabla1[[#This Row],[CAS number]]</f>
        <v>220158-86-1</v>
      </c>
      <c r="E190" s="2">
        <f>Tabla1[[#This Row],[Storage conditions]]</f>
        <v>0</v>
      </c>
      <c r="F190" s="2">
        <f>Tabla1[[#This Row],[Solubility (DMSO)]]</f>
        <v>0</v>
      </c>
      <c r="G190" s="2">
        <f>Tabla1[[#This Row],[Solubility (H2O)]]</f>
        <v>0</v>
      </c>
      <c r="H190" s="2">
        <f>Tabla1[[#This Row],[EC50 fish]]</f>
        <v>0</v>
      </c>
      <c r="I190" s="2">
        <f>Tabla1[[#This Row],[EC50 daphnia]]</f>
        <v>0</v>
      </c>
      <c r="J190" s="5" t="s">
        <v>2212</v>
      </c>
      <c r="L190" s="14" t="s">
        <v>34</v>
      </c>
      <c r="M190" s="2">
        <v>100</v>
      </c>
      <c r="N190" s="14" t="e">
        <f>(Tabla13[[#This Row],['[max.'] to reach 100% mortality (mg/L)]]/1000)*1000/Tabla13[[#This Row],[Stock concentration (g/L)]]</f>
        <v>#VALUE!</v>
      </c>
      <c r="O190" s="40" t="s">
        <v>1919</v>
      </c>
      <c r="P190" s="30"/>
      <c r="Q190" s="91">
        <f>MAX(Tabla13[[#This Row],[Needed amount of chemical (g); Ruben Leitat calculations]:[Needed amount of chemical (g); Stefan UFZ calculations]])</f>
        <v>0</v>
      </c>
    </row>
    <row r="191" spans="1:24" s="2" customFormat="1" ht="47.45" customHeight="1">
      <c r="A191" s="9" t="s">
        <v>1476</v>
      </c>
      <c r="B191" s="56">
        <f>Tabla1[[#This Row],[Prec.Tox code]]</f>
        <v>0</v>
      </c>
      <c r="C191" s="2">
        <f>Tabla1[[#This Row],[Formula]]</f>
        <v>0</v>
      </c>
      <c r="D191" s="2" t="str">
        <f>Tabla1[[#This Row],[CAS number]]</f>
        <v>22967-92-6
(115-09-3)</v>
      </c>
      <c r="E191" s="2">
        <f>Tabla1[[#This Row],[Storage conditions]]</f>
        <v>0</v>
      </c>
      <c r="F191" s="2">
        <f>Tabla1[[#This Row],[Solubility (DMSO)]]</f>
        <v>0</v>
      </c>
      <c r="G191" s="2">
        <f>Tabla1[[#This Row],[Solubility (H2O)]]</f>
        <v>0</v>
      </c>
      <c r="H191" s="2" t="str">
        <f>Tabla1[[#This Row],[EC50 fish]]</f>
        <v>LC50 - Oncorhynchus mykiss (rainbow trout) - 0,024 mg/l - 96 h</v>
      </c>
      <c r="I191" s="2" t="str">
        <f>Tabla1[[#This Row],[EC50 daphnia]]</f>
        <v>0.0052 mg/L</v>
      </c>
      <c r="J191" s="5" t="s">
        <v>2213</v>
      </c>
      <c r="K191" s="124" t="s">
        <v>2214</v>
      </c>
      <c r="L191" s="14">
        <f>100*0.024</f>
        <v>2.4</v>
      </c>
      <c r="M191" s="2">
        <v>500</v>
      </c>
      <c r="N191" s="14">
        <f>(Tabla13[[#This Row],['[max.'] to reach 100% mortality (mg/L)]]/1000)*1000/Tabla13[[#This Row],[Stock concentration (g/L)]]</f>
        <v>4.7999999999999996E-3</v>
      </c>
      <c r="O191" s="42">
        <f>6*Tabla13[[#This Row],[Minimum stock volume (per partner; ml)]]*Tabla13[[#This Row],[Stock concentration (g/L)]]/1000</f>
        <v>1.44E-2</v>
      </c>
      <c r="P191" s="30"/>
      <c r="Q191" s="91">
        <f>MAX(Tabla13[[#This Row],[Needed amount of chemical (g); Ruben Leitat calculations]:[Needed amount of chemical (g); Stefan UFZ calculations]])</f>
        <v>1.44E-2</v>
      </c>
    </row>
    <row r="192" spans="1:24" s="2" customFormat="1" ht="105">
      <c r="A192" s="56" t="s">
        <v>1480</v>
      </c>
      <c r="B192" s="56">
        <f>Tabla1[[#This Row],[Prec.Tox code]]</f>
        <v>0</v>
      </c>
      <c r="C192" s="2">
        <f>Tabla1[[#This Row],[Formula]]</f>
        <v>0</v>
      </c>
      <c r="D192" s="2" t="str">
        <f>Tabla1[[#This Row],[CAS number]]</f>
        <v>293754-55-9</v>
      </c>
      <c r="E192" s="2">
        <f>Tabla1[[#This Row],[Storage conditions]]</f>
        <v>0</v>
      </c>
      <c r="F192" s="2" t="str">
        <f>Tabla1[[#This Row],[Solubility (DMSO)]]</f>
        <v>≥24.05g/L in DMSO</v>
      </c>
      <c r="G192" s="2">
        <f>Tabla1[[#This Row],[Solubility (H2O)]]</f>
        <v>0</v>
      </c>
      <c r="H192" s="2" t="str">
        <f>Tabla1[[#This Row],[EC50 fish]]</f>
        <v>effective concentration: 5 μM</v>
      </c>
      <c r="I192" s="2" t="str">
        <f>Tabla1[[#This Row],[EC50 daphnia]]</f>
        <v>effective concentration: 5 μM</v>
      </c>
      <c r="J192" s="107" t="s">
        <v>2215</v>
      </c>
      <c r="K192" s="124" t="s">
        <v>2216</v>
      </c>
      <c r="L192" s="2">
        <f>5*100*(1/1000000)*481.33*1000*(10)</f>
        <v>2406.65</v>
      </c>
      <c r="M192" s="2">
        <v>5000</v>
      </c>
      <c r="N192" s="14">
        <f>(Tabla13[[#This Row],['[max.'] to reach 100% mortality (mg/L)]]/1000)*1000/Tabla13[[#This Row],[Stock concentration (g/L)]]</f>
        <v>0.48133000000000004</v>
      </c>
      <c r="O192" s="42">
        <f>6*Tabla13[[#This Row],[Minimum stock volume (per partner; ml)]]*Tabla13[[#This Row],[Stock concentration (g/L)]]/1000</f>
        <v>14.439900000000002</v>
      </c>
      <c r="P192" s="30"/>
      <c r="Q192" s="91">
        <f>MAX(Tabla13[[#This Row],[Needed amount of chemical (g); Ruben Leitat calculations]:[Needed amount of chemical (g); Stefan UFZ calculations]])</f>
        <v>14.439900000000002</v>
      </c>
    </row>
    <row r="193" spans="1:18" s="14" customFormat="1" ht="47.45" customHeight="1">
      <c r="A193" s="56" t="s">
        <v>1484</v>
      </c>
      <c r="B193" s="56">
        <f>Tabla1[[#This Row],[Prec.Tox code]]</f>
        <v>0</v>
      </c>
      <c r="C193" s="14">
        <f>Tabla1[[#This Row],[Formula]]</f>
        <v>0</v>
      </c>
      <c r="D193" s="14" t="str">
        <f>Tabla1[[#This Row],[CAS number]]</f>
        <v>3248-91-7</v>
      </c>
      <c r="E193" s="14">
        <f>Tabla1[[#This Row],[Storage conditions]]</f>
        <v>0</v>
      </c>
      <c r="F193" s="14">
        <f>Tabla1[[#This Row],[Solubility (DMSO)]]</f>
        <v>0</v>
      </c>
      <c r="G193" s="14">
        <f>Tabla1[[#This Row],[Solubility (H2O)]]</f>
        <v>0</v>
      </c>
      <c r="H193" s="14" t="str">
        <f>Tabla1[[#This Row],[EC50 fish]]</f>
        <v>?</v>
      </c>
      <c r="I193" s="14" t="str">
        <f>Tabla1[[#This Row],[EC50 daphnia]]</f>
        <v>508.66 mg/L</v>
      </c>
      <c r="J193" s="14" t="s">
        <v>2217</v>
      </c>
      <c r="K193" s="125" t="s">
        <v>2218</v>
      </c>
      <c r="L193" s="14">
        <f>100*508.66</f>
        <v>50866</v>
      </c>
      <c r="M193" s="2">
        <v>500</v>
      </c>
      <c r="N193" s="14">
        <f>(Tabla13[[#This Row],['[max.'] to reach 100% mortality (mg/L)]]/1000)*1000/Tabla13[[#This Row],[Stock concentration (g/L)]]</f>
        <v>101.732</v>
      </c>
      <c r="O193" s="42">
        <f>6*Tabla13[[#This Row],[Minimum stock volume (per partner; ml)]]*Tabla13[[#This Row],[Stock concentration (g/L)]]/1000</f>
        <v>305.19600000000003</v>
      </c>
      <c r="P193" s="42"/>
      <c r="Q193" s="105">
        <f>MAX(Tabla13[[#This Row],[Needed amount of chemical (g); Ruben Leitat calculations]:[Needed amount of chemical (g); Stefan UFZ calculations]])</f>
        <v>305.19600000000003</v>
      </c>
    </row>
    <row r="194" spans="1:18" s="2" customFormat="1" ht="180">
      <c r="A194" s="9" t="s">
        <v>1487</v>
      </c>
      <c r="B194" s="56">
        <f>Tabla1[[#This Row],[Prec.Tox code]]</f>
        <v>0</v>
      </c>
      <c r="C194" s="2">
        <f>Tabla1[[#This Row],[Formula]]</f>
        <v>0</v>
      </c>
      <c r="D194" s="2" t="str">
        <f>Tabla1[[#This Row],[CAS number]]</f>
        <v>4685-14-7</v>
      </c>
      <c r="E194" s="2">
        <f>Tabla1[[#This Row],[Storage conditions]]</f>
        <v>0</v>
      </c>
      <c r="F194" s="2">
        <f>Tabla1[[#This Row],[Solubility (DMSO)]]</f>
        <v>0</v>
      </c>
      <c r="G194" s="2">
        <f>Tabla1[[#This Row],[Solubility (H2O)]]</f>
        <v>0</v>
      </c>
      <c r="H194" s="2">
        <f>Tabla1[[#This Row],[EC50 fish]]</f>
        <v>0</v>
      </c>
      <c r="I194" s="2">
        <f>Tabla1[[#This Row],[EC50 daphnia]]</f>
        <v>0</v>
      </c>
      <c r="J194" s="5" t="s">
        <v>2219</v>
      </c>
      <c r="L194" s="14" t="s">
        <v>34</v>
      </c>
      <c r="M194" s="2">
        <v>500</v>
      </c>
      <c r="N194" s="14" t="e">
        <f>(Tabla13[[#This Row],['[max.'] to reach 100% mortality (mg/L)]]/1000)*1000/Tabla13[[#This Row],[Stock concentration (g/L)]]</f>
        <v>#VALUE!</v>
      </c>
      <c r="O194" s="40" t="s">
        <v>1919</v>
      </c>
      <c r="P194" s="30"/>
      <c r="Q194" s="91">
        <f>MAX(Tabla13[[#This Row],[Needed amount of chemical (g); Ruben Leitat calculations]:[Needed amount of chemical (g); Stefan UFZ calculations]])</f>
        <v>0</v>
      </c>
      <c r="R194" s="22" t="s">
        <v>2220</v>
      </c>
    </row>
    <row r="195" spans="1:18" s="2" customFormat="1" ht="106.15" customHeight="1">
      <c r="A195" s="56" t="s">
        <v>1489</v>
      </c>
      <c r="B195" s="56">
        <f>Tabla1[[#This Row],[Prec.Tox code]]</f>
        <v>0</v>
      </c>
      <c r="C195" s="2">
        <f>Tabla1[[#This Row],[Formula]]</f>
        <v>0</v>
      </c>
      <c r="D195" s="2" t="str">
        <f>Tabla1[[#This Row],[CAS number]]</f>
        <v>541-02-6</v>
      </c>
      <c r="E195" s="2">
        <f>Tabla1[[#This Row],[Storage conditions]]</f>
        <v>0</v>
      </c>
      <c r="F195" s="2">
        <f>Tabla1[[#This Row],[Solubility (DMSO)]]</f>
        <v>0</v>
      </c>
      <c r="G195" s="2">
        <f>Tabla1[[#This Row],[Solubility (H2O)]]</f>
        <v>0</v>
      </c>
      <c r="H195" s="2" t="str">
        <f>Tabla1[[#This Row],[EC50 fish]]</f>
        <v>96 h and 14 d LC50 &gt;16 µg/L, Oncorhynchus mykiss (beyond solubility?)</v>
      </c>
      <c r="I195" s="2" t="str">
        <f>Tabla1[[#This Row],[EC50 daphnia]]</f>
        <v>48 h EC50 &gt;2.9 µg/L, Daphnia magna (beyond solubility?)</v>
      </c>
      <c r="J195" s="107" t="s">
        <v>2221</v>
      </c>
      <c r="K195" s="124" t="s">
        <v>2222</v>
      </c>
      <c r="L195" s="14">
        <f>100*16/1000</f>
        <v>1.6</v>
      </c>
      <c r="M195" s="2">
        <v>500</v>
      </c>
      <c r="N195" s="14">
        <f>(Tabla13[[#This Row],['[max.'] to reach 100% mortality (mg/L)]]/1000)*1000/Tabla13[[#This Row],[Stock concentration (g/L)]]</f>
        <v>3.2000000000000002E-3</v>
      </c>
      <c r="O195" s="42">
        <f>6*Tabla13[[#This Row],[Minimum stock volume (per partner; ml)]]*Tabla13[[#This Row],[Stock concentration (g/L)]]/1000</f>
        <v>9.6000000000000009E-3</v>
      </c>
      <c r="P195" s="30"/>
      <c r="Q195" s="91">
        <f>MAX(Tabla13[[#This Row],[Needed amount of chemical (g); Ruben Leitat calculations]:[Needed amount of chemical (g); Stefan UFZ calculations]])</f>
        <v>9.6000000000000009E-3</v>
      </c>
    </row>
    <row r="196" spans="1:18" s="5" customFormat="1" ht="47.45" customHeight="1">
      <c r="A196" s="9" t="s">
        <v>1493</v>
      </c>
      <c r="B196" s="56">
        <f>Tabla1[[#This Row],[Prec.Tox code]]</f>
        <v>0</v>
      </c>
      <c r="C196" s="2">
        <f>Tabla1[[#This Row],[Formula]]</f>
        <v>0</v>
      </c>
      <c r="D196" s="5" t="str">
        <f>Tabla1[[#This Row],[CAS number]]</f>
        <v>56-23-5</v>
      </c>
      <c r="E196" s="2">
        <f>Tabla1[[#This Row],[Storage conditions]]</f>
        <v>0</v>
      </c>
      <c r="F196" s="2">
        <f>Tabla1[[#This Row],[Solubility (DMSO)]]</f>
        <v>0</v>
      </c>
      <c r="G196" s="2">
        <f>Tabla1[[#This Row],[Solubility (H2O)]]</f>
        <v>0</v>
      </c>
      <c r="H196" s="5" t="str">
        <f>Tabla1[[#This Row],[EC50 fish]]</f>
        <v>mortality LC50 - Danio rerio (zebra fish) - 24,3 mg/l - 96 h</v>
      </c>
      <c r="I196" s="5" t="str">
        <f>Tabla1[[#This Row],[EC50 daphnia]]</f>
        <v>Immobilization EC50 - Daphnia magna (Water flea) - 35 mg/l - 48 h</v>
      </c>
      <c r="J196" s="107" t="s">
        <v>2223</v>
      </c>
      <c r="K196" s="124" t="s">
        <v>2224</v>
      </c>
      <c r="L196" s="14">
        <f>100*35</f>
        <v>3500</v>
      </c>
      <c r="M196" s="2">
        <v>500</v>
      </c>
      <c r="N196" s="14">
        <f>(Tabla13[[#This Row],['[max.'] to reach 100% mortality (mg/L)]]/1000)*1000/Tabla13[[#This Row],[Stock concentration (g/L)]]</f>
        <v>7</v>
      </c>
      <c r="O196" s="42">
        <f>6*Tabla13[[#This Row],[Minimum stock volume (per partner; ml)]]*Tabla13[[#This Row],[Stock concentration (g/L)]]/1000</f>
        <v>21</v>
      </c>
      <c r="P196" s="48"/>
      <c r="Q196" s="91">
        <f>MAX(Tabla13[[#This Row],[Needed amount of chemical (g); Ruben Leitat calculations]:[Needed amount of chemical (g); Stefan UFZ calculations]])</f>
        <v>21</v>
      </c>
      <c r="R196" s="22" t="s">
        <v>2225</v>
      </c>
    </row>
    <row r="197" spans="1:18" s="2" customFormat="1" ht="47.45" customHeight="1">
      <c r="A197" s="9" t="s">
        <v>1497</v>
      </c>
      <c r="B197" s="56">
        <f>Tabla1[[#This Row],[Prec.Tox code]]</f>
        <v>0</v>
      </c>
      <c r="C197" s="2">
        <f>Tabla1[[#This Row],[Formula]]</f>
        <v>0</v>
      </c>
      <c r="D197" s="2" t="str">
        <f>Tabla1[[#This Row],[CAS number]]</f>
        <v>6004-24-6</v>
      </c>
      <c r="E197" s="2">
        <f>Tabla1[[#This Row],[Storage conditions]]</f>
        <v>0</v>
      </c>
      <c r="F197" s="2">
        <f>Tabla1[[#This Row],[Solubility (DMSO)]]</f>
        <v>0</v>
      </c>
      <c r="G197" s="2">
        <f>Tabla1[[#This Row],[Solubility (H2O)]]</f>
        <v>0</v>
      </c>
      <c r="H197" s="2">
        <f>Tabla1[[#This Row],[EC50 fish]]</f>
        <v>0</v>
      </c>
      <c r="I197" s="2">
        <f>Tabla1[[#This Row],[EC50 daphnia]]</f>
        <v>0</v>
      </c>
      <c r="J197" s="107" t="s">
        <v>2226</v>
      </c>
      <c r="K197" s="124" t="s">
        <v>2196</v>
      </c>
      <c r="L197" s="14" t="s">
        <v>34</v>
      </c>
      <c r="M197" s="2">
        <v>100</v>
      </c>
      <c r="N197" s="14" t="e">
        <f>(Tabla13[[#This Row],['[max.'] to reach 100% mortality (mg/L)]]/1000)*1000/Tabla13[[#This Row],[Stock concentration (g/L)]]</f>
        <v>#VALUE!</v>
      </c>
      <c r="O197" s="40" t="s">
        <v>1919</v>
      </c>
      <c r="P197" s="30"/>
      <c r="Q197" s="91">
        <f>MAX(Tabla13[[#This Row],[Needed amount of chemical (g); Ruben Leitat calculations]:[Needed amount of chemical (g); Stefan UFZ calculations]])</f>
        <v>0</v>
      </c>
      <c r="R197" s="22" t="s">
        <v>2227</v>
      </c>
    </row>
    <row r="198" spans="1:18" s="14" customFormat="1" ht="96" customHeight="1">
      <c r="A198" s="56" t="s">
        <v>1499</v>
      </c>
      <c r="B198" s="56">
        <f>Tabla1[[#This Row],[Prec.Tox code]]</f>
        <v>0</v>
      </c>
      <c r="C198" s="14">
        <f>Tabla1[[#This Row],[Formula]]</f>
        <v>0</v>
      </c>
      <c r="D198" s="14" t="str">
        <f>Tabla1[[#This Row],[CAS number]]</f>
        <v>67-66-3</v>
      </c>
      <c r="E198" s="14">
        <f>Tabla1[[#This Row],[Storage conditions]]</f>
        <v>0</v>
      </c>
      <c r="F198" s="14">
        <f>Tabla1[[#This Row],[Solubility (DMSO)]]</f>
        <v>0</v>
      </c>
      <c r="G198" s="14">
        <f>Tabla1[[#This Row],[Solubility (H2O)]]</f>
        <v>0</v>
      </c>
      <c r="H198" s="14" t="str">
        <f>Tabla1[[#This Row],[EC50 fish]]</f>
        <v>96h: 18-28 mg/L</v>
      </c>
      <c r="I198" s="14" t="str">
        <f>Tabla1[[#This Row],[EC50 daphnia]]</f>
        <v>48h (D magna): 152.5 mg/L</v>
      </c>
      <c r="J198" s="14" t="s">
        <v>2228</v>
      </c>
      <c r="K198" s="124" t="s">
        <v>2229</v>
      </c>
      <c r="L198" s="14">
        <f>100*152.5</f>
        <v>15250</v>
      </c>
      <c r="M198" s="14">
        <v>500</v>
      </c>
      <c r="N198" s="14">
        <f>(Tabla13[[#This Row],['[max.'] to reach 100% mortality (mg/L)]]/1000)*1000/Tabla13[[#This Row],[Stock concentration (g/L)]]</f>
        <v>30.5</v>
      </c>
      <c r="O198" s="42">
        <f>6*Tabla13[[#This Row],[Minimum stock volume (per partner; ml)]]*Tabla13[[#This Row],[Stock concentration (g/L)]]/1000</f>
        <v>91.5</v>
      </c>
      <c r="P198" s="42"/>
      <c r="Q198" s="105">
        <f>MAX(Tabla13[[#This Row],[Needed amount of chemical (g); Ruben Leitat calculations]:[Needed amount of chemical (g); Stefan UFZ calculations]])</f>
        <v>91.5</v>
      </c>
    </row>
    <row r="199" spans="1:18" s="2" customFormat="1" ht="73.900000000000006" customHeight="1">
      <c r="A199" s="9" t="s">
        <v>1503</v>
      </c>
      <c r="B199" s="56">
        <f>Tabla1[[#This Row],[Prec.Tox code]]</f>
        <v>0</v>
      </c>
      <c r="C199" s="2">
        <f>Tabla1[[#This Row],[Formula]]</f>
        <v>0</v>
      </c>
      <c r="D199" s="2" t="str">
        <f>Tabla1[[#This Row],[CAS number]]</f>
        <v>688-73-3</v>
      </c>
      <c r="E199" s="2">
        <f>Tabla1[[#This Row],[Storage conditions]]</f>
        <v>0</v>
      </c>
      <c r="F199" s="2">
        <f>Tabla1[[#This Row],[Solubility (DMSO)]]</f>
        <v>0</v>
      </c>
      <c r="G199" s="2">
        <f>Tabla1[[#This Row],[Solubility (H2O)]]</f>
        <v>0</v>
      </c>
      <c r="H199" s="2" t="str">
        <f>Tabla1[[#This Row],[EC50 fish]]</f>
        <v>-</v>
      </c>
      <c r="I199" s="2" t="str">
        <f>Tabla1[[#This Row],[EC50 daphnia]]</f>
        <v>-</v>
      </c>
      <c r="J199" s="5" t="s">
        <v>2230</v>
      </c>
      <c r="L199" s="14" t="s">
        <v>34</v>
      </c>
      <c r="M199" s="2">
        <v>500</v>
      </c>
      <c r="N199" s="14" t="e">
        <f>(Tabla13[[#This Row],['[max.'] to reach 100% mortality (mg/L)]]/1000)*1000/Tabla13[[#This Row],[Stock concentration (g/L)]]</f>
        <v>#VALUE!</v>
      </c>
      <c r="O199" s="42" t="s">
        <v>34</v>
      </c>
      <c r="P199" s="30"/>
      <c r="Q199" s="91">
        <f>MAX(Tabla13[[#This Row],[Needed amount of chemical (g); Ruben Leitat calculations]:[Needed amount of chemical (g); Stefan UFZ calculations]])</f>
        <v>0</v>
      </c>
    </row>
    <row r="200" spans="1:18" s="2" customFormat="1" ht="78.599999999999994" customHeight="1">
      <c r="A200" s="56" t="s">
        <v>1505</v>
      </c>
      <c r="B200" s="56">
        <f>Tabla1[[#This Row],[Prec.Tox code]]</f>
        <v>0</v>
      </c>
      <c r="C200" s="2">
        <f>Tabla1[[#This Row],[Formula]]</f>
        <v>0</v>
      </c>
      <c r="D200" s="2" t="str">
        <f>Tabla1[[#This Row],[CAS number]]</f>
        <v>69123-98-4</v>
      </c>
      <c r="E200" s="2">
        <f>Tabla1[[#This Row],[Storage conditions]]</f>
        <v>0</v>
      </c>
      <c r="F200" s="2">
        <f>Tabla1[[#This Row],[Solubility (DMSO)]]</f>
        <v>0</v>
      </c>
      <c r="G200" s="2">
        <f>Tabla1[[#This Row],[Solubility (H2O)]]</f>
        <v>0</v>
      </c>
      <c r="H200" s="2" t="str">
        <f>Tabla1[[#This Row],[EC50 fish]]</f>
        <v>?</v>
      </c>
      <c r="I200" s="2" t="str">
        <f>Tabla1[[#This Row],[EC50 daphnia]]</f>
        <v>?</v>
      </c>
      <c r="J200" s="107" t="s">
        <v>2231</v>
      </c>
      <c r="K200" s="124" t="s">
        <v>2232</v>
      </c>
      <c r="L200" s="14" t="s">
        <v>34</v>
      </c>
      <c r="M200" s="2">
        <v>500</v>
      </c>
      <c r="N200" s="14" t="e">
        <f>(Tabla13[[#This Row],['[max.'] to reach 100% mortality (mg/L)]]/1000)*1000/Tabla13[[#This Row],[Stock concentration (g/L)]]</f>
        <v>#VALUE!</v>
      </c>
      <c r="O200" s="40" t="s">
        <v>1919</v>
      </c>
      <c r="P200" s="30"/>
      <c r="Q200" s="91">
        <f>MAX(Tabla13[[#This Row],[Needed amount of chemical (g); Ruben Leitat calculations]:[Needed amount of chemical (g); Stefan UFZ calculations]])</f>
        <v>0</v>
      </c>
    </row>
    <row r="201" spans="1:18" s="2" customFormat="1" ht="63" customHeight="1">
      <c r="A201" s="56" t="s">
        <v>1507</v>
      </c>
      <c r="B201" s="56">
        <f>Tabla1[[#This Row],[Prec.Tox code]]</f>
        <v>0</v>
      </c>
      <c r="C201" s="2">
        <f>Tabla1[[#This Row],[Formula]]</f>
        <v>0</v>
      </c>
      <c r="D201" s="2" t="str">
        <f>Tabla1[[#This Row],[CAS number]]</f>
        <v>7439-92-1
(6080-56-4)</v>
      </c>
      <c r="E201" s="2">
        <f>Tabla1[[#This Row],[Storage conditions]]</f>
        <v>0</v>
      </c>
      <c r="F201" s="2">
        <f>Tabla1[[#This Row],[Solubility (DMSO)]]</f>
        <v>0</v>
      </c>
      <c r="G201" s="2">
        <f>Tabla1[[#This Row],[Solubility (H2O)]]</f>
        <v>0</v>
      </c>
      <c r="H201" s="2" t="str">
        <f>Tabla1[[#This Row],[EC50 fish]]</f>
        <v>LC50: Fathead minnow 43.6 mg/L 96 h
LC50=0,14 mg/l (S. Gairdneri, 96 hours)</v>
      </c>
      <c r="I201" s="2" t="str">
        <f>Tabla1[[#This Row],[EC50 daphnia]]</f>
        <v xml:space="preserve">Daphnia magna: EC50=2,5 mg/l </v>
      </c>
      <c r="J201" s="107" t="s">
        <v>2233</v>
      </c>
      <c r="K201" s="124" t="s">
        <v>2234</v>
      </c>
      <c r="L201" s="14">
        <f>100*43.6</f>
        <v>4360</v>
      </c>
      <c r="M201" s="2">
        <v>100</v>
      </c>
      <c r="N201" s="14">
        <f>(Tabla13[[#This Row],['[max.'] to reach 100% mortality (mg/L)]]/1000)*1000/Tabla13[[#This Row],[Stock concentration (g/L)]]</f>
        <v>43.6</v>
      </c>
      <c r="O201" s="42">
        <f>6*Tabla13[[#This Row],[Minimum stock volume (per partner; ml)]]*Tabla13[[#This Row],[Stock concentration (g/L)]]/1000</f>
        <v>26.160000000000004</v>
      </c>
      <c r="P201" s="30"/>
      <c r="Q201" s="91">
        <f>MAX(Tabla13[[#This Row],[Needed amount of chemical (g); Ruben Leitat calculations]:[Needed amount of chemical (g); Stefan UFZ calculations]])</f>
        <v>26.160000000000004</v>
      </c>
    </row>
    <row r="202" spans="1:18" s="2" customFormat="1" ht="30">
      <c r="A202" s="9" t="s">
        <v>1511</v>
      </c>
      <c r="B202" s="56">
        <f>Tabla1[[#This Row],[Prec.Tox code]]</f>
        <v>0</v>
      </c>
      <c r="C202" s="2">
        <f>Tabla1[[#This Row],[Formula]]</f>
        <v>0</v>
      </c>
      <c r="D202" s="2" t="str">
        <f>Tabla1[[#This Row],[CAS number]]</f>
        <v>7440-38-2</v>
      </c>
      <c r="E202" s="2">
        <f>Tabla1[[#This Row],[Storage conditions]]</f>
        <v>0</v>
      </c>
      <c r="F202" s="2">
        <f>Tabla1[[#This Row],[Solubility (DMSO)]]</f>
        <v>0</v>
      </c>
      <c r="G202" s="2">
        <f>Tabla1[[#This Row],[Solubility (H2O)]]</f>
        <v>0</v>
      </c>
      <c r="H202" s="2" t="str">
        <f>Tabla1[[#This Row],[EC50 fish]]</f>
        <v>-</v>
      </c>
      <c r="I202" s="2" t="str">
        <f>Tabla1[[#This Row],[EC50 daphnia]]</f>
        <v>-</v>
      </c>
      <c r="J202" s="5" t="s">
        <v>2235</v>
      </c>
      <c r="L202" s="14" t="s">
        <v>34</v>
      </c>
      <c r="O202" s="42" t="s">
        <v>34</v>
      </c>
      <c r="P202" s="30"/>
      <c r="Q202" s="91">
        <f>MAX(Tabla13[[#This Row],[Needed amount of chemical (g); Ruben Leitat calculations]:[Needed amount of chemical (g); Stefan UFZ calculations]])</f>
        <v>0</v>
      </c>
    </row>
    <row r="203" spans="1:18" s="2" customFormat="1" ht="45" customHeight="1">
      <c r="A203" s="56" t="s">
        <v>1512</v>
      </c>
      <c r="B203" s="56">
        <f>Tabla1[[#This Row],[Prec.Tox code]]</f>
        <v>0</v>
      </c>
      <c r="C203" s="2">
        <f>Tabla1[[#This Row],[Formula]]</f>
        <v>0</v>
      </c>
      <c r="D203" s="2" t="str">
        <f>Tabla1[[#This Row],[CAS number]]</f>
        <v>74578-10-2</v>
      </c>
      <c r="E203" s="2">
        <f>Tabla1[[#This Row],[Storage conditions]]</f>
        <v>0</v>
      </c>
      <c r="F203" s="2">
        <f>Tabla1[[#This Row],[Solubility (DMSO)]]</f>
        <v>0</v>
      </c>
      <c r="G203" s="2">
        <f>Tabla1[[#This Row],[Solubility (H2O)]]</f>
        <v>0</v>
      </c>
      <c r="H203" s="2" t="str">
        <f>Tabla1[[#This Row],[EC50 fish]]</f>
        <v>LC50/96h &lt;1 mg/l (fish)</v>
      </c>
      <c r="I203" s="2" t="str">
        <f>Tabla1[[#This Row],[EC50 daphnia]]</f>
        <v>?</v>
      </c>
      <c r="J203" s="19" t="s">
        <v>2236</v>
      </c>
      <c r="K203" s="2" t="s">
        <v>2237</v>
      </c>
      <c r="L203" s="14">
        <f>100*1</f>
        <v>100</v>
      </c>
      <c r="M203" s="2">
        <v>500</v>
      </c>
      <c r="N203" s="14">
        <f>(Tabla13[[#This Row],['[max.'] to reach 100% mortality (mg/L)]]/1000)*1000/Tabla13[[#This Row],[Stock concentration (g/L)]]</f>
        <v>0.2</v>
      </c>
      <c r="O203" s="42">
        <f>6*Tabla13[[#This Row],[Minimum stock volume (per partner; ml)]]*Tabla13[[#This Row],[Stock concentration (g/L)]]/1000</f>
        <v>0.60000000000000009</v>
      </c>
      <c r="P203" s="30"/>
      <c r="Q203" s="91">
        <f>MAX(Tabla13[[#This Row],[Needed amount of chemical (g); Ruben Leitat calculations]:[Needed amount of chemical (g); Stefan UFZ calculations]])</f>
        <v>0.60000000000000009</v>
      </c>
    </row>
    <row r="204" spans="1:18" s="2" customFormat="1" ht="90">
      <c r="A204" s="9" t="s">
        <v>1515</v>
      </c>
      <c r="B204" s="56">
        <f>Tabla1[[#This Row],[Prec.Tox code]]</f>
        <v>0</v>
      </c>
      <c r="C204" s="2">
        <f>Tabla1[[#This Row],[Formula]]</f>
        <v>0</v>
      </c>
      <c r="D204" s="2" t="str">
        <f>Tabla1[[#This Row],[CAS number]]</f>
        <v>75-01-4</v>
      </c>
      <c r="E204" s="2">
        <f>Tabla1[[#This Row],[Storage conditions]]</f>
        <v>0</v>
      </c>
      <c r="F204" s="2">
        <f>Tabla1[[#This Row],[Solubility (DMSO)]]</f>
        <v>0</v>
      </c>
      <c r="G204" s="2">
        <f>Tabla1[[#This Row],[Solubility (H2O)]]</f>
        <v>0</v>
      </c>
      <c r="H204" s="2" t="str">
        <f>Tabla1[[#This Row],[EC50 fish]]</f>
        <v>96-h LC50 is 210 mg/l in the fresh water species Brachydanio rerio</v>
      </c>
      <c r="I204" s="2" t="str">
        <f>Tabla1[[#This Row],[EC50 daphnia]]</f>
        <v>48-h LC50 is estimated to be 119 mg/l in aquatic invertebrates</v>
      </c>
      <c r="J204" s="5" t="s">
        <v>2238</v>
      </c>
      <c r="L204" s="14">
        <f>100*210</f>
        <v>21000</v>
      </c>
      <c r="M204" s="2">
        <v>100</v>
      </c>
      <c r="N204" s="14">
        <f>(Tabla13[[#This Row],['[max.'] to reach 100% mortality (mg/L)]]/1000)*1000/Tabla13[[#This Row],[Stock concentration (g/L)]]</f>
        <v>210</v>
      </c>
      <c r="O204" s="42">
        <f>6*Tabla13[[#This Row],[Minimum stock volume (per partner; ml)]]*Tabla13[[#This Row],[Stock concentration (g/L)]]/1000</f>
        <v>126</v>
      </c>
      <c r="P204" s="30"/>
      <c r="Q204" s="91">
        <f>MAX(Tabla13[[#This Row],[Needed amount of chemical (g); Ruben Leitat calculations]:[Needed amount of chemical (g); Stefan UFZ calculations]])</f>
        <v>126</v>
      </c>
      <c r="R204" s="22" t="s">
        <v>2239</v>
      </c>
    </row>
    <row r="205" spans="1:18" s="2" customFormat="1" ht="79.5" customHeight="1">
      <c r="A205" s="56" t="s">
        <v>1519</v>
      </c>
      <c r="B205" s="56">
        <f>Tabla1[[#This Row],[Prec.Tox code]]</f>
        <v>0</v>
      </c>
      <c r="C205" s="2" t="str">
        <f>Tabla1[[#This Row],[Formula]]</f>
        <v>C2H3Cl3</v>
      </c>
      <c r="D205" s="2" t="str">
        <f>Tabla1[[#This Row],[CAS number]]</f>
        <v>79-00-5</v>
      </c>
      <c r="E205" s="2" t="str">
        <f>Tabla1[[#This Row],[Storage conditions]]</f>
        <v>Room temperature</v>
      </c>
      <c r="F205" s="2">
        <f>Tabla1[[#This Row],[Solubility (DMSO)]]</f>
        <v>0</v>
      </c>
      <c r="G205" s="2" t="str">
        <f>Tabla1[[#This Row],[Solubility (H2O)]]</f>
        <v>'soluble'</v>
      </c>
      <c r="H205" s="2" t="str">
        <f>Tabla1[[#This Row],[EC50 fish]]</f>
        <v>LC50 - Pimephales promelas (fathead minnow) - 81,60 mg/l - 96 h</v>
      </c>
      <c r="I205" s="2" t="str">
        <f>Tabla1[[#This Row],[EC50 daphnia]]</f>
        <v>EC50 - Daphnia magna (Water flea) - 43,00 mg/l - 48 h</v>
      </c>
      <c r="J205" s="107" t="s">
        <v>2240</v>
      </c>
      <c r="K205" s="124" t="s">
        <v>2241</v>
      </c>
      <c r="L205" s="14">
        <f>100*81.6</f>
        <v>8159.9999999999991</v>
      </c>
      <c r="M205" s="2">
        <v>500</v>
      </c>
      <c r="N205" s="14">
        <f>(Tabla13[[#This Row],['[max.'] to reach 100% mortality (mg/L)]]/1000)*1000/Tabla13[[#This Row],[Stock concentration (g/L)]]</f>
        <v>16.319999999999997</v>
      </c>
      <c r="O205" s="42">
        <f>6*Tabla13[[#This Row],[Minimum stock volume (per partner; ml)]]*Tabla13[[#This Row],[Stock concentration (g/L)]]/1000</f>
        <v>48.959999999999994</v>
      </c>
      <c r="P205" s="30"/>
      <c r="Q205" s="91">
        <f>MAX(Tabla13[[#This Row],[Needed amount of chemical (g); Ruben Leitat calculations]:[Needed amount of chemical (g); Stefan UFZ calculations]])</f>
        <v>48.959999999999994</v>
      </c>
    </row>
    <row r="206" spans="1:18" s="14" customFormat="1" ht="55.5" customHeight="1">
      <c r="A206" s="56" t="s">
        <v>1525</v>
      </c>
      <c r="B206" s="56">
        <f>Tabla1[[#This Row],[Prec.Tox code]]</f>
        <v>0</v>
      </c>
      <c r="C206" s="14">
        <f>Tabla1[[#This Row],[Formula]]</f>
        <v>0</v>
      </c>
      <c r="D206" s="14" t="str">
        <f>Tabla1[[#This Row],[CAS number]]</f>
        <v>79-01-6</v>
      </c>
      <c r="E206" s="14">
        <f>Tabla1[[#This Row],[Storage conditions]]</f>
        <v>0</v>
      </c>
      <c r="F206" s="14">
        <f>Tabla1[[#This Row],[Solubility (DMSO)]]</f>
        <v>0</v>
      </c>
      <c r="G206" s="14">
        <f>Tabla1[[#This Row],[Solubility (H2O)]]</f>
        <v>0</v>
      </c>
      <c r="H206" s="14" t="str">
        <f>Tabla1[[#This Row],[EC50 fish]]</f>
        <v>flow-through test LC50 - Jordanella floridae - 28,3 mg/l - 96 h</v>
      </c>
      <c r="I206" s="14" t="str">
        <f>Tabla1[[#This Row],[EC50 daphnia]]</f>
        <v>48h LC50 for Ceriodaphnia dubia was 17 mg/l</v>
      </c>
      <c r="J206" s="14" t="s">
        <v>2242</v>
      </c>
      <c r="K206" s="124" t="s">
        <v>2243</v>
      </c>
      <c r="L206" s="14">
        <f>100*28.3</f>
        <v>2830</v>
      </c>
      <c r="M206" s="2">
        <v>500</v>
      </c>
      <c r="N206" s="14">
        <f>(Tabla13[[#This Row],['[max.'] to reach 100% mortality (mg/L)]]/1000)*1000/Tabla13[[#This Row],[Stock concentration (g/L)]]</f>
        <v>5.66</v>
      </c>
      <c r="O206" s="42">
        <f>6*Tabla13[[#This Row],[Minimum stock volume (per partner; ml)]]*Tabla13[[#This Row],[Stock concentration (g/L)]]/1000</f>
        <v>16.98</v>
      </c>
      <c r="P206" s="42"/>
      <c r="Q206" s="105">
        <f>MAX(Tabla13[[#This Row],[Needed amount of chemical (g); Ruben Leitat calculations]:[Needed amount of chemical (g); Stefan UFZ calculations]])</f>
        <v>16.98</v>
      </c>
    </row>
    <row r="207" spans="1:18" s="14" customFormat="1" ht="57.75" customHeight="1">
      <c r="A207" s="56" t="s">
        <v>1529</v>
      </c>
      <c r="B207" s="56">
        <f>Tabla1[[#This Row],[Prec.Tox code]]</f>
        <v>0</v>
      </c>
      <c r="C207" s="14">
        <f>Tabla1[[#This Row],[Formula]]</f>
        <v>0</v>
      </c>
      <c r="D207" s="14" t="str">
        <f>Tabla1[[#This Row],[CAS number]]</f>
        <v>80-54-6</v>
      </c>
      <c r="E207" s="14">
        <f>Tabla1[[#This Row],[Storage conditions]]</f>
        <v>0</v>
      </c>
      <c r="F207" s="14">
        <f>Tabla1[[#This Row],[Solubility (DMSO)]]</f>
        <v>0</v>
      </c>
      <c r="G207" s="14">
        <f>Tabla1[[#This Row],[Solubility (H2O)]]</f>
        <v>0</v>
      </c>
      <c r="H207" s="14" t="str">
        <f>Tabla1[[#This Row],[EC50 fish]]</f>
        <v>flow-through test LC50 - Danio rerio (zebra fish) - 2,04 mg/l - 96 h</v>
      </c>
      <c r="I207" s="14" t="str">
        <f>Tabla1[[#This Row],[EC50 daphnia]]</f>
        <v>static test EC50 - Daphnia magna (Water flea) - 10,7 mg/l - 48 h</v>
      </c>
      <c r="J207" s="14" t="s">
        <v>2244</v>
      </c>
      <c r="K207" s="124" t="s">
        <v>2245</v>
      </c>
      <c r="L207" s="14">
        <f>100*10.7</f>
        <v>1070</v>
      </c>
      <c r="M207" s="2">
        <v>500</v>
      </c>
      <c r="N207" s="14">
        <f>(Tabla13[[#This Row],['[max.'] to reach 100% mortality (mg/L)]]/1000)*1000/Tabla13[[#This Row],[Stock concentration (g/L)]]</f>
        <v>2.14</v>
      </c>
      <c r="O207" s="42">
        <f>6*Tabla13[[#This Row],[Minimum stock volume (per partner; ml)]]*Tabla13[[#This Row],[Stock concentration (g/L)]]/1000</f>
        <v>6.42</v>
      </c>
      <c r="P207" s="42"/>
      <c r="Q207" s="105">
        <f>MAX(Tabla13[[#This Row],[Needed amount of chemical (g); Ruben Leitat calculations]:[Needed amount of chemical (g); Stefan UFZ calculations]])</f>
        <v>6.42</v>
      </c>
    </row>
    <row r="208" spans="1:18" s="14" customFormat="1" ht="89.25" customHeight="1">
      <c r="A208" s="56" t="s">
        <v>1533</v>
      </c>
      <c r="B208" s="56">
        <f>Tabla1[[#This Row],[Prec.Tox code]]</f>
        <v>0</v>
      </c>
      <c r="C208" s="14">
        <f>Tabla1[[#This Row],[Formula]]</f>
        <v>0</v>
      </c>
      <c r="D208" s="14" t="str">
        <f>Tabla1[[#This Row],[CAS number]]</f>
        <v>93841-25-9</v>
      </c>
      <c r="E208" s="14">
        <f>Tabla1[[#This Row],[Storage conditions]]</f>
        <v>0</v>
      </c>
      <c r="F208" s="14">
        <f>Tabla1[[#This Row],[Solubility (DMSO)]]</f>
        <v>0</v>
      </c>
      <c r="G208" s="14">
        <f>Tabla1[[#This Row],[Solubility (H2O)]]</f>
        <v>0</v>
      </c>
      <c r="H208" s="14" t="str">
        <f>Tabla1[[#This Row],[EC50 fish]]</f>
        <v>LC50 to Danio rerio after 96 hours was determined to be &gt;77.9mg/L</v>
      </c>
      <c r="I208" s="14" t="str">
        <f>Tabla1[[#This Row],[EC50 daphnia]]</f>
        <v>48 hour EC50 for Daphnia magna was determined to be 3.48 mg/L.</v>
      </c>
      <c r="J208" s="14" t="s">
        <v>2246</v>
      </c>
      <c r="K208" s="124" t="s">
        <v>2247</v>
      </c>
      <c r="L208" s="14">
        <f>100*77.9</f>
        <v>7790.0000000000009</v>
      </c>
      <c r="M208" s="2">
        <v>500</v>
      </c>
      <c r="N208" s="14">
        <f>(Tabla13[[#This Row],['[max.'] to reach 100% mortality (mg/L)]]/1000)*1000/Tabla13[[#This Row],[Stock concentration (g/L)]]</f>
        <v>15.580000000000002</v>
      </c>
      <c r="O208" s="42">
        <f>6*Tabla13[[#This Row],[Minimum stock volume (per partner; ml)]]*Tabla13[[#This Row],[Stock concentration (g/L)]]/1000</f>
        <v>46.740000000000009</v>
      </c>
      <c r="P208" s="42"/>
      <c r="Q208" s="105">
        <f>MAX(Tabla13[[#This Row],[Needed amount of chemical (g); Ruben Leitat calculations]:[Needed amount of chemical (g); Stefan UFZ calculations]])</f>
        <v>46.740000000000009</v>
      </c>
    </row>
    <row r="209" spans="1:24" s="2" customFormat="1" ht="43.5" customHeight="1">
      <c r="A209" s="9" t="s">
        <v>454</v>
      </c>
      <c r="B209" s="56">
        <f>Tabla1[[#This Row],[Prec.Tox code]]</f>
        <v>0</v>
      </c>
      <c r="C209" s="2">
        <f>Tabla1[[#This Row],[Formula]]</f>
        <v>0</v>
      </c>
      <c r="D209" s="14" t="str">
        <f>Tabla1[[#This Row],[CAS number]]</f>
        <v>99-66-1</v>
      </c>
      <c r="E209" s="2">
        <f>Tabla1[[#This Row],[Storage conditions]]</f>
        <v>0</v>
      </c>
      <c r="F209" s="2">
        <f>Tabla1[[#This Row],[Solubility (DMSO)]]</f>
        <v>0</v>
      </c>
      <c r="G209" s="2">
        <f>Tabla1[[#This Row],[Solubility (H2O)]]</f>
        <v>0</v>
      </c>
      <c r="H209" s="2">
        <f>Tabla1[[#This Row],[EC50 fish]]</f>
        <v>0</v>
      </c>
      <c r="I209" s="2">
        <f>Tabla1[[#This Row],[EC50 daphnia]]</f>
        <v>0</v>
      </c>
      <c r="J209" s="5" t="s">
        <v>2248</v>
      </c>
      <c r="L209" s="14" t="s">
        <v>34</v>
      </c>
      <c r="M209" s="2">
        <v>500</v>
      </c>
      <c r="N209" s="14" t="e">
        <f>(Tabla13[[#This Row],['[max.'] to reach 100% mortality (mg/L)]]/1000)*1000/Tabla13[[#This Row],[Stock concentration (g/L)]]</f>
        <v>#VALUE!</v>
      </c>
      <c r="O209" s="42" t="s">
        <v>34</v>
      </c>
      <c r="P209" s="30"/>
      <c r="Q209" s="91">
        <f>MAX(Tabla13[[#This Row],[Needed amount of chemical (g); Ruben Leitat calculations]:[Needed amount of chemical (g); Stefan UFZ calculations]])</f>
        <v>0</v>
      </c>
    </row>
    <row r="210" spans="1:24" s="2" customFormat="1" ht="43.5" customHeight="1">
      <c r="A210" s="56" t="s">
        <v>1537</v>
      </c>
      <c r="B210" s="56">
        <f>Tabla1[[#This Row],[Prec.Tox code]]</f>
        <v>0</v>
      </c>
      <c r="C210" s="2">
        <f>Tabla1[[#This Row],[Formula]]</f>
        <v>0</v>
      </c>
      <c r="D210" s="14" t="str">
        <f>Tabla1[[#This Row],[CAS number]]</f>
        <v>564-25-0
(17086-28-1)</v>
      </c>
      <c r="E210" s="2">
        <f>Tabla1[[#This Row],[Storage conditions]]</f>
        <v>0</v>
      </c>
      <c r="F210" s="2">
        <f>Tabla1[[#This Row],[Solubility (DMSO)]]</f>
        <v>0</v>
      </c>
      <c r="G210" s="2">
        <f>Tabla1[[#This Row],[Solubility (H2O)]]</f>
        <v>0</v>
      </c>
      <c r="H210" s="2" t="str">
        <f>Tabla1[[#This Row],[EC50 fish]]</f>
        <v>?</v>
      </c>
      <c r="I210" s="2" t="str">
        <f>Tabla1[[#This Row],[EC50 daphnia]]</f>
        <v>?</v>
      </c>
      <c r="J210" s="107" t="s">
        <v>2249</v>
      </c>
      <c r="K210" s="124" t="s">
        <v>2250</v>
      </c>
      <c r="L210" s="14" t="s">
        <v>34</v>
      </c>
      <c r="M210" s="2">
        <v>100</v>
      </c>
      <c r="N210" s="14" t="e">
        <f>(Tabla13[[#This Row],['[max.'] to reach 100% mortality (mg/L)]]/1000)*1000/Tabla13[[#This Row],[Stock concentration (g/L)]]</f>
        <v>#VALUE!</v>
      </c>
      <c r="O210" s="40" t="s">
        <v>1919</v>
      </c>
      <c r="P210" s="30"/>
      <c r="Q210" s="91">
        <f>MAX(Tabla13[[#This Row],[Needed amount of chemical (g); Ruben Leitat calculations]:[Needed amount of chemical (g); Stefan UFZ calculations]])</f>
        <v>0</v>
      </c>
    </row>
    <row r="211" spans="1:24" s="2" customFormat="1" ht="43.5" customHeight="1">
      <c r="A211" s="9" t="s">
        <v>1539</v>
      </c>
      <c r="B211" s="56">
        <f>Tabla1[[#This Row],[Prec.Tox code]]</f>
        <v>0</v>
      </c>
      <c r="C211" s="2">
        <f>Tabla1[[#This Row],[Formula]]</f>
        <v>0</v>
      </c>
      <c r="D211" s="14" t="str">
        <f>Tabla1[[#This Row],[CAS number]]</f>
        <v>60-54-8</v>
      </c>
      <c r="E211" s="2">
        <f>Tabla1[[#This Row],[Storage conditions]]</f>
        <v>0</v>
      </c>
      <c r="F211" s="2">
        <f>Tabla1[[#This Row],[Solubility (DMSO)]]</f>
        <v>0</v>
      </c>
      <c r="G211" s="2">
        <f>Tabla1[[#This Row],[Solubility (H2O)]]</f>
        <v>0</v>
      </c>
      <c r="H211" s="2">
        <f>Tabla1[[#This Row],[EC50 fish]]</f>
        <v>0</v>
      </c>
      <c r="I211" s="2">
        <f>Tabla1[[#This Row],[EC50 daphnia]]</f>
        <v>0</v>
      </c>
      <c r="J211" s="5" t="s">
        <v>2251</v>
      </c>
      <c r="L211" s="14" t="s">
        <v>34</v>
      </c>
      <c r="M211" s="2">
        <v>500</v>
      </c>
      <c r="N211" s="14" t="e">
        <f>(Tabla13[[#This Row],['[max.'] to reach 100% mortality (mg/L)]]/1000)*1000/Tabla13[[#This Row],[Stock concentration (g/L)]]</f>
        <v>#VALUE!</v>
      </c>
      <c r="O211" s="42" t="e">
        <f>6*Tabla13[[#This Row],[Minimum stock volume (per partner; ml)]]*Tabla13[[#This Row],[Stock concentration (g/L)]]/1000</f>
        <v>#VALUE!</v>
      </c>
      <c r="P211" s="30"/>
      <c r="Q211" s="91" t="e">
        <f>MAX(Tabla13[[#This Row],[Needed amount of chemical (g); Ruben Leitat calculations]:[Needed amount of chemical (g); Stefan UFZ calculations]])</f>
        <v>#VALUE!</v>
      </c>
    </row>
    <row r="212" spans="1:24" s="2" customFormat="1" ht="43.5" customHeight="1">
      <c r="A212" s="56" t="s">
        <v>1541</v>
      </c>
      <c r="B212" s="56">
        <f>Tabla1[[#This Row],[Prec.Tox code]]</f>
        <v>0</v>
      </c>
      <c r="C212" s="2">
        <f>Tabla1[[#This Row],[Formula]]</f>
        <v>0</v>
      </c>
      <c r="D212" s="14" t="str">
        <f>Tabla1[[#This Row],[CAS number]]</f>
        <v>10118-90-8
(13614-98-7)</v>
      </c>
      <c r="E212" s="2">
        <f>Tabla1[[#This Row],[Storage conditions]]</f>
        <v>0</v>
      </c>
      <c r="F212" s="2">
        <f>Tabla1[[#This Row],[Solubility (DMSO)]]</f>
        <v>0</v>
      </c>
      <c r="G212" s="2">
        <f>Tabla1[[#This Row],[Solubility (H2O)]]</f>
        <v>0</v>
      </c>
      <c r="H212" s="2" t="str">
        <f>Tabla1[[#This Row],[EC50 fish]]</f>
        <v>?</v>
      </c>
      <c r="I212" s="2" t="str">
        <f>Tabla1[[#This Row],[EC50 daphnia]]</f>
        <v>?</v>
      </c>
      <c r="J212" s="107" t="s">
        <v>2252</v>
      </c>
      <c r="K212" s="124" t="s">
        <v>2253</v>
      </c>
      <c r="L212" s="14" t="s">
        <v>34</v>
      </c>
      <c r="O212" s="40" t="s">
        <v>1919</v>
      </c>
      <c r="P212" s="30"/>
      <c r="Q212" s="91">
        <f>MAX(Tabla13[[#This Row],[Needed amount of chemical (g); Ruben Leitat calculations]:[Needed amount of chemical (g); Stefan UFZ calculations]])</f>
        <v>0</v>
      </c>
    </row>
    <row r="213" spans="1:24" s="2" customFormat="1" ht="43.5" customHeight="1">
      <c r="A213" s="56" t="s">
        <v>1543</v>
      </c>
      <c r="B213" s="56">
        <f>Tabla1[[#This Row],[Prec.Tox code]]</f>
        <v>0</v>
      </c>
      <c r="C213" s="2">
        <f>Tabla1[[#This Row],[Formula]]</f>
        <v>0</v>
      </c>
      <c r="D213" s="14" t="str">
        <f>Tabla1[[#This Row],[CAS number]]</f>
        <v>37517-28-5</v>
      </c>
      <c r="E213" s="2">
        <f>Tabla1[[#This Row],[Storage conditions]]</f>
        <v>0</v>
      </c>
      <c r="F213" s="2">
        <f>Tabla1[[#This Row],[Solubility (DMSO)]]</f>
        <v>0</v>
      </c>
      <c r="G213" s="2">
        <f>Tabla1[[#This Row],[Solubility (H2O)]]</f>
        <v>0</v>
      </c>
      <c r="H213" s="2" t="str">
        <f>Tabla1[[#This Row],[EC50 fish]]</f>
        <v>&gt;13 mg/L</v>
      </c>
      <c r="I213" s="2" t="str">
        <f>Tabla1[[#This Row],[EC50 daphnia]]</f>
        <v>&gt;1.7 mg/L</v>
      </c>
      <c r="J213" s="107" t="s">
        <v>2254</v>
      </c>
      <c r="K213" s="124" t="s">
        <v>2255</v>
      </c>
      <c r="L213" s="14">
        <f>100*13</f>
        <v>1300</v>
      </c>
      <c r="M213" s="2">
        <v>100</v>
      </c>
      <c r="N213" s="14">
        <f>(Tabla13[[#This Row],['[max.'] to reach 100% mortality (mg/L)]]/1000)*1000/Tabla13[[#This Row],[Stock concentration (g/L)]]</f>
        <v>13</v>
      </c>
      <c r="O213" s="42">
        <f>6*Tabla13[[#This Row],[Minimum stock volume (per partner; ml)]]*Tabla13[[#This Row],[Stock concentration (g/L)]]/1000</f>
        <v>7.8</v>
      </c>
      <c r="P213" s="30"/>
      <c r="Q213" s="91">
        <f>MAX(Tabla13[[#This Row],[Needed amount of chemical (g); Ruben Leitat calculations]:[Needed amount of chemical (g); Stefan UFZ calculations]])</f>
        <v>7.8</v>
      </c>
    </row>
    <row r="214" spans="1:24" s="2" customFormat="1" ht="70.5" customHeight="1">
      <c r="A214" s="56" t="s">
        <v>1547</v>
      </c>
      <c r="B214" s="56">
        <f>Tabla1[[#This Row],[Prec.Tox code]]</f>
        <v>0</v>
      </c>
      <c r="C214" s="2">
        <f>Tabla1[[#This Row],[Formula]]</f>
        <v>0</v>
      </c>
      <c r="D214" s="14" t="str">
        <f>Tabla1[[#This Row],[CAS number]]</f>
        <v>50-49-7</v>
      </c>
      <c r="E214" s="2">
        <f>Tabla1[[#This Row],[Storage conditions]]</f>
        <v>0</v>
      </c>
      <c r="F214" s="2">
        <f>Tabla1[[#This Row],[Solubility (DMSO)]]</f>
        <v>0</v>
      </c>
      <c r="G214" s="2">
        <f>Tabla1[[#This Row],[Solubility (H2O)]]</f>
        <v>0</v>
      </c>
      <c r="H214" s="2" t="str">
        <f>Tabla1[[#This Row],[EC50 fish]]</f>
        <v>≥ 1 mg/l (96h)</v>
      </c>
      <c r="I214" s="2" t="str">
        <f>Tabla1[[#This Row],[EC50 daphnia]]</f>
        <v>?</v>
      </c>
      <c r="J214" s="107" t="s">
        <v>2256</v>
      </c>
      <c r="K214" s="124" t="s">
        <v>2257</v>
      </c>
      <c r="L214" s="14">
        <f>100*1</f>
        <v>100</v>
      </c>
      <c r="M214" s="2">
        <v>500</v>
      </c>
      <c r="N214" s="14">
        <f>(Tabla13[[#This Row],['[max.'] to reach 100% mortality (mg/L)]]/1000)*1000/Tabla13[[#This Row],[Stock concentration (g/L)]]</f>
        <v>0.2</v>
      </c>
      <c r="O214" s="42">
        <f>6*Tabla13[[#This Row],[Minimum stock volume (per partner; ml)]]*Tabla13[[#This Row],[Stock concentration (g/L)]]/1000</f>
        <v>0.60000000000000009</v>
      </c>
      <c r="P214" s="30"/>
      <c r="Q214" s="91">
        <f>MAX(Tabla13[[#This Row],[Needed amount of chemical (g); Ruben Leitat calculations]:[Needed amount of chemical (g); Stefan UFZ calculations]])</f>
        <v>0.60000000000000009</v>
      </c>
    </row>
    <row r="215" spans="1:24" s="19" customFormat="1" ht="211.15" customHeight="1">
      <c r="A215" s="57" t="s">
        <v>1550</v>
      </c>
      <c r="B215" s="56">
        <f>Tabla1[[#This Row],[Prec.Tox code]]</f>
        <v>0</v>
      </c>
      <c r="C215" s="2">
        <f>Tabla1[[#This Row],[Formula]]</f>
        <v>0</v>
      </c>
      <c r="D215" s="19" t="str">
        <f>Tabla1[[#This Row],[CAS number]]</f>
        <v>80-15-9</v>
      </c>
      <c r="E215" s="2">
        <f>Tabla1[[#This Row],[Storage conditions]]</f>
        <v>0</v>
      </c>
      <c r="F215" s="2">
        <f>Tabla1[[#This Row],[Solubility (DMSO)]]</f>
        <v>0</v>
      </c>
      <c r="G215" s="2">
        <f>Tabla1[[#This Row],[Solubility (H2O)]]</f>
        <v>0</v>
      </c>
      <c r="H215" s="2" t="str">
        <f>Tabla1[[#This Row],[EC50 fish]]</f>
        <v>Cumol hydroperoxide:
LC50 - Oncorhynchus mykiss (rainbow trout) - 3,9 mg/l - 96 h
Cumene:
LC50 - Cyprinodon variegatus (sheepshead minnow) - 4,7 mg/l - 96 h</v>
      </c>
      <c r="I215" s="19" t="str">
        <f>Tabla1[[#This Row],[EC50 daphnia]]</f>
        <v>Cumol hydroperoxide:
EC50 - Daphnia magna (Water flea) - 18,84 mg/l - 48 h
Cumene:
EC50 - Daphnia magna (Water flea) - 2,14 mg/l - 48 h</v>
      </c>
      <c r="J215" s="19" t="s">
        <v>2258</v>
      </c>
      <c r="K215" s="124" t="s">
        <v>2259</v>
      </c>
      <c r="L215" s="14">
        <f>100*18.84</f>
        <v>1884</v>
      </c>
      <c r="M215" s="19">
        <v>100</v>
      </c>
      <c r="N215" s="14">
        <f>(Tabla13[[#This Row],['[max.'] to reach 100% mortality (mg/L)]]/1000)*1000/Tabla13[[#This Row],[Stock concentration (g/L)]]</f>
        <v>18.84</v>
      </c>
      <c r="O215" s="42">
        <f>6*Tabla13[[#This Row],[Minimum stock volume (per partner; ml)]]*Tabla13[[#This Row],[Stock concentration (g/L)]]/1000</f>
        <v>11.304</v>
      </c>
      <c r="P215" s="43"/>
      <c r="Q215" s="91">
        <f>MAX(Tabla13[[#This Row],[Needed amount of chemical (g); Ruben Leitat calculations]:[Needed amount of chemical (g); Stefan UFZ calculations]])</f>
        <v>11.304</v>
      </c>
    </row>
    <row r="216" spans="1:24" s="2" customFormat="1" ht="47.45" customHeight="1">
      <c r="A216" s="56" t="s">
        <v>1554</v>
      </c>
      <c r="B216" s="56">
        <f>Tabla1[[#This Row],[Prec.Tox code]]</f>
        <v>0</v>
      </c>
      <c r="C216" s="2">
        <f>Tabla1[[#This Row],[Formula]]</f>
        <v>0</v>
      </c>
      <c r="D216" s="14" t="str">
        <f>Tabla1[[#This Row],[CAS number]]</f>
        <v>64-86-8</v>
      </c>
      <c r="E216" s="2">
        <f>Tabla1[[#This Row],[Storage conditions]]</f>
        <v>0</v>
      </c>
      <c r="F216" s="2">
        <f>Tabla1[[#This Row],[Solubility (DMSO)]]</f>
        <v>0</v>
      </c>
      <c r="G216" s="2">
        <f>Tabla1[[#This Row],[Solubility (H2O)]]</f>
        <v>0</v>
      </c>
      <c r="H216" s="2" t="str">
        <f>Tabla1[[#This Row],[EC50 fish]]</f>
        <v>96h - zebrafish - EC50: 112.1 mg/L</v>
      </c>
      <c r="I216" s="2" t="str">
        <f>Tabla1[[#This Row],[EC50 daphnia]]</f>
        <v xml:space="preserve">daphnia magna: EC50= 39 mg/l </v>
      </c>
      <c r="J216" s="107" t="s">
        <v>2260</v>
      </c>
      <c r="K216" s="124" t="s">
        <v>2261</v>
      </c>
      <c r="L216" s="14">
        <f>100*112.1</f>
        <v>11210</v>
      </c>
      <c r="M216" s="2">
        <v>500</v>
      </c>
      <c r="N216" s="14">
        <f>(Tabla13[[#This Row],['[max.'] to reach 100% mortality (mg/L)]]/1000)*1000/Tabla13[[#This Row],[Stock concentration (g/L)]]</f>
        <v>22.42</v>
      </c>
      <c r="O216" s="42">
        <f>6*Tabla13[[#This Row],[Minimum stock volume (per partner; ml)]]*Tabla13[[#This Row],[Stock concentration (g/L)]]/1000</f>
        <v>67.260000000000005</v>
      </c>
      <c r="P216" s="30"/>
      <c r="Q216" s="91">
        <f>MAX(Tabla13[[#This Row],[Needed amount of chemical (g); Ruben Leitat calculations]:[Needed amount of chemical (g); Stefan UFZ calculations]])</f>
        <v>67.260000000000005</v>
      </c>
    </row>
    <row r="217" spans="1:24" s="5" customFormat="1" ht="47.45" customHeight="1">
      <c r="A217" s="9" t="s">
        <v>1558</v>
      </c>
      <c r="B217" s="56">
        <f>Tabla1[[#This Row],[Prec.Tox code]]</f>
        <v>0</v>
      </c>
      <c r="C217" s="2">
        <f>Tabla1[[#This Row],[Formula]]</f>
        <v>0</v>
      </c>
      <c r="D217" s="5" t="str">
        <f>Tabla1[[#This Row],[CAS number]]</f>
        <v>10118-90-8</v>
      </c>
      <c r="E217" s="2">
        <f>Tabla1[[#This Row],[Storage conditions]]</f>
        <v>0</v>
      </c>
      <c r="F217" s="2">
        <f>Tabla1[[#This Row],[Solubility (DMSO)]]</f>
        <v>0</v>
      </c>
      <c r="G217" s="2">
        <f>Tabla1[[#This Row],[Solubility (H2O)]]</f>
        <v>0</v>
      </c>
      <c r="H217" s="2">
        <f>Tabla1[[#This Row],[EC50 fish]]</f>
        <v>0</v>
      </c>
      <c r="I217" s="5">
        <f>Tabla1[[#This Row],[EC50 daphnia]]</f>
        <v>0</v>
      </c>
      <c r="J217" s="5" t="s">
        <v>2251</v>
      </c>
      <c r="L217" s="14" t="s">
        <v>34</v>
      </c>
      <c r="N217" s="14"/>
      <c r="O217" s="42">
        <f>6*Tabla13[[#This Row],[Minimum stock volume (per partner; ml)]]*Tabla13[[#This Row],[Stock concentration (g/L)]]/1000</f>
        <v>0</v>
      </c>
      <c r="P217" s="48"/>
      <c r="Q217" s="91">
        <f>MAX(Tabla13[[#This Row],[Needed amount of chemical (g); Ruben Leitat calculations]:[Needed amount of chemical (g); Stefan UFZ calculations]])</f>
        <v>0</v>
      </c>
    </row>
    <row r="218" spans="1:24" s="2" customFormat="1" ht="60.6" customHeight="1">
      <c r="A218" s="56" t="s">
        <v>1560</v>
      </c>
      <c r="B218" s="56">
        <f>Tabla1[[#This Row],[Prec.Tox code]]</f>
        <v>0</v>
      </c>
      <c r="C218" s="2">
        <f>Tabla1[[#This Row],[Formula]]</f>
        <v>0</v>
      </c>
      <c r="D218" s="14" t="str">
        <f>Tabla1[[#This Row],[CAS number]]</f>
        <v>1403-66-3</v>
      </c>
      <c r="E218" s="2">
        <f>Tabla1[[#This Row],[Storage conditions]]</f>
        <v>0</v>
      </c>
      <c r="F218" s="2">
        <f>Tabla1[[#This Row],[Solubility (DMSO)]]</f>
        <v>0</v>
      </c>
      <c r="G218" s="2">
        <f>Tabla1[[#This Row],[Solubility (H2O)]]</f>
        <v>0</v>
      </c>
      <c r="H218" s="2" t="str">
        <f>Tabla1[[#This Row],[EC50 fish]]</f>
        <v>Poecila reticulata (fish); LC&gt;0.08 - 30 mg/L</v>
      </c>
      <c r="I218" s="2" t="str">
        <f>Tabla1[[#This Row],[EC50 daphnia]]</f>
        <v>Daphnia magna (crustacean); EC50: 16.8 - 86 mg/L</v>
      </c>
      <c r="J218" s="107" t="s">
        <v>2262</v>
      </c>
      <c r="K218" s="124" t="s">
        <v>2263</v>
      </c>
      <c r="L218" s="14">
        <f>100*86</f>
        <v>8600</v>
      </c>
      <c r="M218" s="2">
        <v>500</v>
      </c>
      <c r="N218" s="14">
        <f>(Tabla13[[#This Row],['[max.'] to reach 100% mortality (mg/L)]]/1000)*1000/Tabla13[[#This Row],[Stock concentration (g/L)]]</f>
        <v>17.2</v>
      </c>
      <c r="O218" s="42">
        <f>6*Tabla13[[#This Row],[Minimum stock volume (per partner; ml)]]*Tabla13[[#This Row],[Stock concentration (g/L)]]/1000</f>
        <v>51.599999999999994</v>
      </c>
      <c r="P218" s="30"/>
      <c r="Q218" s="91">
        <f>MAX(Tabla13[[#This Row],[Needed amount of chemical (g); Ruben Leitat calculations]:[Needed amount of chemical (g); Stefan UFZ calculations]])</f>
        <v>51.599999999999994</v>
      </c>
    </row>
    <row r="219" spans="1:24" s="2" customFormat="1" ht="84.6" customHeight="1">
      <c r="A219" s="56" t="s">
        <v>1564</v>
      </c>
      <c r="B219" s="56">
        <f>Tabla1[[#This Row],[Prec.Tox code]]</f>
        <v>0</v>
      </c>
      <c r="C219" s="2">
        <f>Tabla1[[#This Row],[Formula]]</f>
        <v>0</v>
      </c>
      <c r="D219" s="95" t="str">
        <f>Tabla1[[#This Row],[CAS number]]</f>
        <v>6132-04-3</v>
      </c>
      <c r="E219" s="2">
        <f>Tabla1[[#This Row],[Storage conditions]]</f>
        <v>0</v>
      </c>
      <c r="F219" s="2">
        <f>Tabla1[[#This Row],[Solubility (DMSO)]]</f>
        <v>0</v>
      </c>
      <c r="G219" s="2">
        <f>Tabla1[[#This Row],[Solubility (H2O)]]</f>
        <v>0</v>
      </c>
      <c r="H219" s="2" t="str">
        <f>Tabla1[[#This Row],[EC50 fish]]</f>
        <v>LC50 - Poecilia reticulata (guppy) - &gt; 18.000 - 32.000 mg/l - 96 h</v>
      </c>
      <c r="I219" s="2" t="str">
        <f>Tabla1[[#This Row],[EC50 daphnia]]</f>
        <v>EC50 - Daphnia magna (Water flea) - 5.600 - 10.000 mg/l - 48 h</v>
      </c>
      <c r="J219" s="107" t="s">
        <v>2264</v>
      </c>
      <c r="K219" s="124" t="s">
        <v>2265</v>
      </c>
      <c r="L219" s="14">
        <f>100*32000</f>
        <v>3200000</v>
      </c>
      <c r="M219" s="2">
        <v>5000</v>
      </c>
      <c r="N219" s="14">
        <f>(Tabla13[[#This Row],['[max.'] to reach 100% mortality (mg/L)]]/1000)*1000/Tabla13[[#This Row],[Stock concentration (g/L)]]</f>
        <v>640</v>
      </c>
      <c r="O219" s="42">
        <f>6*Tabla13[[#This Row],[Minimum stock volume (per partner; ml)]]*Tabla13[[#This Row],[Stock concentration (g/L)]]/1000</f>
        <v>19200</v>
      </c>
      <c r="P219" s="30"/>
      <c r="Q219" s="91">
        <f>MAX(Tabla13[[#This Row],[Needed amount of chemical (g); Ruben Leitat calculations]:[Needed amount of chemical (g); Stefan UFZ calculations]])</f>
        <v>19200</v>
      </c>
    </row>
    <row r="220" spans="1:24" s="5" customFormat="1" ht="47.45" customHeight="1">
      <c r="A220" s="9" t="s">
        <v>1568</v>
      </c>
      <c r="B220" s="56">
        <f>Tabla1[[#This Row],[Prec.Tox code]]</f>
        <v>0</v>
      </c>
      <c r="C220" s="2">
        <f>Tabla1[[#This Row],[Formula]]</f>
        <v>0</v>
      </c>
      <c r="D220" s="5" t="str">
        <f>Tabla1[[#This Row],[CAS number]]</f>
        <v>68-04-2</v>
      </c>
      <c r="E220" s="2">
        <f>Tabla1[[#This Row],[Storage conditions]]</f>
        <v>0</v>
      </c>
      <c r="F220" s="2">
        <f>Tabla1[[#This Row],[Solubility (DMSO)]]</f>
        <v>0</v>
      </c>
      <c r="G220" s="2">
        <f>Tabla1[[#This Row],[Solubility (H2O)]]</f>
        <v>0</v>
      </c>
      <c r="H220" s="2">
        <f>Tabla1[[#This Row],[EC50 fish]]</f>
        <v>0</v>
      </c>
      <c r="I220" s="5">
        <f>Tabla1[[#This Row],[EC50 daphnia]]</f>
        <v>0</v>
      </c>
      <c r="J220" s="94" t="s">
        <v>2266</v>
      </c>
      <c r="K220" s="127"/>
      <c r="L220" s="14" t="s">
        <v>34</v>
      </c>
      <c r="N220" s="14"/>
      <c r="O220" s="42">
        <f>6*Tabla13[[#This Row],[Minimum stock volume (per partner; ml)]]*Tabla13[[#This Row],[Stock concentration (g/L)]]/1000</f>
        <v>0</v>
      </c>
      <c r="P220" s="48"/>
      <c r="Q220" s="91">
        <f>MAX(Tabla13[[#This Row],[Needed amount of chemical (g); Ruben Leitat calculations]:[Needed amount of chemical (g); Stefan UFZ calculations]])</f>
        <v>0</v>
      </c>
    </row>
    <row r="221" spans="1:24" s="5" customFormat="1" ht="47.45" customHeight="1">
      <c r="A221" s="9" t="s">
        <v>1570</v>
      </c>
      <c r="B221" s="56">
        <f>Tabla1[[#This Row],[Prec.Tox code]]</f>
        <v>0</v>
      </c>
      <c r="C221" s="2">
        <f>Tabla1[[#This Row],[Formula]]</f>
        <v>0</v>
      </c>
      <c r="D221" s="5" t="str">
        <f>Tabla1[[#This Row],[CAS number]]</f>
        <v>220620-09-7</v>
      </c>
      <c r="E221" s="2">
        <f>Tabla1[[#This Row],[Storage conditions]]</f>
        <v>0</v>
      </c>
      <c r="F221" s="2">
        <f>Tabla1[[#This Row],[Solubility (DMSO)]]</f>
        <v>0</v>
      </c>
      <c r="G221" s="2">
        <f>Tabla1[[#This Row],[Solubility (H2O)]]</f>
        <v>0</v>
      </c>
      <c r="H221" s="2">
        <f>Tabla1[[#This Row],[EC50 fish]]</f>
        <v>0</v>
      </c>
      <c r="I221" s="5">
        <f>Tabla1[[#This Row],[EC50 daphnia]]</f>
        <v>0</v>
      </c>
      <c r="J221" s="5" t="s">
        <v>2251</v>
      </c>
      <c r="L221" s="14" t="s">
        <v>34</v>
      </c>
      <c r="N221" s="14"/>
      <c r="O221" s="42">
        <f>6*Tabla13[[#This Row],[Minimum stock volume (per partner; ml)]]*Tabla13[[#This Row],[Stock concentration (g/L)]]/1000</f>
        <v>0</v>
      </c>
      <c r="P221" s="48"/>
      <c r="Q221" s="91">
        <f>MAX(Tabla13[[#This Row],[Needed amount of chemical (g); Ruben Leitat calculations]:[Needed amount of chemical (g); Stefan UFZ calculations]])</f>
        <v>0</v>
      </c>
    </row>
    <row r="222" spans="1:24" s="2" customFormat="1" ht="47.45" customHeight="1">
      <c r="A222" s="65" t="str">
        <f>Tabla1[[#This Row],[Compound]]</f>
        <v>others</v>
      </c>
      <c r="B222" s="56"/>
      <c r="D222" s="14"/>
      <c r="E222" s="2">
        <f>Tabla1[[#This Row],[Storage conditions]]</f>
        <v>0</v>
      </c>
      <c r="F222" s="2">
        <f>Tabla1[[#This Row],[Solubility (DMSO)]]</f>
        <v>0</v>
      </c>
      <c r="G222" s="2">
        <f>Tabla1[[#This Row],[Solubility (H2O)]]</f>
        <v>0</v>
      </c>
      <c r="L222" s="14"/>
      <c r="N222" s="14"/>
      <c r="O222" s="42"/>
      <c r="P222" s="30"/>
      <c r="Q222" s="91">
        <f>MAX(Tabla13[[#This Row],[Needed amount of chemical (g); Ruben Leitat calculations]:[Needed amount of chemical (g); Stefan UFZ calculations]])</f>
        <v>0</v>
      </c>
    </row>
    <row r="223" spans="1:24" s="14" customFormat="1" ht="117" customHeight="1">
      <c r="A223" s="56" t="s">
        <v>2267</v>
      </c>
      <c r="B223" s="56" t="s">
        <v>1573</v>
      </c>
      <c r="C223" s="2" t="s">
        <v>1574</v>
      </c>
      <c r="D223" s="14" t="s">
        <v>1575</v>
      </c>
      <c r="E223" s="2" t="s">
        <v>33</v>
      </c>
      <c r="F223" s="14" t="s">
        <v>1297</v>
      </c>
      <c r="G223" s="14" t="s">
        <v>758</v>
      </c>
      <c r="H223" s="2" t="s">
        <v>1576</v>
      </c>
      <c r="I223" s="2" t="s">
        <v>1577</v>
      </c>
      <c r="J223" s="2" t="s">
        <v>2268</v>
      </c>
      <c r="K223" s="2" t="s">
        <v>2269</v>
      </c>
      <c r="L223" s="2">
        <v>16000</v>
      </c>
      <c r="M223" s="2">
        <v>500</v>
      </c>
      <c r="N223" s="14">
        <v>32</v>
      </c>
      <c r="O223" s="42">
        <v>96</v>
      </c>
      <c r="P223" s="30" t="s">
        <v>59</v>
      </c>
      <c r="Q223" s="91">
        <v>96</v>
      </c>
      <c r="R223" s="2"/>
      <c r="S223" s="2">
        <v>100</v>
      </c>
      <c r="T223" s="2" t="s">
        <v>1802</v>
      </c>
      <c r="U223" s="2" t="s">
        <v>1802</v>
      </c>
      <c r="V223" s="2" t="s">
        <v>2270</v>
      </c>
      <c r="W223" s="2" t="s">
        <v>1820</v>
      </c>
      <c r="X223" s="2">
        <v>1</v>
      </c>
    </row>
    <row r="224" spans="1:24" ht="31.5">
      <c r="A224" s="134" t="s">
        <v>1579</v>
      </c>
      <c r="B224" s="11"/>
      <c r="C224" s="2"/>
      <c r="D224" s="2"/>
      <c r="E224" s="2"/>
      <c r="F224" s="2"/>
      <c r="G224" s="2"/>
      <c r="H224" s="2"/>
      <c r="I224" s="2"/>
      <c r="J224" s="2"/>
      <c r="K224" s="2"/>
      <c r="L224" s="2">
        <f>64.5*100</f>
        <v>6450</v>
      </c>
      <c r="M224" s="2"/>
      <c r="N224" s="2"/>
      <c r="O224" s="2"/>
      <c r="P224" s="2"/>
      <c r="Q224" s="2"/>
      <c r="R224" s="2"/>
      <c r="S224" s="2"/>
      <c r="T224" s="2"/>
      <c r="U224" s="2"/>
      <c r="V224" s="2"/>
      <c r="W224" s="2"/>
      <c r="X224" s="2"/>
    </row>
    <row r="225" spans="1:24" s="135" customFormat="1" ht="60" customHeight="1">
      <c r="A225" s="10" t="str">
        <f>Tabla1[[#This Row],[Compound]]</f>
        <v>Trichlorfon</v>
      </c>
      <c r="B225" s="136" t="str">
        <f>Tabla1[[#This Row],[Prec.Tox code]]</f>
        <v>PTX077</v>
      </c>
      <c r="C225" s="17" t="str">
        <f>Tabla1[[#This Row],[Formula]]</f>
        <v>C4H8Cl3O4P</v>
      </c>
      <c r="D225" s="17" t="str">
        <f>Tabla1[[#This Row],[CAS number]]</f>
        <v>52-68-6</v>
      </c>
      <c r="E225" s="17" t="str">
        <f>Tabla1[[#This Row],[Storage conditions]]</f>
        <v>2 - 8 °C
Light sensitive</v>
      </c>
      <c r="F225" s="17">
        <f>Tabla1[[#This Row],[Solubility (DMSO)]]</f>
        <v>0</v>
      </c>
      <c r="G225" s="17" t="str">
        <f>Tabla1[[#This Row],[Solubility (H2O)]]</f>
        <v>'soluble'</v>
      </c>
      <c r="H225" s="17">
        <f>Tabla1[[#This Row],[EC50 fish]]</f>
        <v>0.7</v>
      </c>
      <c r="I225" s="17">
        <f>Tabla1[[#This Row],[EC50 daphnia]]</f>
        <v>5.0000000000000002E-5</v>
      </c>
      <c r="J225" s="13" t="s">
        <v>2271</v>
      </c>
      <c r="K225" s="142" t="s">
        <v>2272</v>
      </c>
      <c r="L225" s="17">
        <f>MAX(Tabla13[[#This Row],[EC50 fish]:[EC50 daphnia]])*100</f>
        <v>70</v>
      </c>
      <c r="M225" s="17" t="s">
        <v>34</v>
      </c>
      <c r="N225" s="15" t="s">
        <v>34</v>
      </c>
      <c r="O225" s="137">
        <f>MAX(Tabla13[[#This Row],[EC50 fish]:[EC50 daphnia]])</f>
        <v>0.7</v>
      </c>
      <c r="P225" s="138">
        <v>69.426336502314996</v>
      </c>
      <c r="Q225" s="139">
        <f>MAX(Tabla13[[#This Row],[Needed amount of chemical (g); Ruben Leitat calculations]:[Needed amount of chemical (g); Stefan UFZ calculations]])</f>
        <v>69.426336502314996</v>
      </c>
      <c r="R225" s="24" t="s">
        <v>2273</v>
      </c>
      <c r="S225" s="17">
        <v>5</v>
      </c>
      <c r="T225" s="17" t="s">
        <v>2153</v>
      </c>
      <c r="U225" s="17" t="s">
        <v>1875</v>
      </c>
      <c r="V225" s="17" t="s">
        <v>2274</v>
      </c>
      <c r="W225" s="17" t="s">
        <v>2275</v>
      </c>
      <c r="X225" s="17">
        <v>1</v>
      </c>
    </row>
    <row r="226" spans="1:24" s="135" customFormat="1" ht="60" customHeight="1">
      <c r="A226" s="10" t="str">
        <f>Tabla1[[#This Row],[Compound]]</f>
        <v>5,5-Diphenylhydantoin</v>
      </c>
      <c r="B226" s="136" t="str">
        <f>Tabla1[[#This Row],[Prec.Tox code]]</f>
        <v>PTX078</v>
      </c>
      <c r="C226" s="17" t="str">
        <f>Tabla1[[#This Row],[Formula]]</f>
        <v>C15H12N2O2</v>
      </c>
      <c r="D226" s="17" t="str">
        <f>Tabla1[[#This Row],[CAS number]]</f>
        <v>57-41-0</v>
      </c>
      <c r="E226" s="2" t="str">
        <f>Tabla1[[#This Row],[Storage conditions]]</f>
        <v>Room Temperature</v>
      </c>
      <c r="F226" s="17">
        <f>Tabla1[[#This Row],[Solubility (DMSO)]]</f>
        <v>0</v>
      </c>
      <c r="G226" s="17" t="str">
        <f>Tabla1[[#This Row],[Solubility (H2O)]]</f>
        <v>'slightly soluble'</v>
      </c>
      <c r="H226" s="17" t="s">
        <v>34</v>
      </c>
      <c r="I226" s="17">
        <f>Tabla1[[#This Row],[EC50 daphnia]]</f>
        <v>8.6999999999999993</v>
      </c>
      <c r="J226" s="13" t="s">
        <v>2276</v>
      </c>
      <c r="K226" s="142" t="s">
        <v>2277</v>
      </c>
      <c r="L226" s="17">
        <f>MAX(Tabla13[[#This Row],[EC50 fish]:[EC50 daphnia]])*100</f>
        <v>869.99999999999989</v>
      </c>
      <c r="M226" s="17" t="s">
        <v>34</v>
      </c>
      <c r="N226" s="15" t="s">
        <v>34</v>
      </c>
      <c r="O226" s="137">
        <f>MAX(Tabla13[[#This Row],[EC50 fish]:[EC50 daphnia]])</f>
        <v>8.6999999999999993</v>
      </c>
      <c r="P226" s="138">
        <v>1.0289249232332607</v>
      </c>
      <c r="Q226" s="139">
        <f>MAX(Tabla13[[#This Row],[Needed amount of chemical (g); Ruben Leitat calculations]:[Needed amount of chemical (g); Stefan UFZ calculations]])</f>
        <v>8.6999999999999993</v>
      </c>
      <c r="R226" s="17"/>
      <c r="S226" s="17">
        <v>100</v>
      </c>
      <c r="T226" s="17" t="s">
        <v>1825</v>
      </c>
      <c r="U226" s="17" t="s">
        <v>1875</v>
      </c>
      <c r="V226" s="17" t="s">
        <v>2278</v>
      </c>
      <c r="W226" s="17" t="s">
        <v>2279</v>
      </c>
      <c r="X226" s="17">
        <v>1</v>
      </c>
    </row>
    <row r="227" spans="1:24" s="135" customFormat="1" ht="60" customHeight="1">
      <c r="A227" s="10" t="str">
        <f>Tabla1[[#This Row],[Compound]]</f>
        <v>Tebuconazole</v>
      </c>
      <c r="B227" s="136" t="str">
        <f>Tabla1[[#This Row],[Prec.Tox code]]</f>
        <v>PTX079</v>
      </c>
      <c r="C227" s="17" t="str">
        <f>Tabla1[[#This Row],[Formula]]</f>
        <v>C16H22ClN3O</v>
      </c>
      <c r="D227" s="17" t="str">
        <f>Tabla1[[#This Row],[CAS number]]</f>
        <v>107534-96-3</v>
      </c>
      <c r="E227" s="2" t="str">
        <f>Tabla1[[#This Row],[Storage conditions]]</f>
        <v>Room Temperature</v>
      </c>
      <c r="F227" s="17">
        <f>Tabla1[[#This Row],[Solubility (DMSO)]]</f>
        <v>0</v>
      </c>
      <c r="G227" s="17" t="str">
        <f>Tabla1[[#This Row],[Solubility (H2O)]]</f>
        <v>?</v>
      </c>
      <c r="H227" s="17">
        <f>Tabla1[[#This Row],[EC50 fish]]</f>
        <v>8.6999999999999993</v>
      </c>
      <c r="I227" s="17" t="str">
        <f>Tabla1[[#This Row],[EC50 daphnia]]</f>
        <v>?</v>
      </c>
      <c r="J227" s="13" t="s">
        <v>2280</v>
      </c>
      <c r="K227" s="142" t="s">
        <v>2281</v>
      </c>
      <c r="L227" s="17">
        <f>MAX(Tabla13[[#This Row],[EC50 fish]:[EC50 daphnia]])*100</f>
        <v>869.99999999999989</v>
      </c>
      <c r="M227" s="17" t="s">
        <v>34</v>
      </c>
      <c r="N227" s="15" t="s">
        <v>34</v>
      </c>
      <c r="O227" s="137">
        <f>MAX(Tabla13[[#This Row],[EC50 fish]:[EC50 daphnia]])</f>
        <v>8.6999999999999993</v>
      </c>
      <c r="P227" s="138">
        <v>0.33772782115534983</v>
      </c>
      <c r="Q227" s="139">
        <f>MAX(Tabla13[[#This Row],[Needed amount of chemical (g); Ruben Leitat calculations]:[Needed amount of chemical (g); Stefan UFZ calculations]])</f>
        <v>8.6999999999999993</v>
      </c>
      <c r="R227" s="17"/>
      <c r="S227" s="17">
        <v>10</v>
      </c>
      <c r="T227" s="17" t="s">
        <v>1899</v>
      </c>
      <c r="U227" s="17" t="s">
        <v>1875</v>
      </c>
      <c r="V227" s="17" t="s">
        <v>2282</v>
      </c>
      <c r="W227" s="17" t="s">
        <v>2283</v>
      </c>
      <c r="X227" s="17">
        <v>1</v>
      </c>
    </row>
    <row r="228" spans="1:24" s="135" customFormat="1" ht="60" customHeight="1">
      <c r="A228" s="10" t="str">
        <f>Tabla1[[#This Row],[Compound]]</f>
        <v>Hexachlorophene</v>
      </c>
      <c r="B228" s="136" t="str">
        <f>Tabla1[[#This Row],[Prec.Tox code]]</f>
        <v>PTX080</v>
      </c>
      <c r="C228" s="17" t="str">
        <f>Tabla1[[#This Row],[Formula]]</f>
        <v>C13H6Cl6O2</v>
      </c>
      <c r="D228" s="17" t="str">
        <f>Tabla1[[#This Row],[CAS number]]</f>
        <v>70-30-4</v>
      </c>
      <c r="E228" s="2" t="str">
        <f>Tabla1[[#This Row],[Storage conditions]]</f>
        <v>Room Temperature</v>
      </c>
      <c r="F228" s="17" t="str">
        <f>Tabla1[[#This Row],[Solubility (DMSO)]]</f>
        <v xml:space="preserve"> ≥ 40.7 g/L</v>
      </c>
      <c r="G228" s="17" t="str">
        <f>Tabla1[[#This Row],[Solubility (H2O)]]</f>
        <v>?</v>
      </c>
      <c r="H228" s="17">
        <f>Tabla1[[#This Row],[EC50 fish]]</f>
        <v>1.9E-2</v>
      </c>
      <c r="I228" s="17">
        <f>Tabla1[[#This Row],[EC50 daphnia]]</f>
        <v>0.2</v>
      </c>
      <c r="J228" s="13" t="s">
        <v>2284</v>
      </c>
      <c r="K228" s="142" t="s">
        <v>2285</v>
      </c>
      <c r="L228" s="17">
        <f>MAX(Tabla13[[#This Row],[EC50 fish]:[EC50 daphnia]])*100</f>
        <v>20</v>
      </c>
      <c r="M228" s="17" t="s">
        <v>34</v>
      </c>
      <c r="N228" s="15" t="s">
        <v>34</v>
      </c>
      <c r="O228" s="137">
        <f>MAX(Tabla13[[#This Row],[EC50 fish]:[EC50 daphnia]])</f>
        <v>0.2</v>
      </c>
      <c r="P228" s="138">
        <v>9.0793150690739036E-4</v>
      </c>
      <c r="Q228" s="139">
        <f>MAX(Tabla13[[#This Row],[Needed amount of chemical (g); Ruben Leitat calculations]:[Needed amount of chemical (g); Stefan UFZ calculations]])</f>
        <v>0.2</v>
      </c>
      <c r="R228" s="17"/>
      <c r="S228" s="17">
        <v>1</v>
      </c>
      <c r="T228" s="17" t="s">
        <v>1836</v>
      </c>
      <c r="U228" s="17" t="s">
        <v>1875</v>
      </c>
      <c r="V228" s="17" t="s">
        <v>2286</v>
      </c>
      <c r="W228" s="17" t="s">
        <v>2287</v>
      </c>
      <c r="X228" s="17">
        <v>1</v>
      </c>
    </row>
    <row r="229" spans="1:24" s="135" customFormat="1" ht="60" customHeight="1">
      <c r="A229" s="10" t="str">
        <f>Tabla1[[#This Row],[Compound]]</f>
        <v>Triethyl-tin bromide</v>
      </c>
      <c r="B229" s="136" t="str">
        <f>Tabla1[[#This Row],[Prec.Tox code]]</f>
        <v>PTX081</v>
      </c>
      <c r="C229" s="17" t="str">
        <f>Tabla1[[#This Row],[Formula]]</f>
        <v>C6H15BrSn</v>
      </c>
      <c r="D229" s="17" t="str">
        <f>Tabla1[[#This Row],[CAS number]]</f>
        <v xml:space="preserve">2767-54-6 </v>
      </c>
      <c r="E229" s="2" t="str">
        <f>Tabla1[[#This Row],[Storage conditions]]</f>
        <v>Room temperature
Protect from moisture</v>
      </c>
      <c r="F229" s="17">
        <f>Tabla1[[#This Row],[Solubility (DMSO)]]</f>
        <v>0</v>
      </c>
      <c r="G229" s="17" t="str">
        <f>Tabla1[[#This Row],[Solubility (H2O)]]</f>
        <v>?</v>
      </c>
      <c r="H229" s="17">
        <f>Tabla1[[#This Row],[EC50 fish]]</f>
        <v>0.75</v>
      </c>
      <c r="I229" s="17">
        <f>Tabla1[[#This Row],[EC50 daphnia]]</f>
        <v>0.26</v>
      </c>
      <c r="J229" s="13" t="s">
        <v>2288</v>
      </c>
      <c r="K229" s="17" t="s">
        <v>2289</v>
      </c>
      <c r="L229" s="17">
        <f>MAX(Tabla13[[#This Row],[EC50 fish]:[EC50 daphnia]])*100</f>
        <v>75</v>
      </c>
      <c r="M229" s="17" t="s">
        <v>34</v>
      </c>
      <c r="N229" s="15" t="s">
        <v>34</v>
      </c>
      <c r="O229" s="137">
        <f>MAX(Tabla13[[#This Row],[EC50 fish]:[EC50 daphnia]])</f>
        <v>0.75</v>
      </c>
      <c r="P229" s="138">
        <v>35.974510323932392</v>
      </c>
      <c r="Q229" s="139">
        <f>MAX(Tabla13[[#This Row],[Needed amount of chemical (g); Ruben Leitat calculations]:[Needed amount of chemical (g); Stefan UFZ calculations]])</f>
        <v>35.974510323932392</v>
      </c>
      <c r="R229" s="17"/>
      <c r="S229" s="17">
        <v>5</v>
      </c>
      <c r="T229" s="17" t="s">
        <v>2290</v>
      </c>
      <c r="U229" s="17" t="s">
        <v>1875</v>
      </c>
      <c r="V229" s="17" t="s">
        <v>2291</v>
      </c>
      <c r="W229" s="17" t="s">
        <v>2275</v>
      </c>
      <c r="X229" s="17">
        <v>1</v>
      </c>
    </row>
    <row r="230" spans="1:24" s="135" customFormat="1" ht="60" customHeight="1">
      <c r="A230" s="10" t="str">
        <f>Tabla1[[#This Row],[Compound]]</f>
        <v>Perfluorooctanoic acid</v>
      </c>
      <c r="B230" s="136" t="str">
        <f>Tabla1[[#This Row],[Prec.Tox code]]</f>
        <v>PTX082</v>
      </c>
      <c r="C230" s="17" t="str">
        <f>Tabla1[[#This Row],[Formula]]</f>
        <v>C8HF15O2</v>
      </c>
      <c r="D230" s="17" t="str">
        <f>Tabla1[[#This Row],[CAS number]]</f>
        <v>335-67-1</v>
      </c>
      <c r="E230" s="2" t="str">
        <f>Tabla1[[#This Row],[Storage conditions]]</f>
        <v>Room temperature</v>
      </c>
      <c r="F230" s="17">
        <f>Tabla1[[#This Row],[Solubility (DMSO)]]</f>
        <v>0</v>
      </c>
      <c r="G230" s="17" t="str">
        <f>Tabla1[[#This Row],[Solubility (H2O)]]</f>
        <v>3.4 g/L</v>
      </c>
      <c r="H230" s="17">
        <f>Tabla1[[#This Row],[EC50 fish]]</f>
        <v>51</v>
      </c>
      <c r="I230" s="17">
        <f>Tabla1[[#This Row],[EC50 daphnia]]</f>
        <v>199.51</v>
      </c>
      <c r="J230" s="13" t="s">
        <v>2292</v>
      </c>
      <c r="K230" s="142" t="s">
        <v>2293</v>
      </c>
      <c r="L230" s="17">
        <f>MAX(Tabla13[[#This Row],[EC50 fish]:[EC50 daphnia]])*100</f>
        <v>19951</v>
      </c>
      <c r="M230" s="17" t="s">
        <v>34</v>
      </c>
      <c r="N230" s="15" t="s">
        <v>34</v>
      </c>
      <c r="O230" s="137">
        <f>MAX(Tabla13[[#This Row],[EC50 fish]:[EC50 daphnia]])</f>
        <v>199.51</v>
      </c>
      <c r="P230" s="138">
        <v>3349.5487212268586</v>
      </c>
      <c r="Q230" s="139">
        <f>MAX(Tabla13[[#This Row],[Needed amount of chemical (g); Ruben Leitat calculations]:[Needed amount of chemical (g); Stefan UFZ calculations]])</f>
        <v>3349.5487212268586</v>
      </c>
      <c r="R230" s="17"/>
      <c r="S230" s="17">
        <v>75</v>
      </c>
      <c r="T230" s="2" t="s">
        <v>1802</v>
      </c>
      <c r="U230" s="2" t="s">
        <v>1802</v>
      </c>
      <c r="V230" s="17" t="s">
        <v>2294</v>
      </c>
      <c r="W230" s="17" t="s">
        <v>2295</v>
      </c>
      <c r="X230" s="17">
        <v>3</v>
      </c>
    </row>
    <row r="231" spans="1:24" s="135" customFormat="1" ht="60" customHeight="1">
      <c r="A231" s="10" t="str">
        <f>Tabla1[[#This Row],[Compound]]</f>
        <v>Trans retinoic acid</v>
      </c>
      <c r="B231" s="136" t="str">
        <f>Tabla1[[#This Row],[Prec.Tox code]]</f>
        <v>PTX083</v>
      </c>
      <c r="C231" s="17" t="str">
        <f>Tabla1[[#This Row],[Formula]]</f>
        <v>C20H28O2</v>
      </c>
      <c r="D231" s="17" t="str">
        <f>Tabla1[[#This Row],[CAS number]]</f>
        <v>302-79-4</v>
      </c>
      <c r="E231" s="2" t="str">
        <f>Tabla1[[#This Row],[Storage conditions]]</f>
        <v>-20 °C
Light sensitive</v>
      </c>
      <c r="F231" s="17">
        <f>Tabla1[[#This Row],[Solubility (DMSO)]]</f>
        <v>0</v>
      </c>
      <c r="G231" s="17" t="str">
        <f>Tabla1[[#This Row],[Solubility (H2O)]]</f>
        <v>?</v>
      </c>
      <c r="H231" s="17">
        <f>Tabla1[[#This Row],[EC50 fish]]</f>
        <v>1.47E-3</v>
      </c>
      <c r="I231" s="17" t="str">
        <f>Tabla1[[#This Row],[EC50 daphnia]]</f>
        <v>NA/</v>
      </c>
      <c r="J231" s="13" t="s">
        <v>2296</v>
      </c>
      <c r="K231" s="142" t="s">
        <v>2297</v>
      </c>
      <c r="L231" s="17">
        <f>MAX(Tabla13[[#This Row],[EC50 fish]:[EC50 daphnia]])*100</f>
        <v>0.14699999999999999</v>
      </c>
      <c r="M231" s="17" t="s">
        <v>34</v>
      </c>
      <c r="N231" s="15" t="s">
        <v>34</v>
      </c>
      <c r="O231" s="137">
        <f>MAX(Tabla13[[#This Row],[EC50 fish]:[EC50 daphnia]])</f>
        <v>1.47E-3</v>
      </c>
      <c r="P231" s="138">
        <v>2436.2993463535586</v>
      </c>
      <c r="Q231" s="139">
        <f>MAX(Tabla13[[#This Row],[Needed amount of chemical (g); Ruben Leitat calculations]:[Needed amount of chemical (g); Stefan UFZ calculations]])</f>
        <v>2436.2993463535586</v>
      </c>
      <c r="R231" s="17"/>
      <c r="S231" s="17">
        <v>10</v>
      </c>
      <c r="T231" s="17" t="s">
        <v>1899</v>
      </c>
      <c r="U231" s="17" t="s">
        <v>1875</v>
      </c>
      <c r="V231" s="17" t="s">
        <v>2298</v>
      </c>
      <c r="W231" s="17" t="s">
        <v>2283</v>
      </c>
      <c r="X231" s="17">
        <v>1</v>
      </c>
    </row>
    <row r="232" spans="1:24" s="135" customFormat="1" ht="60" customHeight="1">
      <c r="A232" s="10" t="str">
        <f>Tabla1[[#This Row],[Compound]]</f>
        <v>Haloperiodol</v>
      </c>
      <c r="B232" s="136" t="str">
        <f>Tabla1[[#This Row],[Prec.Tox code]]</f>
        <v>PTX084</v>
      </c>
      <c r="C232" s="17" t="str">
        <f>Tabla1[[#This Row],[Formula]]</f>
        <v>C21H23ClFNO2</v>
      </c>
      <c r="D232" s="17" t="str">
        <f>Tabla1[[#This Row],[CAS number]]</f>
        <v>52-86-8</v>
      </c>
      <c r="E232" s="2" t="str">
        <f>Tabla1[[#This Row],[Storage conditions]]</f>
        <v>Room temperature</v>
      </c>
      <c r="F232" s="17">
        <f>Tabla1[[#This Row],[Solubility (DMSO)]]</f>
        <v>0</v>
      </c>
      <c r="G232" s="17" t="str">
        <f>Tabla1[[#This Row],[Solubility (H2O)]]</f>
        <v>?</v>
      </c>
      <c r="H232" s="17">
        <f>Tabla1[[#This Row],[EC50 fish]]</f>
        <v>8.3000000000000007</v>
      </c>
      <c r="I232" s="17">
        <f>Tabla1[[#This Row],[EC50 daphnia]]</f>
        <v>22</v>
      </c>
      <c r="J232" s="13" t="s">
        <v>2299</v>
      </c>
      <c r="K232" s="142" t="s">
        <v>2300</v>
      </c>
      <c r="L232" s="17">
        <f>MAX(Tabla13[[#This Row],[EC50 fish]:[EC50 daphnia]])*100</f>
        <v>2200</v>
      </c>
      <c r="M232" s="17" t="s">
        <v>34</v>
      </c>
      <c r="N232" s="15" t="s">
        <v>34</v>
      </c>
      <c r="O232" s="137">
        <f>MAX(Tabla13[[#This Row],[EC50 fish]:[EC50 daphnia]])</f>
        <v>22</v>
      </c>
      <c r="P232" s="138">
        <v>1723.8825291747835</v>
      </c>
      <c r="Q232" s="139">
        <f>MAX(Tabla13[[#This Row],[Needed amount of chemical (g); Ruben Leitat calculations]:[Needed amount of chemical (g); Stefan UFZ calculations]])</f>
        <v>1723.8825291747835</v>
      </c>
      <c r="R232" s="17"/>
      <c r="S232" s="17">
        <v>25</v>
      </c>
      <c r="T232" s="17" t="s">
        <v>2301</v>
      </c>
      <c r="U232" s="17" t="s">
        <v>2301</v>
      </c>
      <c r="V232" s="17" t="s">
        <v>2302</v>
      </c>
      <c r="W232" s="17" t="s">
        <v>1889</v>
      </c>
      <c r="X232" s="17">
        <v>1</v>
      </c>
    </row>
    <row r="233" spans="1:24" s="135" customFormat="1" ht="60" customHeight="1">
      <c r="A233" s="10" t="str">
        <f>Tabla1[[#This Row],[Compound]]</f>
        <v>Chlorpromazine (hydrochloride)</v>
      </c>
      <c r="B233" s="136" t="str">
        <f>Tabla1[[#This Row],[Prec.Tox code]]</f>
        <v>PTX085</v>
      </c>
      <c r="C233" s="17" t="str">
        <f>Tabla1[[#This Row],[Formula]]</f>
        <v>C17H19ClN2S</v>
      </c>
      <c r="D233" s="17" t="str">
        <f>Tabla1[[#This Row],[CAS number]]</f>
        <v>50-53-3
(69-09-0)</v>
      </c>
      <c r="E233" s="2" t="str">
        <f>Tabla1[[#This Row],[Storage conditions]]</f>
        <v>Room temperature</v>
      </c>
      <c r="F233" s="17">
        <f>Tabla1[[#This Row],[Solubility (DMSO)]]</f>
        <v>0</v>
      </c>
      <c r="G233" s="17" t="str">
        <f>Tabla1[[#This Row],[Solubility (H2O)]]</f>
        <v>50 g/L</v>
      </c>
      <c r="H233" s="17" t="str">
        <f>Tabla1[[#This Row],[EC50 fish]]</f>
        <v>NA/</v>
      </c>
      <c r="I233" s="17">
        <f>Tabla1[[#This Row],[EC50 daphnia]]</f>
        <v>1805</v>
      </c>
      <c r="J233" s="13" t="s">
        <v>2303</v>
      </c>
      <c r="K233" s="142" t="s">
        <v>2304</v>
      </c>
      <c r="L233" s="17">
        <f>MAX(Tabla13[[#This Row],[EC50 fish]:[EC50 daphnia]])*100</f>
        <v>180500</v>
      </c>
      <c r="M233" s="17" t="s">
        <v>34</v>
      </c>
      <c r="N233" s="15" t="s">
        <v>34</v>
      </c>
      <c r="O233" s="140">
        <v>8.6092200000000008E-3</v>
      </c>
      <c r="P233" s="140">
        <v>4.3046100000000004E-2</v>
      </c>
      <c r="Q233" s="139">
        <f>MAX(Tabla13[[#This Row],[Needed amount of chemical (g); Ruben Leitat calculations]:[Needed amount of chemical (g); Stefan UFZ calculations]])</f>
        <v>4.3046100000000004E-2</v>
      </c>
      <c r="R233" s="2" t="s">
        <v>1835</v>
      </c>
      <c r="S233" s="17">
        <v>25</v>
      </c>
      <c r="T233" s="17" t="s">
        <v>2301</v>
      </c>
      <c r="U233" s="17" t="s">
        <v>2301</v>
      </c>
      <c r="V233" s="17" t="s">
        <v>2305</v>
      </c>
      <c r="W233" s="17" t="s">
        <v>1889</v>
      </c>
      <c r="X233" s="17">
        <v>1</v>
      </c>
    </row>
    <row r="234" spans="1:24" s="135" customFormat="1" ht="60" customHeight="1">
      <c r="A234" s="10" t="str">
        <f>Tabla1[[#This Row],[Compound]]</f>
        <v>Carbamazepine</v>
      </c>
      <c r="B234" s="136" t="str">
        <f>Tabla1[[#This Row],[Prec.Tox code]]</f>
        <v>PTX086</v>
      </c>
      <c r="C234" s="17" t="str">
        <f>Tabla1[[#This Row],[Formula]]</f>
        <v>C15H12N2O</v>
      </c>
      <c r="D234" s="17" t="str">
        <f>Tabla1[[#This Row],[CAS number]]</f>
        <v>298-46-4</v>
      </c>
      <c r="E234" s="2" t="str">
        <f>Tabla1[[#This Row],[Storage conditions]]</f>
        <v>2 - 8 °C</v>
      </c>
      <c r="F234" s="17">
        <f>Tabla1[[#This Row],[Solubility (DMSO)]]</f>
        <v>0</v>
      </c>
      <c r="G234" s="17" t="str">
        <f>Tabla1[[#This Row],[Solubility (H2O)]]</f>
        <v>?</v>
      </c>
      <c r="H234" s="17">
        <f>Tabla1[[#This Row],[EC50 fish]]</f>
        <v>100</v>
      </c>
      <c r="I234" s="17">
        <f>Tabla1[[#This Row],[EC50 daphnia]]</f>
        <v>97.817436000000001</v>
      </c>
      <c r="J234" s="13" t="s">
        <v>2306</v>
      </c>
      <c r="K234" s="142" t="s">
        <v>2307</v>
      </c>
      <c r="L234" s="17">
        <f>MAX(Tabla13[[#This Row],[EC50 fish]:[EC50 daphnia]])*100</f>
        <v>10000</v>
      </c>
      <c r="M234" s="17" t="s">
        <v>34</v>
      </c>
      <c r="N234" s="15" t="s">
        <v>34</v>
      </c>
      <c r="O234" s="137">
        <f>MAX(Tabla13[[#This Row],[EC50 fish]:[EC50 daphnia]])</f>
        <v>100</v>
      </c>
      <c r="P234" s="138">
        <v>0.37617154262415914</v>
      </c>
      <c r="Q234" s="139">
        <f>MAX(Tabla13[[#This Row],[Needed amount of chemical (g); Ruben Leitat calculations]:[Needed amount of chemical (g); Stefan UFZ calculations]])</f>
        <v>100</v>
      </c>
      <c r="R234" s="24" t="s">
        <v>2308</v>
      </c>
      <c r="S234" s="17">
        <v>100</v>
      </c>
      <c r="T234" s="17" t="s">
        <v>1899</v>
      </c>
      <c r="U234" s="17" t="s">
        <v>1875</v>
      </c>
      <c r="V234" s="17" t="s">
        <v>2309</v>
      </c>
      <c r="W234" s="17" t="s">
        <v>1820</v>
      </c>
      <c r="X234" s="17">
        <v>1</v>
      </c>
    </row>
    <row r="235" spans="1:24" s="135" customFormat="1" ht="60" customHeight="1">
      <c r="A235" s="10" t="str">
        <f>Tabla1[[#This Row],[Compound]]</f>
        <v>Imidacloprid</v>
      </c>
      <c r="B235" s="136" t="str">
        <f>Tabla1[[#This Row],[Prec.Tox code]]</f>
        <v>PTX087</v>
      </c>
      <c r="C235" s="17" t="str">
        <f>Tabla1[[#This Row],[Formula]]</f>
        <v>C9H10ClN5O2</v>
      </c>
      <c r="D235" s="17" t="str">
        <f>Tabla1[[#This Row],[CAS number]]</f>
        <v>138261-41-3</v>
      </c>
      <c r="E235" s="2" t="str">
        <f>Tabla1[[#This Row],[Storage conditions]]</f>
        <v>Room temperature (15 - 25 °C). 
Protect from moisture. Store under inert gas.</v>
      </c>
      <c r="F235" s="17">
        <f>Tabla1[[#This Row],[Solubility (DMSO)]]</f>
        <v>0</v>
      </c>
      <c r="G235" s="17" t="str">
        <f>Tabla1[[#This Row],[Solubility (H2O)]]</f>
        <v>0.61 g/L</v>
      </c>
      <c r="H235" s="17">
        <f>Tabla1[[#This Row],[EC50 fish]]</f>
        <v>211</v>
      </c>
      <c r="I235" s="17">
        <f>Tabla1[[#This Row],[EC50 daphnia]]</f>
        <v>85</v>
      </c>
      <c r="J235" s="13" t="s">
        <v>2310</v>
      </c>
      <c r="K235" s="142" t="s">
        <v>2311</v>
      </c>
      <c r="L235" s="17">
        <f>MAX(Tabla13[[#This Row],[EC50 fish]:[EC50 daphnia]])*100</f>
        <v>21100</v>
      </c>
      <c r="M235" s="17" t="s">
        <v>34</v>
      </c>
      <c r="N235" s="15" t="s">
        <v>34</v>
      </c>
      <c r="O235" s="140">
        <v>127.83</v>
      </c>
      <c r="P235" s="140">
        <v>0.63915</v>
      </c>
      <c r="Q235" s="139">
        <f>MAX(Tabla13[[#This Row],[Needed amount of chemical (g); Ruben Leitat calculations]:[Needed amount of chemical (g); Stefan UFZ calculations]])</f>
        <v>127.83</v>
      </c>
      <c r="R235" s="2" t="s">
        <v>1835</v>
      </c>
      <c r="S235" s="17">
        <v>2</v>
      </c>
      <c r="T235" s="17" t="s">
        <v>2301</v>
      </c>
      <c r="U235" s="17" t="s">
        <v>2301</v>
      </c>
      <c r="V235" s="17" t="s">
        <v>2312</v>
      </c>
      <c r="W235" s="17" t="s">
        <v>2287</v>
      </c>
      <c r="X235" s="17">
        <v>2</v>
      </c>
    </row>
    <row r="236" spans="1:24" s="135" customFormat="1" ht="60" customHeight="1">
      <c r="A236" s="10" t="str">
        <f>Tabla1[[#This Row],[Compound]]</f>
        <v>Fipronil</v>
      </c>
      <c r="B236" s="136" t="str">
        <f>Tabla1[[#This Row],[Prec.Tox code]]</f>
        <v>PTX088</v>
      </c>
      <c r="C236" s="17" t="str">
        <f>Tabla1[[#This Row],[Formula]]</f>
        <v>C12H4Cl2F6N4OS</v>
      </c>
      <c r="D236" s="17" t="str">
        <f>Tabla1[[#This Row],[CAS number]]</f>
        <v>120068-37-3</v>
      </c>
      <c r="E236" s="2" t="str">
        <f>Tabla1[[#This Row],[Storage conditions]]</f>
        <v>Room temperature</v>
      </c>
      <c r="F236" s="17">
        <f>Tabla1[[#This Row],[Solubility (DMSO)]]</f>
        <v>0</v>
      </c>
      <c r="G236" s="17" t="str">
        <f>Tabla1[[#This Row],[Solubility (H2O)]]</f>
        <v>0.00397 g/l</v>
      </c>
      <c r="H236" s="17">
        <f>Tabla1[[#This Row],[EC50 fish]]</f>
        <v>0.43</v>
      </c>
      <c r="I236" s="17">
        <f>Tabla1[[#This Row],[EC50 daphnia]]</f>
        <v>1.3999999999999999E-4</v>
      </c>
      <c r="J236" s="13" t="s">
        <v>2313</v>
      </c>
      <c r="K236" s="142" t="s">
        <v>2314</v>
      </c>
      <c r="L236" s="17">
        <f>MAX(Tabla13[[#This Row],[EC50 fish]:[EC50 daphnia]])*100</f>
        <v>43</v>
      </c>
      <c r="M236" s="17" t="s">
        <v>34</v>
      </c>
      <c r="N236" s="15" t="s">
        <v>34</v>
      </c>
      <c r="O236" s="137">
        <f>MAX(Tabla13[[#This Row],[EC50 fish]:[EC50 daphnia]])</f>
        <v>0.43</v>
      </c>
      <c r="P236" s="138">
        <v>2.0164643683321648</v>
      </c>
      <c r="Q236" s="139">
        <f>MAX(Tabla13[[#This Row],[Needed amount of chemical (g); Ruben Leitat calculations]:[Needed amount of chemical (g); Stefan UFZ calculations]])</f>
        <v>2.0164643683321648</v>
      </c>
      <c r="R236" s="17"/>
      <c r="S236" s="17">
        <v>10</v>
      </c>
      <c r="T236" s="17" t="s">
        <v>1899</v>
      </c>
      <c r="U236" s="17" t="s">
        <v>1875</v>
      </c>
      <c r="V236" s="17" t="s">
        <v>2315</v>
      </c>
      <c r="W236" s="17" t="s">
        <v>2283</v>
      </c>
      <c r="X236" s="17">
        <v>1</v>
      </c>
    </row>
    <row r="237" spans="1:24" s="135" customFormat="1" ht="60" customHeight="1">
      <c r="A237" s="10" t="str">
        <f>Tabla1[[#This Row],[Compound]]</f>
        <v>Thiamethoxam</v>
      </c>
      <c r="B237" s="136" t="str">
        <f>Tabla1[[#This Row],[Prec.Tox code]]</f>
        <v>PTX089</v>
      </c>
      <c r="C237" s="17" t="str">
        <f>Tabla1[[#This Row],[Formula]]</f>
        <v>C8H10ClN5O3S</v>
      </c>
      <c r="D237" s="17" t="str">
        <f>Tabla1[[#This Row],[CAS number]]</f>
        <v>153719-23-4</v>
      </c>
      <c r="E237" s="2" t="str">
        <f>Tabla1[[#This Row],[Storage conditions]]</f>
        <v>Room temperature</v>
      </c>
      <c r="F237" s="17">
        <f>Tabla1[[#This Row],[Solubility (DMSO)]]</f>
        <v>0</v>
      </c>
      <c r="G237" s="17" t="str">
        <f>Tabla1[[#This Row],[Solubility (H2O)]]</f>
        <v>?</v>
      </c>
      <c r="H237" s="17">
        <f>Tabla1[[#This Row],[EC50 fish]]</f>
        <v>125</v>
      </c>
      <c r="I237" s="17">
        <f>Tabla1[[#This Row],[EC50 daphnia]]</f>
        <v>8.4</v>
      </c>
      <c r="J237" s="13" t="s">
        <v>2316</v>
      </c>
      <c r="K237" s="142" t="s">
        <v>2317</v>
      </c>
      <c r="L237" s="17">
        <f>MAX(Tabla13[[#This Row],[EC50 fish]:[EC50 daphnia]])*100</f>
        <v>12500</v>
      </c>
      <c r="M237" s="17" t="s">
        <v>34</v>
      </c>
      <c r="N237" s="15" t="s">
        <v>34</v>
      </c>
      <c r="O237" s="137">
        <f>MAX(Tabla13[[#This Row],[EC50 fish]:[EC50 daphnia]])</f>
        <v>125</v>
      </c>
      <c r="P237" s="138">
        <v>256.72838269229112</v>
      </c>
      <c r="Q237" s="139">
        <f>MAX(Tabla13[[#This Row],[Needed amount of chemical (g); Ruben Leitat calculations]:[Needed amount of chemical (g); Stefan UFZ calculations]])</f>
        <v>256.72838269229112</v>
      </c>
      <c r="R237" s="17"/>
      <c r="S237" s="17">
        <v>25</v>
      </c>
      <c r="T237" s="17" t="s">
        <v>1899</v>
      </c>
      <c r="U237" s="17" t="s">
        <v>1875</v>
      </c>
      <c r="V237" s="17" t="s">
        <v>2318</v>
      </c>
      <c r="W237" s="17" t="s">
        <v>1889</v>
      </c>
      <c r="X237" s="17">
        <v>1</v>
      </c>
    </row>
    <row r="238" spans="1:24" s="135" customFormat="1" ht="60" customHeight="1">
      <c r="A238" s="10" t="str">
        <f>Tabla1[[#This Row],[Compound]]</f>
        <v>Azoxystrobin</v>
      </c>
      <c r="B238" s="136" t="str">
        <f>Tabla1[[#This Row],[Prec.Tox code]]</f>
        <v>PTX090</v>
      </c>
      <c r="C238" s="17" t="str">
        <f>Tabla1[[#This Row],[Formula]]</f>
        <v>C22H17N3O5</v>
      </c>
      <c r="D238" s="17" t="str">
        <f>Tabla1[[#This Row],[CAS number]]</f>
        <v>131860-33-8</v>
      </c>
      <c r="E238" s="2" t="str">
        <f>Tabla1[[#This Row],[Storage conditions]]</f>
        <v>Room temperature</v>
      </c>
      <c r="F238" s="17">
        <f>Tabla1[[#This Row],[Solubility (DMSO)]]</f>
        <v>0</v>
      </c>
      <c r="G238" s="17" t="str">
        <f>Tabla1[[#This Row],[Solubility (H2O)]]</f>
        <v>0.006 g/l</v>
      </c>
      <c r="H238" s="17" t="str">
        <f>Tabla1[[#This Row],[EC50 fish]]</f>
        <v>NA/</v>
      </c>
      <c r="I238" s="17">
        <f>Tabla1[[#This Row],[EC50 daphnia]]</f>
        <v>0.25900000000000001</v>
      </c>
      <c r="J238" s="13" t="s">
        <v>2319</v>
      </c>
      <c r="K238" s="2" t="s">
        <v>2320</v>
      </c>
      <c r="L238" s="17">
        <f>MAX(Tabla13[[#This Row],[EC50 fish]:[EC50 daphnia]])*100</f>
        <v>25.900000000000002</v>
      </c>
      <c r="M238" s="17" t="s">
        <v>34</v>
      </c>
      <c r="N238" s="15" t="s">
        <v>34</v>
      </c>
      <c r="O238" s="137">
        <f>MAX(Tabla13[[#This Row],[EC50 fish]:[EC50 daphnia]])</f>
        <v>0.25900000000000001</v>
      </c>
      <c r="P238" s="138">
        <v>4.2815344092799794</v>
      </c>
      <c r="Q238" s="139">
        <f>MAX(Tabla13[[#This Row],[Needed amount of chemical (g); Ruben Leitat calculations]:[Needed amount of chemical (g); Stefan UFZ calculations]])</f>
        <v>4.2815344092799794</v>
      </c>
      <c r="R238" s="17"/>
      <c r="S238" s="17">
        <v>2</v>
      </c>
      <c r="T238" s="17" t="s">
        <v>1836</v>
      </c>
      <c r="U238" s="17" t="s">
        <v>1875</v>
      </c>
      <c r="V238" s="17" t="s">
        <v>2321</v>
      </c>
      <c r="W238" s="17" t="s">
        <v>2322</v>
      </c>
      <c r="X238" s="17">
        <v>2</v>
      </c>
    </row>
    <row r="239" spans="1:24" s="135" customFormat="1" ht="60" customHeight="1">
      <c r="A239" s="10" t="str">
        <f>Tabla1[[#This Row],[Compound]]</f>
        <v>Camptothecin</v>
      </c>
      <c r="B239" s="136" t="str">
        <f>Tabla1[[#This Row],[Prec.Tox code]]</f>
        <v>PTX091</v>
      </c>
      <c r="C239" s="17" t="str">
        <f>Tabla1[[#This Row],[Formula]]</f>
        <v>C20H16N2O4</v>
      </c>
      <c r="D239" s="17" t="str">
        <f>Tabla1[[#This Row],[CAS number]]</f>
        <v>7689-03-4</v>
      </c>
      <c r="E239" s="2" t="str">
        <f>Tabla1[[#This Row],[Storage conditions]]</f>
        <v>2 - 8 °C</v>
      </c>
      <c r="F239" s="17">
        <f>Tabla1[[#This Row],[Solubility (DMSO)]]</f>
        <v>0</v>
      </c>
      <c r="G239" s="17" t="str">
        <f>Tabla1[[#This Row],[Solubility (H2O)]]</f>
        <v>8.7 g/L</v>
      </c>
      <c r="H239" s="17" t="str">
        <f>Tabla1[[#This Row],[EC50 fish]]</f>
        <v>NA/</v>
      </c>
      <c r="I239" s="17" t="str">
        <f>Tabla1[[#This Row],[EC50 daphnia]]</f>
        <v>NA/</v>
      </c>
      <c r="J239" s="13" t="s">
        <v>2323</v>
      </c>
      <c r="K239" s="142" t="s">
        <v>2324</v>
      </c>
      <c r="L239" s="17">
        <f>MAX(Tabla13[[#This Row],[EC50 fish]:[EC50 daphnia]])*100</f>
        <v>0</v>
      </c>
      <c r="M239" s="17" t="s">
        <v>34</v>
      </c>
      <c r="N239" s="15" t="s">
        <v>34</v>
      </c>
      <c r="O239" s="137">
        <f>MAX(Tabla13[[#This Row],[EC50 fish]:[EC50 daphnia]])</f>
        <v>0</v>
      </c>
      <c r="P239" s="138">
        <v>4.8453795255955106</v>
      </c>
      <c r="Q239" s="139">
        <f>MAX(Tabla13[[#This Row],[Needed amount of chemical (g); Ruben Leitat calculations]:[Needed amount of chemical (g); Stefan UFZ calculations]])</f>
        <v>4.8453795255955106</v>
      </c>
      <c r="R239" s="17"/>
      <c r="S239" s="17">
        <v>10</v>
      </c>
      <c r="T239" s="17" t="s">
        <v>1879</v>
      </c>
      <c r="U239" s="17" t="s">
        <v>1875</v>
      </c>
      <c r="V239" s="17" t="s">
        <v>2325</v>
      </c>
      <c r="W239" s="17" t="s">
        <v>2283</v>
      </c>
      <c r="X239" s="17">
        <v>1</v>
      </c>
    </row>
    <row r="240" spans="1:24" s="135" customFormat="1" ht="60" customHeight="1">
      <c r="A240" s="10" t="str">
        <f>Tabla1[[#This Row],[Compound]]</f>
        <v>Tetraethylthiuram disulfide</v>
      </c>
      <c r="B240" s="136" t="str">
        <f>Tabla1[[#This Row],[Prec.Tox code]]</f>
        <v>PTX092</v>
      </c>
      <c r="C240" s="17" t="str">
        <f>Tabla1[[#This Row],[Formula]]</f>
        <v>C10H20N2S4</v>
      </c>
      <c r="D240" s="17" t="str">
        <f>Tabla1[[#This Row],[CAS number]]</f>
        <v>97-77-8</v>
      </c>
      <c r="E240" s="2" t="str">
        <f>Tabla1[[#This Row],[Storage conditions]]</f>
        <v>Room temperature</v>
      </c>
      <c r="F240" s="17">
        <f>Tabla1[[#This Row],[Solubility (DMSO)]]</f>
        <v>0</v>
      </c>
      <c r="G240" s="17" t="str">
        <f>Tabla1[[#This Row],[Solubility (H2O)]]</f>
        <v>0.004 g/L</v>
      </c>
      <c r="H240" s="17">
        <f>Tabla1[[#This Row],[EC50 fish]]</f>
        <v>6.7000000000000004E-2</v>
      </c>
      <c r="I240" s="17">
        <f>Tabla1[[#This Row],[EC50 daphnia]]</f>
        <v>0.12</v>
      </c>
      <c r="J240" s="13" t="s">
        <v>2326</v>
      </c>
      <c r="K240" s="142" t="s">
        <v>2327</v>
      </c>
      <c r="L240" s="17">
        <f>MAX(Tabla13[[#This Row],[EC50 fish]:[EC50 daphnia]])*100</f>
        <v>12</v>
      </c>
      <c r="M240" s="17" t="s">
        <v>34</v>
      </c>
      <c r="N240" s="15" t="s">
        <v>34</v>
      </c>
      <c r="O240" s="137">
        <f>MAX(Tabla13[[#This Row],[EC50 fish]:[EC50 daphnia]])</f>
        <v>0.12</v>
      </c>
      <c r="P240" s="138">
        <v>0.10837372367203878</v>
      </c>
      <c r="Q240" s="139">
        <f>MAX(Tabla13[[#This Row],[Needed amount of chemical (g); Ruben Leitat calculations]:[Needed amount of chemical (g); Stefan UFZ calculations]])</f>
        <v>0.12</v>
      </c>
      <c r="R240" s="17"/>
      <c r="S240" s="17">
        <v>100</v>
      </c>
      <c r="T240" s="17" t="s">
        <v>1825</v>
      </c>
      <c r="U240" s="17" t="s">
        <v>1875</v>
      </c>
      <c r="V240" s="17" t="s">
        <v>2328</v>
      </c>
      <c r="W240" s="17" t="s">
        <v>2279</v>
      </c>
      <c r="X240" s="17">
        <v>1</v>
      </c>
    </row>
    <row r="241" spans="1:24" s="135" customFormat="1" ht="60" customHeight="1">
      <c r="A241" s="10" t="str">
        <f>Tabla1[[#This Row],[Compound]]</f>
        <v>Mebendazole</v>
      </c>
      <c r="B241" s="136" t="str">
        <f>Tabla1[[#This Row],[Prec.Tox code]]</f>
        <v>PTX093</v>
      </c>
      <c r="C241" s="17" t="str">
        <f>Tabla1[[#This Row],[Formula]]</f>
        <v>C16H13N3O3</v>
      </c>
      <c r="D241" s="17" t="str">
        <f>Tabla1[[#This Row],[CAS number]]</f>
        <v>31431-39-7</v>
      </c>
      <c r="E241" s="2" t="str">
        <f>Tabla1[[#This Row],[Storage conditions]]</f>
        <v>Room temperature</v>
      </c>
      <c r="F241" s="17">
        <f>Tabla1[[#This Row],[Solubility (DMSO)]]</f>
        <v>0</v>
      </c>
      <c r="G241" s="17" t="str">
        <f>Tabla1[[#This Row],[Solubility (H2O)]]</f>
        <v>0.0354 g/L</v>
      </c>
      <c r="H241" s="17">
        <f>Tabla1[[#This Row],[EC50 fish]]</f>
        <v>3.53</v>
      </c>
      <c r="I241" s="17" t="str">
        <f>Tabla1[[#This Row],[EC50 daphnia]]</f>
        <v>NA/</v>
      </c>
      <c r="J241" s="13" t="s">
        <v>2329</v>
      </c>
      <c r="K241" s="142" t="s">
        <v>2330</v>
      </c>
      <c r="L241" s="17">
        <f>MAX(Tabla13[[#This Row],[EC50 fish]:[EC50 daphnia]])*100</f>
        <v>353</v>
      </c>
      <c r="M241" s="17" t="s">
        <v>34</v>
      </c>
      <c r="N241" s="15" t="s">
        <v>34</v>
      </c>
      <c r="O241" s="137">
        <f>MAX(Tabla13[[#This Row],[EC50 fish]:[EC50 daphnia]])</f>
        <v>3.53</v>
      </c>
      <c r="P241" s="138">
        <v>0.46188143869832321</v>
      </c>
      <c r="Q241" s="139">
        <f>MAX(Tabla13[[#This Row],[Needed amount of chemical (g); Ruben Leitat calculations]:[Needed amount of chemical (g); Stefan UFZ calculations]])</f>
        <v>3.53</v>
      </c>
      <c r="R241" s="17"/>
      <c r="S241" s="17">
        <v>25</v>
      </c>
      <c r="T241" s="17" t="s">
        <v>1802</v>
      </c>
      <c r="U241" s="17" t="s">
        <v>1802</v>
      </c>
      <c r="V241" s="17" t="s">
        <v>2331</v>
      </c>
      <c r="W241" s="17" t="s">
        <v>2295</v>
      </c>
      <c r="X241" s="17">
        <v>1</v>
      </c>
    </row>
    <row r="242" spans="1:24" s="135" customFormat="1" ht="60" customHeight="1">
      <c r="A242" s="10" t="str">
        <f>Tabla1[[#This Row],[Compound]]</f>
        <v>Citalopram</v>
      </c>
      <c r="B242" s="136" t="str">
        <f>Tabla1[[#This Row],[Prec.Tox code]]</f>
        <v>PTX094</v>
      </c>
      <c r="C242" s="17" t="str">
        <f>Tabla1[[#This Row],[Formula]]</f>
        <v>C20H21FN2O</v>
      </c>
      <c r="D242" s="17" t="str">
        <f>Tabla1[[#This Row],[CAS number]]</f>
        <v>59729-33-8</v>
      </c>
      <c r="E242" s="2" t="str">
        <f>Tabla1[[#This Row],[Storage conditions]]</f>
        <v>m</v>
      </c>
      <c r="F242" s="17">
        <f>Tabla1[[#This Row],[Solubility (DMSO)]]</f>
        <v>0</v>
      </c>
      <c r="G242" s="17" t="str">
        <f>Tabla1[[#This Row],[Solubility (H2O)]]</f>
        <v>0.03901 g/L</v>
      </c>
      <c r="H242" s="17" t="str">
        <f>Tabla1[[#This Row],[EC50 fish]]</f>
        <v>NA/</v>
      </c>
      <c r="I242" s="17">
        <f>Tabla1[[#This Row],[EC50 daphnia]]</f>
        <v>20</v>
      </c>
      <c r="J242" s="13" t="s">
        <v>2332</v>
      </c>
      <c r="K242" s="142" t="s">
        <v>2333</v>
      </c>
      <c r="L242" s="17">
        <f>MAX(Tabla13[[#This Row],[EC50 fish]:[EC50 daphnia]])*100</f>
        <v>2000</v>
      </c>
      <c r="M242" s="17" t="s">
        <v>34</v>
      </c>
      <c r="N242" s="15" t="s">
        <v>34</v>
      </c>
      <c r="O242" s="137">
        <f>MAX(Tabla13[[#This Row],[EC50 fish]:[EC50 daphnia]])</f>
        <v>20</v>
      </c>
      <c r="P242" s="138">
        <v>8.5098298752903645</v>
      </c>
      <c r="Q242" s="139">
        <f>MAX(Tabla13[[#This Row],[Needed amount of chemical (g); Ruben Leitat calculations]:[Needed amount of chemical (g); Stefan UFZ calculations]])</f>
        <v>20</v>
      </c>
      <c r="R242" s="17"/>
      <c r="S242" s="17">
        <v>5</v>
      </c>
      <c r="T242" s="17" t="s">
        <v>2301</v>
      </c>
      <c r="U242" s="17" t="s">
        <v>2301</v>
      </c>
      <c r="V242" s="17" t="s">
        <v>2334</v>
      </c>
      <c r="W242" s="17" t="s">
        <v>2275</v>
      </c>
      <c r="X242" s="17">
        <v>1</v>
      </c>
    </row>
    <row r="243" spans="1:24" s="135" customFormat="1" ht="60" customHeight="1">
      <c r="A243" s="10" t="str">
        <f>Tabla1[[#This Row],[Compound]]</f>
        <v>Lidocaine</v>
      </c>
      <c r="B243" s="136" t="str">
        <f>Tabla1[[#This Row],[Prec.Tox code]]</f>
        <v>PTX095</v>
      </c>
      <c r="C243" s="17" t="str">
        <f>Tabla1[[#This Row],[Formula]]</f>
        <v>C14H22N2O</v>
      </c>
      <c r="D243" s="17" t="str">
        <f>Tabla1[[#This Row],[CAS number]]</f>
        <v>137-58-6</v>
      </c>
      <c r="E243" s="2" t="str">
        <f>Tabla1[[#This Row],[Storage conditions]]</f>
        <v>Room temperature</v>
      </c>
      <c r="F243" s="17">
        <f>Tabla1[[#This Row],[Solubility (DMSO)]]</f>
        <v>0</v>
      </c>
      <c r="G243" s="17" t="str">
        <f>Tabla1[[#This Row],[Solubility (H2O)]]</f>
        <v>'practically insoluble'</v>
      </c>
      <c r="H243" s="17" t="str">
        <f>Tabla1[[#This Row],[EC50 fish]]</f>
        <v>NA/</v>
      </c>
      <c r="I243" s="17">
        <f>Tabla1[[#This Row],[EC50 daphnia]]</f>
        <v>100</v>
      </c>
      <c r="J243" s="13" t="s">
        <v>2335</v>
      </c>
      <c r="K243" s="142" t="s">
        <v>2336</v>
      </c>
      <c r="L243" s="17">
        <f>MAX(Tabla13[[#This Row],[EC50 fish]:[EC50 daphnia]])*100</f>
        <v>10000</v>
      </c>
      <c r="M243" s="17" t="s">
        <v>34</v>
      </c>
      <c r="N243" s="15" t="s">
        <v>34</v>
      </c>
      <c r="O243" s="137">
        <f>MAX(Tabla13[[#This Row],[EC50 fish]:[EC50 daphnia]])</f>
        <v>100</v>
      </c>
      <c r="P243" s="138">
        <v>3.8043031206982918</v>
      </c>
      <c r="Q243" s="139">
        <f>MAX(Tabla13[[#This Row],[Needed amount of chemical (g); Ruben Leitat calculations]:[Needed amount of chemical (g); Stefan UFZ calculations]])</f>
        <v>100</v>
      </c>
      <c r="R243" s="17"/>
      <c r="S243" s="17">
        <v>100</v>
      </c>
      <c r="T243" s="17" t="s">
        <v>1836</v>
      </c>
      <c r="U243" s="17" t="s">
        <v>1875</v>
      </c>
      <c r="V243" s="17" t="s">
        <v>2337</v>
      </c>
      <c r="W243" s="17" t="s">
        <v>2279</v>
      </c>
      <c r="X243" s="17">
        <v>1</v>
      </c>
    </row>
    <row r="244" spans="1:24" s="135" customFormat="1" ht="60" customHeight="1">
      <c r="A244" s="10" t="str">
        <f>Tabla1[[#This Row],[Compound]]</f>
        <v>Cyclophosphamide (monohydrate)</v>
      </c>
      <c r="B244" s="136" t="str">
        <f>Tabla1[[#This Row],[Prec.Tox code]]</f>
        <v>PTX096</v>
      </c>
      <c r="C244" s="17" t="str">
        <f>Tabla1[[#This Row],[Formula]]</f>
        <v>C7H15Cl2N2O2P</v>
      </c>
      <c r="D244" s="17" t="str">
        <f>Tabla1[[#This Row],[CAS number]]</f>
        <v>50-18-0
(6055-19-2)</v>
      </c>
      <c r="E244" s="2" t="str">
        <f>Tabla1[[#This Row],[Storage conditions]]</f>
        <v>2 - 8 °C</v>
      </c>
      <c r="F244" s="17">
        <f>Tabla1[[#This Row],[Solubility (DMSO)]]</f>
        <v>0</v>
      </c>
      <c r="G244" s="17" t="str">
        <f>Tabla1[[#This Row],[Solubility (H2O)]]</f>
        <v>10 - 50 g/L</v>
      </c>
      <c r="H244" s="17" t="str">
        <f>Tabla1[[#This Row],[EC50 fish]]</f>
        <v>NA/</v>
      </c>
      <c r="I244" s="17">
        <f>Tabla1[[#This Row],[EC50 daphnia]]</f>
        <v>1000</v>
      </c>
      <c r="J244" s="13" t="s">
        <v>2338</v>
      </c>
      <c r="K244" s="142" t="s">
        <v>2339</v>
      </c>
      <c r="L244" s="17">
        <f>MAX(Tabla13[[#This Row],[EC50 fish]:[EC50 daphnia]])*100</f>
        <v>100000</v>
      </c>
      <c r="M244" s="17" t="s">
        <v>34</v>
      </c>
      <c r="N244" s="15" t="s">
        <v>34</v>
      </c>
      <c r="O244" s="140">
        <v>130.54</v>
      </c>
      <c r="P244" s="140">
        <v>8.3153979999999983</v>
      </c>
      <c r="Q244" s="139">
        <f>MAX(Tabla13[[#This Row],[Needed amount of chemical (g); Ruben Leitat calculations]:[Needed amount of chemical (g); Stefan UFZ calculations]])</f>
        <v>130.54</v>
      </c>
      <c r="R244" s="2" t="s">
        <v>1835</v>
      </c>
      <c r="S244" s="17">
        <v>25</v>
      </c>
      <c r="T244" s="17" t="s">
        <v>2301</v>
      </c>
      <c r="U244" s="17" t="s">
        <v>2301</v>
      </c>
      <c r="V244" s="17" t="s">
        <v>2340</v>
      </c>
      <c r="W244" s="17" t="s">
        <v>2295</v>
      </c>
      <c r="X244" s="17">
        <v>1</v>
      </c>
    </row>
    <row r="245" spans="1:24" s="135" customFormat="1" ht="60" customHeight="1">
      <c r="A245" s="10" t="str">
        <f>Tabla1[[#This Row],[Compound]]</f>
        <v>Propylthiouracil</v>
      </c>
      <c r="B245" s="136" t="str">
        <f>Tabla1[[#This Row],[Prec.Tox code]]</f>
        <v>PTX097</v>
      </c>
      <c r="C245" s="17" t="str">
        <f>Tabla1[[#This Row],[Formula]]</f>
        <v>C7H10N2OS</v>
      </c>
      <c r="D245" s="17" t="str">
        <f>Tabla1[[#This Row],[CAS number]]</f>
        <v>51-52-5</v>
      </c>
      <c r="E245" s="2" t="str">
        <f>Tabla1[[#This Row],[Storage conditions]]</f>
        <v>Room temperature
2-8 °C</v>
      </c>
      <c r="F245" s="17">
        <f>Tabla1[[#This Row],[Solubility (DMSO)]]</f>
        <v>0</v>
      </c>
      <c r="G245" s="17" t="str">
        <f>Tabla1[[#This Row],[Solubility (H2O)]]</f>
        <v>1.1 g/L</v>
      </c>
      <c r="H245" s="17">
        <f>Tabla1[[#This Row],[EC50 fish]]</f>
        <v>2.75</v>
      </c>
      <c r="I245" s="17" t="str">
        <f>Tabla1[[#This Row],[EC50 daphnia]]</f>
        <v>?</v>
      </c>
      <c r="J245" s="13" t="s">
        <v>2341</v>
      </c>
      <c r="K245" s="142" t="s">
        <v>2342</v>
      </c>
      <c r="L245" s="17">
        <f>MAX(Tabla13[[#This Row],[EC50 fish]:[EC50 daphnia]])*100</f>
        <v>275</v>
      </c>
      <c r="M245" s="17" t="s">
        <v>34</v>
      </c>
      <c r="N245" s="15" t="s">
        <v>34</v>
      </c>
      <c r="O245" s="141">
        <v>766.03499999999997</v>
      </c>
      <c r="P245" s="141">
        <v>3.8301750000000001</v>
      </c>
      <c r="Q245" s="139">
        <f>MAX(Tabla13[[#This Row],[Needed amount of chemical (g); Ruben Leitat calculations]:[Needed amount of chemical (g); Stefan UFZ calculations]])</f>
        <v>766.03499999999997</v>
      </c>
      <c r="R245" s="2" t="s">
        <v>1835</v>
      </c>
      <c r="S245" s="17">
        <v>100</v>
      </c>
      <c r="T245" s="17" t="s">
        <v>1802</v>
      </c>
      <c r="U245" s="17" t="s">
        <v>1802</v>
      </c>
      <c r="V245" s="17" t="s">
        <v>2343</v>
      </c>
      <c r="W245" s="17" t="s">
        <v>2279</v>
      </c>
      <c r="X245" s="17">
        <v>1</v>
      </c>
    </row>
    <row r="246" spans="1:24" s="135" customFormat="1" ht="60" customHeight="1">
      <c r="A246" s="10" t="str">
        <f>Tabla1[[#This Row],[Compound]]</f>
        <v>Methimazole</v>
      </c>
      <c r="B246" s="136" t="str">
        <f>Tabla1[[#This Row],[Prec.Tox code]]</f>
        <v>PTX098</v>
      </c>
      <c r="C246" s="17" t="str">
        <f>Tabla1[[#This Row],[Formula]]</f>
        <v>C4H6N2S</v>
      </c>
      <c r="D246" s="17" t="str">
        <f>Tabla1[[#This Row],[CAS number]]</f>
        <v>60-56-0</v>
      </c>
      <c r="E246" s="2" t="str">
        <f>Tabla1[[#This Row],[Storage conditions]]</f>
        <v>Room temperature
2-8 °C</v>
      </c>
      <c r="F246" s="17">
        <f>Tabla1[[#This Row],[Solubility (DMSO)]]</f>
        <v>0</v>
      </c>
      <c r="G246" s="17" t="str">
        <f>Tabla1[[#This Row],[Solubility (H2O)]]</f>
        <v>200 g/L</v>
      </c>
      <c r="H246" s="17" t="str">
        <f>Tabla1[[#This Row],[EC50 fish]]</f>
        <v>?</v>
      </c>
      <c r="I246" s="17">
        <f>Tabla1[[#This Row],[EC50 daphnia]]</f>
        <v>7.54</v>
      </c>
      <c r="J246" s="13" t="s">
        <v>2344</v>
      </c>
      <c r="K246" s="142" t="s">
        <v>2345</v>
      </c>
      <c r="L246" s="17">
        <f>MAX(Tabla13[[#This Row],[EC50 fish]:[EC50 daphnia]])*100</f>
        <v>754</v>
      </c>
      <c r="M246" s="17" t="s">
        <v>34</v>
      </c>
      <c r="N246" s="15" t="s">
        <v>34</v>
      </c>
      <c r="O246" s="137">
        <f>MAX(Tabla13[[#This Row],[EC50 fish]:[EC50 daphnia]])</f>
        <v>7.54</v>
      </c>
      <c r="P246" s="138">
        <v>157.64781980500001</v>
      </c>
      <c r="Q246" s="139">
        <f>MAX(Tabla13[[#This Row],[Needed amount of chemical (g); Ruben Leitat calculations]:[Needed amount of chemical (g); Stefan UFZ calculations]])</f>
        <v>157.64781980500001</v>
      </c>
      <c r="R246" s="17"/>
      <c r="S246" s="17">
        <v>100</v>
      </c>
      <c r="T246" s="17" t="s">
        <v>1879</v>
      </c>
      <c r="U246" s="17" t="s">
        <v>1875</v>
      </c>
      <c r="V246" s="17" t="s">
        <v>2346</v>
      </c>
      <c r="W246" s="17" t="s">
        <v>2279</v>
      </c>
      <c r="X246" s="17">
        <v>1</v>
      </c>
    </row>
    <row r="247" spans="1:24" s="135" customFormat="1" ht="60" customHeight="1">
      <c r="A247" s="10" t="str">
        <f>Tabla1[[#This Row],[Compound]]</f>
        <v>Azacytidine</v>
      </c>
      <c r="B247" s="136" t="str">
        <f>Tabla1[[#This Row],[Prec.Tox code]]</f>
        <v>PTX099</v>
      </c>
      <c r="C247" s="17" t="str">
        <f>Tabla1[[#This Row],[Formula]]</f>
        <v>C8H12N4O5</v>
      </c>
      <c r="D247" s="17" t="str">
        <f>Tabla1[[#This Row],[CAS number]]</f>
        <v>320-67-2</v>
      </c>
      <c r="E247" s="2" t="str">
        <f>Tabla1[[#This Row],[Storage conditions]]</f>
        <v>-20 °C</v>
      </c>
      <c r="F247" s="17">
        <f>Tabla1[[#This Row],[Solubility (DMSO)]]</f>
        <v>0</v>
      </c>
      <c r="G247" s="17" t="str">
        <f>Tabla1[[#This Row],[Solubility (H2O)]]</f>
        <v>5 -10 g/L</v>
      </c>
      <c r="H247" s="139">
        <f>Tabla1[[#This Row],[EC50 fish]]</f>
        <v>2.4166666666666665</v>
      </c>
      <c r="I247" s="139">
        <f>Tabla1[[#This Row],[EC50 daphnia]]</f>
        <v>3.6666666666666665</v>
      </c>
      <c r="J247" s="13" t="s">
        <v>2347</v>
      </c>
      <c r="K247" s="142" t="s">
        <v>2348</v>
      </c>
      <c r="L247" s="17">
        <f>MAX(Tabla13[[#This Row],[EC50 fish]:[EC50 daphnia]])*100</f>
        <v>366.66666666666663</v>
      </c>
      <c r="M247" s="17" t="s">
        <v>34</v>
      </c>
      <c r="N247" s="15" t="s">
        <v>34</v>
      </c>
      <c r="O247" s="137">
        <f>MAX(Tabla13[[#This Row],[EC50 fish]:[EC50 daphnia]])</f>
        <v>3.6666666666666665</v>
      </c>
      <c r="P247" s="138">
        <v>1980.23001</v>
      </c>
      <c r="Q247" s="139">
        <f>MAX(Tabla13[[#This Row],[Needed amount of chemical (g); Ruben Leitat calculations]:[Needed amount of chemical (g); Stefan UFZ calculations]])</f>
        <v>1980.23001</v>
      </c>
      <c r="R247" s="17"/>
      <c r="S247" s="17">
        <v>5</v>
      </c>
      <c r="T247" s="17" t="s">
        <v>1899</v>
      </c>
      <c r="U247" s="17" t="s">
        <v>1875</v>
      </c>
      <c r="V247" s="17" t="s">
        <v>2349</v>
      </c>
      <c r="W247" s="17" t="s">
        <v>2275</v>
      </c>
      <c r="X247" s="17">
        <v>1</v>
      </c>
    </row>
    <row r="248" spans="1:24" s="135" customFormat="1" ht="60" customHeight="1">
      <c r="A248" s="10" t="str">
        <f>Tabla1[[#This Row],[Compound]]</f>
        <v>Cytosine arabinoside</v>
      </c>
      <c r="B248" s="136" t="str">
        <f>Tabla1[[#This Row],[Prec.Tox code]]</f>
        <v>PTX100</v>
      </c>
      <c r="C248" s="17" t="str">
        <f>Tabla1[[#This Row],[Formula]]</f>
        <v>C9H13N3O5</v>
      </c>
      <c r="D248" s="17" t="str">
        <f>Tabla1[[#This Row],[CAS number]]</f>
        <v>147-94-4</v>
      </c>
      <c r="E248" s="2" t="str">
        <f>Tabla1[[#This Row],[Storage conditions]]</f>
        <v xml:space="preserve">2 - 8 °C </v>
      </c>
      <c r="F248" s="17">
        <f>Tabla1[[#This Row],[Solubility (DMSO)]]</f>
        <v>0</v>
      </c>
      <c r="G248" s="17" t="str">
        <f>Tabla1[[#This Row],[Solubility (H2O)]]</f>
        <v>50 g/L</v>
      </c>
      <c r="H248" s="17" t="str">
        <f>Tabla1[[#This Row],[EC50 fish]]</f>
        <v>?</v>
      </c>
      <c r="I248" s="17">
        <f>Tabla1[[#This Row],[EC50 daphnia]]</f>
        <v>200</v>
      </c>
      <c r="J248" s="13" t="s">
        <v>2350</v>
      </c>
      <c r="K248" s="142" t="s">
        <v>2351</v>
      </c>
      <c r="L248" s="17">
        <f>MAX(Tabla13[[#This Row],[EC50 fish]:[EC50 daphnia]])*100</f>
        <v>20000</v>
      </c>
      <c r="M248" s="17" t="s">
        <v>34</v>
      </c>
      <c r="N248" s="15" t="s">
        <v>34</v>
      </c>
      <c r="O248" s="137">
        <f>MAX(Tabla13[[#This Row],[EC50 fish]:[EC50 daphnia]])</f>
        <v>200</v>
      </c>
      <c r="P248" s="138">
        <v>1972.2831409999999</v>
      </c>
      <c r="Q248" s="139">
        <f>MAX(Tabla13[[#This Row],[Needed amount of chemical (g); Ruben Leitat calculations]:[Needed amount of chemical (g); Stefan UFZ calculations]])</f>
        <v>1972.2831409999999</v>
      </c>
      <c r="R248" s="17"/>
      <c r="S248" s="17">
        <v>50</v>
      </c>
      <c r="T248" s="17" t="s">
        <v>1899</v>
      </c>
      <c r="U248" s="17" t="s">
        <v>1875</v>
      </c>
      <c r="V248" s="17" t="s">
        <v>2352</v>
      </c>
      <c r="W248" s="17" t="s">
        <v>2353</v>
      </c>
      <c r="X248" s="17">
        <v>1</v>
      </c>
    </row>
    <row r="249" spans="1:24" s="135" customFormat="1" ht="60" customHeight="1">
      <c r="A249" s="10" t="str">
        <f>Tabla1[[#This Row],[Compound]]</f>
        <v>Hydroxyurea</v>
      </c>
      <c r="B249" s="136" t="str">
        <f>Tabla1[[#This Row],[Prec.Tox code]]</f>
        <v>PTX101</v>
      </c>
      <c r="C249" s="17" t="str">
        <f>Tabla1[[#This Row],[Formula]]</f>
        <v>CH4N2O2</v>
      </c>
      <c r="D249" s="17" t="str">
        <f>Tabla1[[#This Row],[CAS number]]</f>
        <v>127-07-1</v>
      </c>
      <c r="E249" s="2" t="str">
        <f>Tabla1[[#This Row],[Storage conditions]]</f>
        <v>2 - 8 °C
Moisture sensitive</v>
      </c>
      <c r="F249" s="17">
        <f>Tabla1[[#This Row],[Solubility (DMSO)]]</f>
        <v>0</v>
      </c>
      <c r="G249" s="17" t="str">
        <f>Tabla1[[#This Row],[Solubility (H2O)]]</f>
        <v>50 g/L</v>
      </c>
      <c r="H249" s="17">
        <f>Tabla1[[#This Row],[EC50 fish]]</f>
        <v>180</v>
      </c>
      <c r="I249" s="17">
        <f>Tabla1[[#This Row],[EC50 daphnia]]</f>
        <v>100</v>
      </c>
      <c r="J249" s="13" t="s">
        <v>2354</v>
      </c>
      <c r="K249" s="142" t="s">
        <v>2355</v>
      </c>
      <c r="L249" s="17">
        <f>MAX(Tabla13[[#This Row],[EC50 fish]:[EC50 daphnia]])*100</f>
        <v>18000</v>
      </c>
      <c r="M249" s="17" t="s">
        <v>34</v>
      </c>
      <c r="N249" s="15" t="s">
        <v>34</v>
      </c>
      <c r="O249" s="137">
        <f>MAX(Tabla13[[#This Row],[EC50 fish]:[EC50 daphnia]])</f>
        <v>180</v>
      </c>
      <c r="P249" s="138">
        <v>616.69325249999997</v>
      </c>
      <c r="Q249" s="139">
        <f>MAX(Tabla13[[#This Row],[Needed amount of chemical (g); Ruben Leitat calculations]:[Needed amount of chemical (g); Stefan UFZ calculations]])</f>
        <v>616.69325249999997</v>
      </c>
      <c r="R249" s="17"/>
      <c r="S249" s="17">
        <v>200</v>
      </c>
      <c r="T249" s="17" t="s">
        <v>1915</v>
      </c>
      <c r="U249" s="17" t="s">
        <v>1875</v>
      </c>
      <c r="V249" s="17" t="s">
        <v>2356</v>
      </c>
      <c r="W249" s="17" t="s">
        <v>2279</v>
      </c>
      <c r="X249" s="17">
        <v>1</v>
      </c>
    </row>
    <row r="250" spans="1:24" s="135" customFormat="1" ht="60" customHeight="1">
      <c r="A250" s="10" t="str">
        <f>Tabla1[[#This Row],[Compound]]</f>
        <v>Colchicine</v>
      </c>
      <c r="B250" s="136" t="str">
        <f>Tabla1[[#This Row],[Prec.Tox code]]</f>
        <v>PTX102</v>
      </c>
      <c r="C250" s="17" t="str">
        <f>Tabla1[[#This Row],[Formula]]</f>
        <v>C22H25NO6</v>
      </c>
      <c r="D250" s="17" t="str">
        <f>Tabla1[[#This Row],[CAS number]]</f>
        <v>64-86-8</v>
      </c>
      <c r="E250" s="2" t="str">
        <f>Tabla1[[#This Row],[Storage conditions]]</f>
        <v>Room temperature
Light sensitive</v>
      </c>
      <c r="F250" s="17">
        <f>Tabla1[[#This Row],[Solubility (DMSO)]]</f>
        <v>0</v>
      </c>
      <c r="G250" s="17" t="str">
        <f>Tabla1[[#This Row],[Solubility (H2O)]]</f>
        <v>45 g/L</v>
      </c>
      <c r="H250" s="17">
        <f>Tabla1[[#This Row],[EC50 fish]]</f>
        <v>90</v>
      </c>
      <c r="I250" s="17" t="str">
        <f>Tabla1[[#This Row],[EC50 daphnia]]</f>
        <v>?</v>
      </c>
      <c r="J250" s="13" t="s">
        <v>2357</v>
      </c>
      <c r="K250" s="142" t="s">
        <v>2261</v>
      </c>
      <c r="L250" s="17">
        <f>MAX(Tabla13[[#This Row],[EC50 fish]:[EC50 daphnia]])*100</f>
        <v>9000</v>
      </c>
      <c r="M250" s="17" t="s">
        <v>34</v>
      </c>
      <c r="N250" s="15" t="s">
        <v>34</v>
      </c>
      <c r="O250" s="141">
        <v>39.944299999999998</v>
      </c>
      <c r="P250" s="141">
        <v>0.19972149999999997</v>
      </c>
      <c r="Q250" s="139">
        <f>MAX(Tabla13[[#This Row],[Needed amount of chemical (g); Ruben Leitat calculations]:[Needed amount of chemical (g); Stefan UFZ calculations]])</f>
        <v>39.944299999999998</v>
      </c>
      <c r="R250" s="2" t="s">
        <v>1835</v>
      </c>
      <c r="S250" s="17">
        <v>5</v>
      </c>
      <c r="T250" s="17" t="s">
        <v>1825</v>
      </c>
      <c r="U250" s="17" t="s">
        <v>1875</v>
      </c>
      <c r="V250" s="17" t="s">
        <v>2358</v>
      </c>
      <c r="W250" s="17" t="s">
        <v>2275</v>
      </c>
      <c r="X250" s="17">
        <v>1</v>
      </c>
    </row>
    <row r="251" spans="1:24" s="135" customFormat="1" ht="60" customHeight="1">
      <c r="A251" s="10" t="str">
        <f>Tabla1[[#This Row],[Compound]]</f>
        <v>Aspartame</v>
      </c>
      <c r="B251" s="136" t="str">
        <f>Tabla1[[#This Row],[Prec.Tox code]]</f>
        <v>PTX103</v>
      </c>
      <c r="C251" s="17" t="str">
        <f>Tabla1[[#This Row],[Formula]]</f>
        <v>C14H18N2O5</v>
      </c>
      <c r="D251" s="17" t="str">
        <f>Tabla1[[#This Row],[CAS number]]</f>
        <v>22839-47-0</v>
      </c>
      <c r="E251" s="2" t="str">
        <f>Tabla1[[#This Row],[Storage conditions]]</f>
        <v>Room temperature
2-8 °C</v>
      </c>
      <c r="F251" s="17">
        <f>Tabla1[[#This Row],[Solubility (DMSO)]]</f>
        <v>0</v>
      </c>
      <c r="G251" s="17" t="str">
        <f>Tabla1[[#This Row],[Solubility (H2O)]]</f>
        <v>'Sparingly soluble'</v>
      </c>
      <c r="H251" s="17">
        <f>Tabla1[[#This Row],[EC50 fish]]</f>
        <v>10000</v>
      </c>
      <c r="I251" s="17" t="str">
        <f>Tabla1[[#This Row],[EC50 daphnia]]</f>
        <v>?</v>
      </c>
      <c r="J251" s="13" t="s">
        <v>2359</v>
      </c>
      <c r="K251" s="142" t="s">
        <v>2360</v>
      </c>
      <c r="L251" s="17">
        <f>MAX(Tabla13[[#This Row],[EC50 fish]:[EC50 daphnia]])*100</f>
        <v>1000000</v>
      </c>
      <c r="M251" s="17" t="s">
        <v>34</v>
      </c>
      <c r="N251" s="15" t="s">
        <v>34</v>
      </c>
      <c r="O251" s="141">
        <v>2.9430000000000001</v>
      </c>
      <c r="P251" s="141">
        <v>1.4715000000000001E-2</v>
      </c>
      <c r="Q251" s="139">
        <f>MAX(Tabla13[[#This Row],[Needed amount of chemical (g); Ruben Leitat calculations]:[Needed amount of chemical (g); Stefan UFZ calculations]])</f>
        <v>2.9430000000000001</v>
      </c>
      <c r="R251" s="2" t="s">
        <v>1835</v>
      </c>
      <c r="S251" s="17">
        <v>1000</v>
      </c>
      <c r="T251" s="17" t="s">
        <v>1802</v>
      </c>
      <c r="U251" s="17" t="s">
        <v>1802</v>
      </c>
      <c r="V251" s="17" t="s">
        <v>2361</v>
      </c>
      <c r="W251" s="17" t="s">
        <v>2362</v>
      </c>
      <c r="X251" s="17">
        <v>1</v>
      </c>
    </row>
    <row r="252" spans="1:24" s="135" customFormat="1" ht="60" customHeight="1">
      <c r="A252" s="10" t="str">
        <f>Tabla1[[#This Row],[Compound]]</f>
        <v>5-Fluorouracil</v>
      </c>
      <c r="B252" s="136" t="str">
        <f>Tabla1[[#This Row],[Prec.Tox code]]</f>
        <v>PTX104</v>
      </c>
      <c r="C252" s="17" t="str">
        <f>Tabla1[[#This Row],[Formula]]</f>
        <v>C4H3FN2O2</v>
      </c>
      <c r="D252" s="17" t="str">
        <f>Tabla1[[#This Row],[CAS number]]</f>
        <v>51-21-8</v>
      </c>
      <c r="E252" s="2" t="str">
        <f>Tabla1[[#This Row],[Storage conditions]]</f>
        <v>Room temperature
2-8 °C</v>
      </c>
      <c r="F252" s="17">
        <f>Tabla1[[#This Row],[Solubility (DMSO)]]</f>
        <v>0</v>
      </c>
      <c r="G252" s="17" t="str">
        <f>Tabla1[[#This Row],[Solubility (H2O)]]</f>
        <v>10 g/L</v>
      </c>
      <c r="H252" s="17">
        <f>Tabla1[[#This Row],[EC50 fish]]</f>
        <v>1000</v>
      </c>
      <c r="I252" s="17">
        <f>Tabla1[[#This Row],[EC50 daphnia]]</f>
        <v>319</v>
      </c>
      <c r="J252" s="13" t="s">
        <v>2363</v>
      </c>
      <c r="K252" s="142" t="s">
        <v>2364</v>
      </c>
      <c r="L252" s="17">
        <f>MAX(Tabla13[[#This Row],[EC50 fish]:[EC50 daphnia]])*100</f>
        <v>100000</v>
      </c>
      <c r="M252" s="17" t="s">
        <v>34</v>
      </c>
      <c r="N252" s="15" t="s">
        <v>34</v>
      </c>
      <c r="O252" s="137">
        <f>MAX(Tabla13[[#This Row],[EC50 fish]:[EC50 daphnia]])</f>
        <v>1000</v>
      </c>
      <c r="P252" s="138">
        <v>1054.8090059000001</v>
      </c>
      <c r="Q252" s="139">
        <f>MAX(Tabla13[[#This Row],[Needed amount of chemical (g); Ruben Leitat calculations]:[Needed amount of chemical (g); Stefan UFZ calculations]])</f>
        <v>1054.8090059000001</v>
      </c>
      <c r="R252" s="17"/>
      <c r="S252" s="17">
        <v>300</v>
      </c>
      <c r="T252" s="17" t="s">
        <v>1879</v>
      </c>
      <c r="U252" s="17" t="s">
        <v>1875</v>
      </c>
      <c r="V252" s="17" t="s">
        <v>2365</v>
      </c>
      <c r="W252" s="17" t="s">
        <v>2279</v>
      </c>
      <c r="X252" s="17">
        <v>3</v>
      </c>
    </row>
    <row r="253" spans="1:24" s="135" customFormat="1" ht="60" customHeight="1">
      <c r="A253" s="10" t="str">
        <f>Tabla1[[#This Row],[Compound]]</f>
        <v>Methotrexate (hydrate)</v>
      </c>
      <c r="B253" s="136" t="str">
        <f>Tabla1[[#This Row],[Prec.Tox code]]</f>
        <v>PTX105</v>
      </c>
      <c r="C253" s="17" t="str">
        <f>Tabla1[[#This Row],[Formula]]</f>
        <v>C20H22N8O5·xH2O</v>
      </c>
      <c r="D253" s="17" t="str">
        <f>Tabla1[[#This Row],[CAS number]]</f>
        <v>59-05-2
(133073-73-1)</v>
      </c>
      <c r="E253" s="2" t="str">
        <f>Tabla1[[#This Row],[Storage conditions]]</f>
        <v>-20 °C</v>
      </c>
      <c r="F253" s="17">
        <f>Tabla1[[#This Row],[Solubility (DMSO)]]</f>
        <v>0</v>
      </c>
      <c r="G253" s="17" t="str">
        <f>Tabla1[[#This Row],[Solubility (H2O)]]</f>
        <v>?</v>
      </c>
      <c r="H253" s="17">
        <f>Tabla1[[#This Row],[EC50 fish]]</f>
        <v>85</v>
      </c>
      <c r="I253" s="17">
        <f>Tabla1[[#This Row],[EC50 daphnia]]</f>
        <v>1000</v>
      </c>
      <c r="J253" s="13" t="s">
        <v>2366</v>
      </c>
      <c r="K253" s="142" t="s">
        <v>2367</v>
      </c>
      <c r="L253" s="17">
        <f>MAX(Tabla13[[#This Row],[EC50 fish]:[EC50 daphnia]])*100</f>
        <v>100000</v>
      </c>
      <c r="M253" s="17" t="s">
        <v>34</v>
      </c>
      <c r="N253" s="15" t="s">
        <v>34</v>
      </c>
      <c r="O253" s="141">
        <v>45.444000000000003</v>
      </c>
      <c r="P253" s="141">
        <v>0.22722000000000001</v>
      </c>
      <c r="Q253" s="139">
        <f>MAX(Tabla13[[#This Row],[Needed amount of chemical (g); Ruben Leitat calculations]:[Needed amount of chemical (g); Stefan UFZ calculations]])</f>
        <v>45.444000000000003</v>
      </c>
      <c r="R253" s="2" t="s">
        <v>1835</v>
      </c>
      <c r="S253" s="17">
        <v>5</v>
      </c>
      <c r="T253" s="17" t="s">
        <v>2301</v>
      </c>
      <c r="U253" s="17" t="s">
        <v>2301</v>
      </c>
      <c r="V253" s="17" t="s">
        <v>2368</v>
      </c>
      <c r="W253" s="17" t="s">
        <v>2275</v>
      </c>
      <c r="X253" s="17">
        <v>1</v>
      </c>
    </row>
    <row r="254" spans="1:24" s="135" customFormat="1" ht="60" customHeight="1">
      <c r="A254" s="10" t="str">
        <f>Tabla1[[#This Row],[Compound]]</f>
        <v>Bromodeoxyuridine</v>
      </c>
      <c r="B254" s="136" t="str">
        <f>Tabla1[[#This Row],[Prec.Tox code]]</f>
        <v>PTX106</v>
      </c>
      <c r="C254" s="17" t="str">
        <f>Tabla1[[#This Row],[Formula]]</f>
        <v>C9H11BrN2O5</v>
      </c>
      <c r="D254" s="17" t="str">
        <f>Tabla1[[#This Row],[CAS number]]</f>
        <v>59-14-3</v>
      </c>
      <c r="E254" s="2" t="str">
        <f>Tabla1[[#This Row],[Storage conditions]]</f>
        <v>-20 °C</v>
      </c>
      <c r="F254" s="17">
        <f>Tabla1[[#This Row],[Solubility (DMSO)]]</f>
        <v>0</v>
      </c>
      <c r="G254" s="17" t="str">
        <f>Tabla1[[#This Row],[Solubility (H2O)]]</f>
        <v>10 - 50 g/L</v>
      </c>
      <c r="H254" s="17" t="str">
        <f>Tabla1[[#This Row],[EC50 fish]]</f>
        <v>?</v>
      </c>
      <c r="I254" s="17" t="str">
        <f>Tabla1[[#This Row],[EC50 daphnia]]</f>
        <v>?</v>
      </c>
      <c r="J254" s="143" t="s">
        <v>2369</v>
      </c>
      <c r="K254" s="144" t="s">
        <v>2370</v>
      </c>
      <c r="L254" s="17">
        <f>MAX(Tabla13[[#This Row],[EC50 fish]:[EC50 daphnia]])*100</f>
        <v>0</v>
      </c>
      <c r="M254" s="17" t="s">
        <v>34</v>
      </c>
      <c r="N254" s="15" t="s">
        <v>34</v>
      </c>
      <c r="O254" s="141">
        <v>4.6064999999999996</v>
      </c>
      <c r="P254" s="141">
        <v>2.3032500000000001E-2</v>
      </c>
      <c r="Q254" s="139">
        <f>MAX(Tabla13[[#This Row],[Needed amount of chemical (g); Ruben Leitat calculations]:[Needed amount of chemical (g); Stefan UFZ calculations]])</f>
        <v>4.6064999999999996</v>
      </c>
      <c r="R254" s="2" t="s">
        <v>1835</v>
      </c>
      <c r="S254" s="17">
        <v>5</v>
      </c>
      <c r="T254" s="17" t="s">
        <v>1899</v>
      </c>
      <c r="U254" s="17" t="s">
        <v>1875</v>
      </c>
      <c r="V254" s="17" t="s">
        <v>2371</v>
      </c>
      <c r="W254" s="17" t="s">
        <v>2275</v>
      </c>
      <c r="X254" s="17">
        <v>1</v>
      </c>
    </row>
  </sheetData>
  <phoneticPr fontId="1" type="noConversion"/>
  <conditionalFormatting sqref="E2:E222">
    <cfRule type="containsText" dxfId="77" priority="13" operator="containsText" text="2 - 8 °C">
      <formula>NOT(ISERROR(SEARCH("2 - 8 °C",E2)))</formula>
    </cfRule>
    <cfRule type="containsText" dxfId="76" priority="14" operator="containsText" text="20 °C">
      <formula>NOT(ISERROR(SEARCH("20 °C",E2)))</formula>
    </cfRule>
  </conditionalFormatting>
  <conditionalFormatting sqref="E223">
    <cfRule type="containsText" dxfId="75" priority="11" operator="containsText" text="2 - 8 °C">
      <formula>NOT(ISERROR(SEARCH("2 - 8 °C",E223)))</formula>
    </cfRule>
    <cfRule type="containsText" dxfId="74" priority="12" operator="containsText" text="20 °C">
      <formula>NOT(ISERROR(SEARCH("20 °C",E223)))</formula>
    </cfRule>
  </conditionalFormatting>
  <conditionalFormatting sqref="E225:E254">
    <cfRule type="containsText" dxfId="73" priority="7" operator="containsText" text="2 - 8 °C">
      <formula>NOT(ISERROR(SEARCH("2 - 8 °C",E225)))</formula>
    </cfRule>
    <cfRule type="containsText" dxfId="72" priority="8" operator="containsText" text="20 °C">
      <formula>NOT(ISERROR(SEARCH("20 °C",E225)))</formula>
    </cfRule>
  </conditionalFormatting>
  <conditionalFormatting sqref="R234">
    <cfRule type="containsText" dxfId="71" priority="3" operator="containsText" text="2 - 8 °C">
      <formula>NOT(ISERROR(SEARCH("2 - 8 °C",R234)))</formula>
    </cfRule>
    <cfRule type="containsText" dxfId="70" priority="4" operator="containsText" text="20 °C">
      <formula>NOT(ISERROR(SEARCH("20 °C",R234)))</formula>
    </cfRule>
  </conditionalFormatting>
  <conditionalFormatting sqref="R225">
    <cfRule type="containsText" dxfId="69" priority="1" operator="containsText" text="2 - 8 °C">
      <formula>NOT(ISERROR(SEARCH("2 - 8 °C",R225)))</formula>
    </cfRule>
    <cfRule type="containsText" dxfId="68" priority="2" operator="containsText" text="20 °C">
      <formula>NOT(ISERROR(SEARCH("20 °C",R225)))</formula>
    </cfRule>
  </conditionalFormatting>
  <hyperlinks>
    <hyperlink ref="K225" r:id="rId1" xr:uid="{119F8A30-6EFD-40E7-B146-E2F1C432CF8F}"/>
    <hyperlink ref="K226" r:id="rId2" xr:uid="{142F8AD4-A113-4DFA-9A65-C3E64D096BCC}"/>
    <hyperlink ref="K227" r:id="rId3" xr:uid="{3AA85BF1-99E0-453B-A9B6-ED426ABF6C22}"/>
    <hyperlink ref="K228" r:id="rId4" xr:uid="{B2880BC3-A3ED-4DC1-8557-AB24957A896A}"/>
    <hyperlink ref="K230" r:id="rId5" xr:uid="{27FF743A-1C2F-49B6-B917-98D803A70055}"/>
    <hyperlink ref="K231" r:id="rId6" xr:uid="{2CCBBF47-48FC-47BE-A97A-6356B8C617A8}"/>
    <hyperlink ref="K232" r:id="rId7" xr:uid="{A83D103F-3105-486C-A5C8-F0D95F950DBF}"/>
    <hyperlink ref="K236" r:id="rId8" xr:uid="{77C13C61-8BFC-4E98-8AE8-F215D789FFCB}"/>
    <hyperlink ref="K237" r:id="rId9" xr:uid="{D3C0E2BD-56FD-4CC9-AC28-0B78A2F98F28}"/>
    <hyperlink ref="K239" r:id="rId10" xr:uid="{22EA1034-7B0F-46B0-BA99-0DD8F379E298}"/>
    <hyperlink ref="K240" r:id="rId11" xr:uid="{690B7FD3-A00F-4599-B0F7-A361F1703B07}"/>
    <hyperlink ref="K241" r:id="rId12" xr:uid="{FD9DE2C8-A9BC-42EA-B578-1CE486C2D422}"/>
    <hyperlink ref="K242" r:id="rId13" xr:uid="{09B1FCBE-0361-43D4-BEDF-A4657B87F7F5}"/>
    <hyperlink ref="K243" r:id="rId14" xr:uid="{3E3D5E9F-72F9-4BE3-A965-49EA4C75A70D}"/>
    <hyperlink ref="K245" r:id="rId15" xr:uid="{50FA5008-8094-44BC-B68F-897A5C28FFF5}"/>
    <hyperlink ref="K246" r:id="rId16" xr:uid="{C8FFDEFE-90A0-4D97-A72E-78843C0EBC4B}"/>
    <hyperlink ref="K247" r:id="rId17" xr:uid="{81358FD1-B4E2-44A2-896F-7F2B953B2A12}"/>
    <hyperlink ref="K248" r:id="rId18" xr:uid="{A5D4C89F-F105-4F85-8F64-47EBBAD18BE4}"/>
    <hyperlink ref="K249" r:id="rId19" xr:uid="{B24E46F6-00C7-450E-82F3-EA49DA3C9CA7}"/>
    <hyperlink ref="K244" r:id="rId20" xr:uid="{F2D413CA-5DE1-49AD-A1D4-AF9B2A275D43}"/>
    <hyperlink ref="K233" r:id="rId21" xr:uid="{095E6CB1-BCF5-46E9-A6FE-0E5EE0D99945}"/>
    <hyperlink ref="K234" r:id="rId22" xr:uid="{E9AFA802-6BC0-453C-B3E1-5C09680B7CF0}"/>
    <hyperlink ref="K250" r:id="rId23" xr:uid="{EF0FBB50-5AEF-4239-8F9A-DC017BDDBC24}"/>
    <hyperlink ref="K251" r:id="rId24" xr:uid="{1E7FA3EB-88C1-498E-A896-C550BF57F919}"/>
    <hyperlink ref="K252" r:id="rId25" xr:uid="{6560AE27-AEFA-4B37-A9B1-914384F65E8B}"/>
    <hyperlink ref="K235" r:id="rId26" xr:uid="{4DF8DD9B-7875-4673-86F0-8CB72AC802B6}"/>
    <hyperlink ref="K254" r:id="rId27" xr:uid="{E1EF4024-9798-4895-B740-4CA2A7F57BF4}"/>
    <hyperlink ref="K253" r:id="rId28" xr:uid="{69EFB522-33C0-4C23-8256-81E2D18C3804}"/>
  </hyperlinks>
  <pageMargins left="0.7" right="0.7" top="0.75" bottom="0.75" header="0.3" footer="0.3"/>
  <pageSetup paperSize="9" orientation="portrait" r:id="rId29"/>
  <legacyDrawing r:id="rId30"/>
  <tableParts count="1">
    <tablePart r:id="rId3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24D3-EBAE-4269-B16E-F3FE0C98FD1F}">
  <dimension ref="A1"/>
  <sheetViews>
    <sheetView workbookViewId="0"/>
  </sheetViews>
  <sheetFormatPr defaultColWidth="11.42578125"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CB0F-CEB8-4B3C-B95B-BD2A1E50D5CA}">
  <dimension ref="A1:Y254"/>
  <sheetViews>
    <sheetView zoomScale="55" zoomScaleNormal="55" workbookViewId="0">
      <pane xSplit="2" ySplit="1" topLeftCell="C220" activePane="bottomRight" state="frozen"/>
      <selection pane="bottomRight" activeCell="J228" sqref="J228"/>
      <selection pane="bottomLeft" activeCell="A2" sqref="A2"/>
      <selection pane="topRight" activeCell="C1" sqref="C1"/>
    </sheetView>
  </sheetViews>
  <sheetFormatPr defaultColWidth="11.5703125" defaultRowHeight="15"/>
  <cols>
    <col min="1" max="1" width="39.140625" style="12" customWidth="1"/>
    <col min="2" max="2" width="14.7109375" style="1" customWidth="1"/>
    <col min="3" max="3" width="13.28515625" style="1" bestFit="1" customWidth="1"/>
    <col min="4" max="4" width="15.42578125" style="1" customWidth="1"/>
    <col min="5" max="5" width="13.42578125" style="1" customWidth="1"/>
    <col min="6" max="6" width="12.85546875" style="1" customWidth="1"/>
    <col min="7" max="7" width="17.28515625" style="1" customWidth="1"/>
    <col min="8" max="8" width="15.5703125" customWidth="1"/>
    <col min="9" max="9" width="15.42578125" customWidth="1"/>
    <col min="10" max="11" width="14.7109375" style="1" customWidth="1"/>
    <col min="12" max="12" width="18.42578125" style="61" customWidth="1"/>
    <col min="13" max="13" width="19.42578125" style="85" customWidth="1"/>
    <col min="14" max="14" width="14.28515625" customWidth="1"/>
    <col min="15" max="15" width="13.28515625" style="76" customWidth="1"/>
    <col min="16" max="16" width="13.28515625" style="73" customWidth="1"/>
    <col min="17" max="17" width="13.28515625" style="81" customWidth="1"/>
    <col min="18" max="18" width="26" style="68" customWidth="1"/>
    <col min="19" max="19" width="24.85546875" style="1" customWidth="1"/>
    <col min="20" max="21" width="20.85546875" style="1" customWidth="1"/>
    <col min="22" max="23" width="12.7109375" style="104" customWidth="1"/>
    <col min="24" max="24" width="18.5703125" style="104" customWidth="1"/>
    <col min="25" max="25" width="15.5703125" style="104" customWidth="1"/>
    <col min="26" max="16384" width="11.5703125" style="1"/>
  </cols>
  <sheetData>
    <row r="1" spans="1:25" s="2" customFormat="1" ht="69" customHeight="1">
      <c r="A1" s="10" t="s">
        <v>0</v>
      </c>
      <c r="B1" s="2" t="s">
        <v>1</v>
      </c>
      <c r="C1" s="2" t="s">
        <v>4</v>
      </c>
      <c r="D1" s="2" t="s">
        <v>2372</v>
      </c>
      <c r="E1" s="2" t="s">
        <v>2373</v>
      </c>
      <c r="F1" s="2" t="s">
        <v>2374</v>
      </c>
      <c r="G1" s="2" t="s">
        <v>2375</v>
      </c>
      <c r="H1" s="2" t="s">
        <v>5</v>
      </c>
      <c r="I1" s="2" t="s">
        <v>6</v>
      </c>
      <c r="J1" s="2" t="s">
        <v>2376</v>
      </c>
      <c r="K1" s="2" t="s">
        <v>2377</v>
      </c>
      <c r="L1" s="21" t="s">
        <v>2378</v>
      </c>
      <c r="M1" s="82" t="s">
        <v>2379</v>
      </c>
      <c r="N1" s="74" t="s">
        <v>2380</v>
      </c>
      <c r="O1" s="69" t="s">
        <v>2381</v>
      </c>
      <c r="P1" s="77" t="s">
        <v>2382</v>
      </c>
      <c r="Q1" s="30" t="s">
        <v>2383</v>
      </c>
      <c r="R1" s="2" t="s">
        <v>1793</v>
      </c>
      <c r="S1" s="2" t="s">
        <v>12</v>
      </c>
      <c r="T1" s="2" t="s">
        <v>13</v>
      </c>
      <c r="U1" s="2" t="s">
        <v>2384</v>
      </c>
      <c r="V1" s="100" t="s">
        <v>2385</v>
      </c>
      <c r="W1" s="100" t="s">
        <v>2386</v>
      </c>
      <c r="X1" s="100" t="s">
        <v>2387</v>
      </c>
      <c r="Y1" s="100" t="s">
        <v>2388</v>
      </c>
    </row>
    <row r="2" spans="1:25" s="2" customFormat="1" ht="59.45" customHeight="1">
      <c r="A2" s="65" t="s">
        <v>23</v>
      </c>
      <c r="B2" s="11"/>
      <c r="L2" s="21"/>
      <c r="M2" s="82"/>
      <c r="N2" s="74"/>
      <c r="O2" s="69"/>
      <c r="P2" s="30"/>
      <c r="Q2" s="30"/>
      <c r="V2" s="100"/>
      <c r="W2" s="100"/>
      <c r="X2" s="100"/>
      <c r="Y2" s="100"/>
    </row>
    <row r="3" spans="1:25" s="2" customFormat="1" ht="52.9" customHeight="1">
      <c r="A3" s="11" t="s">
        <v>24</v>
      </c>
      <c r="B3" s="10" t="str">
        <f>Tabla13[[#This Row],[Prec.Tox code]]</f>
        <v>PTX0001.1 - D1
New: PTX001</v>
      </c>
      <c r="C3" s="2" t="str">
        <f>Tabla1[[#This Row],[CAS number]]</f>
        <v>10108-64-2</v>
      </c>
      <c r="D3" s="2" t="s">
        <v>2389</v>
      </c>
      <c r="E3" s="2">
        <f>Tabla13[[#This Row],['[max.'] to reach 100% mortality (mg/L)]]/1000</f>
        <v>3.5999999999999995E-3</v>
      </c>
      <c r="F3" s="2" t="s">
        <v>59</v>
      </c>
      <c r="G3" s="2">
        <f>MAX(Tabla134[[#This Row],['[max.'] to reach 100% mortality (g/L) Leitat]:['[max.'] to reach baseline toxicity (g/L) UFZ]])*1000</f>
        <v>3.5999999999999996</v>
      </c>
      <c r="H3" s="2" t="str">
        <f>Tabla1[[#This Row],[Solubility (DMSO)]]</f>
        <v>18 g/100 g (25 °C)</v>
      </c>
      <c r="I3" s="2" t="str">
        <f>Tabla1[[#This Row],[Solubility (H2O)]]</f>
        <v>457 g/l at 20 °C</v>
      </c>
      <c r="J3" s="2" t="s">
        <v>2390</v>
      </c>
      <c r="K3" s="2" t="s">
        <v>34</v>
      </c>
      <c r="L3" s="21">
        <v>0.5</v>
      </c>
      <c r="M3" s="83">
        <f>Tabla1[[#This Row],[(exempted g or ml)]]</f>
        <v>30</v>
      </c>
      <c r="N3" s="87">
        <f>Tabla134[[#This Row],[Proposed stock volume (per partner; ml -or g-)]]*6</f>
        <v>3</v>
      </c>
      <c r="O3" s="86">
        <f>Tabla13[[#This Row],[Total amount to be purchased (g or ml)]]</f>
        <v>5</v>
      </c>
      <c r="P3" s="78">
        <f>Tabla13[[#This Row],[Needed amount of chemical (g); Ruben Leitat calculations]]</f>
        <v>2.1599999999999998E-2</v>
      </c>
      <c r="Q3" s="78" t="str">
        <f>Tabla13[[#This Row],[Needed amount of chemical (g); Stefan UFZ calculations]]</f>
        <v>?</v>
      </c>
      <c r="R3" s="2" t="s">
        <v>2391</v>
      </c>
      <c r="S3" s="2" t="str">
        <f>Tabla13[[#This Row],[EC50 fish]]</f>
        <v>flow-through test LC50 - Pimephales promelas (fathead minnow) - 1.500 μg/l - 96 h</v>
      </c>
      <c r="T3" s="2" t="str">
        <f>Tabla13[[#This Row],[EC50 daphnia]]</f>
        <v>EC50 - 0,036 mg/l - 48 h</v>
      </c>
      <c r="V3" s="100"/>
      <c r="W3" s="100"/>
      <c r="X3" s="100"/>
      <c r="Y3" s="100"/>
    </row>
    <row r="4" spans="1:25" s="2" customFormat="1" ht="45">
      <c r="A4" s="11" t="s">
        <v>39</v>
      </c>
      <c r="B4" s="10" t="str">
        <f>Tabla13[[#This Row],[Prec.Tox code]]</f>
        <v>PTX0002.1 - F1 
New: PTX002</v>
      </c>
      <c r="C4" s="2" t="str">
        <f>Tabla1[[#This Row],[CAS number]]</f>
        <v>13194-48-4</v>
      </c>
      <c r="D4" s="2" t="s">
        <v>2392</v>
      </c>
      <c r="E4" s="2">
        <f>Tabla13[[#This Row],['[max.'] to reach 100% mortality (mg/L)]]/1000</f>
        <v>6.4000000000000001E-2</v>
      </c>
      <c r="F4" s="2" t="s">
        <v>59</v>
      </c>
      <c r="G4" s="2">
        <f>MAX(Tabla134[[#This Row],['[max.'] to reach 100% mortality (g/L) Leitat]:['[max.'] to reach baseline toxicity (g/L) UFZ]])*1000</f>
        <v>64</v>
      </c>
      <c r="H4" s="2" t="str">
        <f>Tabla1[[#This Row],[Solubility (DMSO)]]</f>
        <v>5 mg/mL</v>
      </c>
      <c r="I4" s="2" t="str">
        <f>Tabla1[[#This Row],[Solubility (H2O)]]</f>
        <v>insoluble</v>
      </c>
      <c r="J4" s="2" t="s">
        <v>2393</v>
      </c>
      <c r="K4" s="2" t="s">
        <v>34</v>
      </c>
      <c r="L4" s="21">
        <v>1.4999999999999999E-2</v>
      </c>
      <c r="M4" s="83" t="str">
        <f>Tabla1[[#This Row],[(exempted g or ml)]]</f>
        <v>Not regulated; any amount limit in internal packages</v>
      </c>
      <c r="N4" s="74">
        <f>Tabla134[[#This Row],[Proposed stock volume (per partner; ml -or g-)]]*6</f>
        <v>0.09</v>
      </c>
      <c r="O4" s="71">
        <f>Tabla13[[#This Row],[Total amount to be purchased (g or ml)]]</f>
        <v>0.1</v>
      </c>
      <c r="P4" s="78">
        <f>Tabla13[[#This Row],[Needed amount of chemical (g); Ruben Leitat calculations]]</f>
        <v>0.38400000000000001</v>
      </c>
      <c r="Q4" s="78" t="str">
        <f>Tabla13[[#This Row],[Needed amount of chemical (g); Stefan UFZ calculations]]</f>
        <v>?</v>
      </c>
      <c r="R4" s="2" t="s">
        <v>2394</v>
      </c>
      <c r="S4" s="2" t="str">
        <f>Tabla13[[#This Row],[EC50 fish]]</f>
        <v>LC50 - Cyprinus carpio (Carp) - 0,64 mg/l - 96,0 h</v>
      </c>
      <c r="T4" s="2" t="str">
        <f>Tabla13[[#This Row],[EC50 daphnia]]</f>
        <v>EC50 - 0,09 mg/l - 48 h</v>
      </c>
      <c r="V4" s="100"/>
      <c r="W4" s="100"/>
      <c r="X4" s="100"/>
      <c r="Y4" s="100"/>
    </row>
    <row r="5" spans="1:25" s="2" customFormat="1" ht="45">
      <c r="A5" s="11" t="s">
        <v>53</v>
      </c>
      <c r="B5" s="10" t="str">
        <f>Tabla13[[#This Row],[Prec.Tox code]]</f>
        <v>PTX0003.1- D1
New: PTX003</v>
      </c>
      <c r="C5" s="2" t="str">
        <f>Tabla1[[#This Row],[CAS number]]</f>
        <v>50892-23-4</v>
      </c>
      <c r="D5" s="2" t="s">
        <v>2389</v>
      </c>
      <c r="E5" s="2">
        <f>Tabla13[[#This Row],['[max.'] to reach 100% mortality (mg/L)]]/1000</f>
        <v>3.5999999999999995E-3</v>
      </c>
      <c r="F5" s="2" t="s">
        <v>59</v>
      </c>
      <c r="G5" s="2">
        <f>MAX(Tabla134[[#This Row],['[max.'] to reach 100% mortality (g/L) Leitat]:['[max.'] to reach baseline toxicity (g/L) UFZ]])*1000</f>
        <v>3.5999999999999996</v>
      </c>
      <c r="H5" s="2" t="str">
        <f>Tabla1[[#This Row],[Solubility (DMSO)]]</f>
        <v>~16,5 g/L  (also 40 g/l DMSO from sigma)</v>
      </c>
      <c r="I5" s="2" t="str">
        <f>Tabla1[[#This Row],[Solubility (H2O)]]</f>
        <v xml:space="preserve">~40  mg/L </v>
      </c>
      <c r="J5" s="2" t="s">
        <v>2390</v>
      </c>
      <c r="K5" s="2" t="s">
        <v>34</v>
      </c>
      <c r="L5" s="21">
        <v>0.01</v>
      </c>
      <c r="M5" s="83" t="str">
        <f>Tabla1[[#This Row],[(exempted g or ml)]]</f>
        <v>Not regulated; any amount limit in internal packages</v>
      </c>
      <c r="N5" s="74">
        <f>Tabla134[[#This Row],[Proposed stock volume (per partner; ml -or g-)]]*6</f>
        <v>0.06</v>
      </c>
      <c r="O5" s="71">
        <f>Tabla13[[#This Row],[Total amount to be purchased (g or ml)]]</f>
        <v>0.1</v>
      </c>
      <c r="P5" s="79">
        <f>Tabla13[[#This Row],[Needed amount of chemical (g); Ruben Leitat calculations]]</f>
        <v>2.1599999999999998E-2</v>
      </c>
      <c r="Q5" s="78" t="str">
        <f>Tabla13[[#This Row],[Needed amount of chemical (g); Stefan UFZ calculations]]</f>
        <v>?</v>
      </c>
      <c r="R5" s="2" t="s">
        <v>2395</v>
      </c>
      <c r="S5" s="2" t="str">
        <f>Tabla13[[#This Row],[EC50 fish]]</f>
        <v>?</v>
      </c>
      <c r="T5" s="2" t="str">
        <f>Tabla13[[#This Row],[EC50 daphnia]]</f>
        <v>?</v>
      </c>
      <c r="V5" s="100"/>
      <c r="W5" s="100"/>
      <c r="X5" s="100"/>
      <c r="Y5" s="100"/>
    </row>
    <row r="6" spans="1:25" s="5" customFormat="1" ht="37.15" customHeight="1">
      <c r="A6" s="9" t="s">
        <v>61</v>
      </c>
      <c r="B6" s="9" t="s">
        <v>34</v>
      </c>
      <c r="C6" s="5" t="s">
        <v>34</v>
      </c>
      <c r="D6" s="5" t="s">
        <v>34</v>
      </c>
      <c r="E6" s="5" t="s">
        <v>34</v>
      </c>
      <c r="F6" s="5" t="s">
        <v>34</v>
      </c>
      <c r="G6" s="5" t="s">
        <v>34</v>
      </c>
      <c r="H6" s="5" t="s">
        <v>34</v>
      </c>
      <c r="I6" s="5" t="s">
        <v>34</v>
      </c>
      <c r="J6" s="5" t="s">
        <v>34</v>
      </c>
      <c r="K6" s="2" t="s">
        <v>34</v>
      </c>
      <c r="L6" s="22" t="s">
        <v>34</v>
      </c>
      <c r="M6" s="84" t="s">
        <v>34</v>
      </c>
      <c r="N6" s="75" t="s">
        <v>34</v>
      </c>
      <c r="O6" s="72" t="s">
        <v>34</v>
      </c>
      <c r="P6" s="80" t="s">
        <v>34</v>
      </c>
      <c r="Q6" s="80" t="s">
        <v>34</v>
      </c>
      <c r="R6" s="5" t="s">
        <v>34</v>
      </c>
      <c r="S6" s="5" t="s">
        <v>34</v>
      </c>
      <c r="T6" s="5" t="s">
        <v>34</v>
      </c>
      <c r="V6" s="101"/>
      <c r="W6" s="101"/>
      <c r="X6" s="101"/>
      <c r="Y6" s="101"/>
    </row>
    <row r="7" spans="1:25" s="2" customFormat="1" ht="66" customHeight="1">
      <c r="A7" s="11" t="s">
        <v>69</v>
      </c>
      <c r="B7" s="10" t="str">
        <f>Tabla13[[#This Row],[Prec.Tox code]]</f>
        <v>PTX0004.1 - D1
New: PTX004</v>
      </c>
      <c r="C7" s="2" t="str">
        <f>Tabla1[[#This Row],[CAS number]]</f>
        <v>67-68-5</v>
      </c>
      <c r="D7" s="2" t="s">
        <v>2392</v>
      </c>
      <c r="E7" s="2">
        <f>Tabla13[[#This Row],['[max.'] to reach 100% mortality (mg/L)]]/1000</f>
        <v>2500</v>
      </c>
      <c r="F7" s="2" t="s">
        <v>59</v>
      </c>
      <c r="G7" s="2">
        <f>MAX(Tabla134[[#This Row],['[max.'] to reach 100% mortality (g/L) Leitat]:['[max.'] to reach baseline toxicity (g/L) UFZ]])*1000</f>
        <v>2500000</v>
      </c>
      <c r="H7" s="2" t="str">
        <f>Tabla1[[#This Row],[Solubility (DMSO)]]</f>
        <v>not applicable</v>
      </c>
      <c r="I7" s="2" t="str">
        <f>Tabla1[[#This Row],[Solubility (H2O)]]</f>
        <v>Completely miscible</v>
      </c>
      <c r="J7" s="2" t="s">
        <v>2393</v>
      </c>
      <c r="K7" s="2" t="s">
        <v>34</v>
      </c>
      <c r="L7" s="21">
        <v>4</v>
      </c>
      <c r="M7" s="83" t="str">
        <f>Tabla1[[#This Row],[(exempted g or ml)]]</f>
        <v>Not regulated; any amount limit in internal packages</v>
      </c>
      <c r="N7" s="74">
        <f>Tabla134[[#This Row],[Proposed stock volume (per partner; ml -or g-)]]*6</f>
        <v>24</v>
      </c>
      <c r="O7" s="70">
        <f>Tabla13[[#This Row],[Total amount to be purchased (g or ml)]]</f>
        <v>2500</v>
      </c>
      <c r="P7" s="78">
        <f>Tabla13[[#This Row],[Needed amount of chemical (g); Ruben Leitat calculations]]</f>
        <v>15000</v>
      </c>
      <c r="Q7" s="78" t="str">
        <f>Tabla13[[#This Row],[Needed amount of chemical (g); Stefan UFZ calculations]]</f>
        <v>?</v>
      </c>
      <c r="R7" s="2" t="s">
        <v>2396</v>
      </c>
      <c r="S7" s="2" t="str">
        <f>Tabla13[[#This Row],[EC50 fish]]</f>
        <v>static test LC50 - Danio rerio (zebra fish) - &gt; 25.000 mg/l - 96 h
(OECD Test Guideline 203)</v>
      </c>
      <c r="T7" s="2" t="str">
        <f>Tabla13[[#This Row],[EC50 daphnia]]</f>
        <v>EC50 - 24.600 mg/l - 48 h</v>
      </c>
      <c r="V7" s="100"/>
      <c r="W7" s="100"/>
      <c r="X7" s="100"/>
      <c r="Y7" s="100"/>
    </row>
    <row r="8" spans="1:25" ht="60">
      <c r="A8" s="10" t="s">
        <v>79</v>
      </c>
      <c r="B8" s="10" t="str">
        <f>Tabla13[[#This Row],[Prec.Tox code]]</f>
        <v>PTX0005.1 - G1
New: PTX005</v>
      </c>
      <c r="C8" s="2" t="str">
        <f>Tabla1[[#This Row],[CAS number]]</f>
        <v>1327-53-3</v>
      </c>
      <c r="D8" s="2" t="s">
        <v>2397</v>
      </c>
      <c r="E8" s="2">
        <f>Tabla13[[#This Row],['[max.'] to reach 100% mortality (mg/L)]]/1000</f>
        <v>1.26</v>
      </c>
      <c r="F8" s="2" t="s">
        <v>59</v>
      </c>
      <c r="G8" s="2">
        <f>MAX(Tabla134[[#This Row],['[max.'] to reach 100% mortality (g/L) Leitat]:['[max.'] to reach baseline toxicity (g/L) UFZ]])*1000</f>
        <v>1260</v>
      </c>
      <c r="H8" s="2" t="str">
        <f>Tabla1[[#This Row],[Solubility (DMSO)]]</f>
        <v>?</v>
      </c>
      <c r="I8" s="2" t="str">
        <f>Tabla1[[#This Row],[Solubility (H2O)]]</f>
        <v>17,8 g/l at 20 °C</v>
      </c>
      <c r="J8" s="2" t="s">
        <v>2390</v>
      </c>
      <c r="K8" s="2" t="s">
        <v>34</v>
      </c>
      <c r="L8" s="21">
        <v>1</v>
      </c>
      <c r="M8" s="83">
        <f>Tabla1[[#This Row],[(exempted g or ml)]]</f>
        <v>1</v>
      </c>
      <c r="N8" s="74">
        <f>Tabla134[[#This Row],[Proposed stock volume (per partner; ml -or g-)]]*6</f>
        <v>6</v>
      </c>
      <c r="O8" s="70">
        <f>Tabla13[[#This Row],[Total amount to be purchased (g or ml)]]</f>
        <v>100</v>
      </c>
      <c r="P8" s="78">
        <f>Tabla13[[#This Row],[Needed amount of chemical (g); Ruben Leitat calculations]]</f>
        <v>7.5599999999999987</v>
      </c>
      <c r="Q8" s="78" t="str">
        <f>Tabla13[[#This Row],[Needed amount of chemical (g); Stefan UFZ calculations]]</f>
        <v>?</v>
      </c>
      <c r="R8" s="2" t="s">
        <v>2398</v>
      </c>
      <c r="S8" s="2" t="str">
        <f>Tabla13[[#This Row],[EC50 fish]]</f>
        <v>flow-through test - Pimephales promelas (fathead minnow) - 12,6 mg/l - 96 h</v>
      </c>
      <c r="T8" s="2" t="str">
        <f>Tabla13[[#This Row],[EC50 daphnia]]</f>
        <v>EC50 - 2.5 mg/L - 48h;  EC50 - 8.23 mg/L - 24h</v>
      </c>
      <c r="U8" s="2"/>
      <c r="V8" s="100"/>
      <c r="W8" s="100"/>
      <c r="X8" s="100"/>
      <c r="Y8" s="100"/>
    </row>
    <row r="9" spans="1:25" ht="30">
      <c r="A9" s="10" t="s">
        <v>88</v>
      </c>
      <c r="B9" s="10" t="str">
        <f>Tabla13[[#This Row],[Prec.Tox code]]</f>
        <v>PTX006</v>
      </c>
      <c r="C9" s="2" t="str">
        <f>Tabla1[[#This Row],[CAS number]]</f>
        <v>7784-46-5</v>
      </c>
      <c r="D9" s="2" t="s">
        <v>2389</v>
      </c>
      <c r="E9" s="2">
        <f>Tabla13[[#This Row],['[max.'] to reach 100% mortality (mg/L)]]/1000</f>
        <v>0.154</v>
      </c>
      <c r="F9" s="2" t="s">
        <v>59</v>
      </c>
      <c r="G9" s="2">
        <f>MAX(Tabla134[[#This Row],['[max.'] to reach 100% mortality (g/L) Leitat]:['[max.'] to reach baseline toxicity (g/L) UFZ]])*1000</f>
        <v>154</v>
      </c>
      <c r="H9" s="2" t="str">
        <f>Tabla1[[#This Row],[Solubility (DMSO)]]</f>
        <v>?</v>
      </c>
      <c r="I9" s="2" t="str">
        <f>Tabla1[[#This Row],[Solubility (H2O)]]</f>
        <v>100 g/L</v>
      </c>
      <c r="J9" s="2" t="s">
        <v>2390</v>
      </c>
      <c r="K9" s="2" t="s">
        <v>34</v>
      </c>
      <c r="L9" s="21">
        <v>1</v>
      </c>
      <c r="M9" s="83">
        <f>Tabla1[[#This Row],[(exempted g or ml)]]</f>
        <v>1</v>
      </c>
      <c r="N9" s="74">
        <f>Tabla134[[#This Row],[Proposed stock volume (per partner; ml -or g-)]]*6</f>
        <v>6</v>
      </c>
      <c r="O9" s="70">
        <f>Tabla13[[#This Row],[Total amount to be purchased (g or ml)]]</f>
        <v>100</v>
      </c>
      <c r="P9" s="78">
        <f>Tabla13[[#This Row],[Needed amount of chemical (g); Ruben Leitat calculations]]</f>
        <v>0.92400000000000004</v>
      </c>
      <c r="Q9" s="78" t="str">
        <f>Tabla13[[#This Row],[Needed amount of chemical (g); Stefan UFZ calculations]]</f>
        <v>?</v>
      </c>
      <c r="R9" s="2" t="s">
        <v>2398</v>
      </c>
      <c r="S9" s="2" t="str">
        <f>Tabla13[[#This Row],[EC50 fish]]</f>
        <v>?</v>
      </c>
      <c r="T9" s="2" t="str">
        <f>Tabla13[[#This Row],[EC50 daphnia]]</f>
        <v>EC50 - 1,54 mg/l - 48h</v>
      </c>
      <c r="U9" s="2"/>
      <c r="V9" s="100"/>
      <c r="W9" s="100"/>
      <c r="X9" s="100"/>
      <c r="Y9" s="100"/>
    </row>
    <row r="10" spans="1:25" ht="62.45" customHeight="1">
      <c r="A10" s="65" t="s">
        <v>96</v>
      </c>
      <c r="B10" s="10"/>
      <c r="C10" s="2"/>
      <c r="D10" s="2"/>
      <c r="E10" s="2"/>
      <c r="F10" s="2"/>
      <c r="G10" s="2"/>
      <c r="H10" s="2"/>
      <c r="I10" s="2"/>
      <c r="J10" s="2"/>
      <c r="K10" s="2"/>
      <c r="L10" s="21"/>
      <c r="M10" s="83"/>
      <c r="N10" s="74"/>
      <c r="O10" s="70"/>
      <c r="P10" s="78"/>
      <c r="Q10" s="78"/>
      <c r="R10" s="2"/>
      <c r="S10" s="2"/>
      <c r="T10" s="2"/>
      <c r="U10" s="2"/>
      <c r="V10" s="100"/>
      <c r="W10" s="100"/>
      <c r="X10" s="100"/>
      <c r="Y10" s="100"/>
    </row>
    <row r="11" spans="1:25" ht="75">
      <c r="A11" s="10" t="s">
        <v>97</v>
      </c>
      <c r="B11" s="10" t="str">
        <f>Tabla13[[#This Row],[Prec.Tox code]]</f>
        <v>PTX007</v>
      </c>
      <c r="C11" s="2" t="str">
        <f>Tabla1[[#This Row],[CAS number]]</f>
        <v>79-06-1</v>
      </c>
      <c r="D11" s="2" t="s">
        <v>2399</v>
      </c>
      <c r="E11" s="2">
        <f>Tabla13[[#This Row],['[max.'] to reach 100% mortality (mg/L)]]/1000</f>
        <v>9.8000000000000007</v>
      </c>
      <c r="F11" s="2">
        <f>Tabla13[[#This Row],[Needed amount of chemical (g); Stefan UFZ calculations]]/5</f>
        <v>0</v>
      </c>
      <c r="G11" s="2">
        <f>MAX(Tabla134[[#This Row],['[max.'] to reach 100% mortality (g/L) Leitat]:['[max.'] to reach baseline toxicity (g/L) UFZ]])*1000</f>
        <v>9800</v>
      </c>
      <c r="H11" s="2" t="str">
        <f>Tabla1[[#This Row],[Solubility (DMSO)]]</f>
        <v>14 g/l</v>
      </c>
      <c r="I11" s="2" t="str">
        <f>Tabla1[[#This Row],[Solubility (H2O)]]</f>
        <v>200 g/l</v>
      </c>
      <c r="J11" s="2" t="s">
        <v>2390</v>
      </c>
      <c r="K11" s="2" t="s">
        <v>34</v>
      </c>
      <c r="L11" s="21">
        <v>60</v>
      </c>
      <c r="M11" s="83">
        <f>Tabla1[[#This Row],[(exempted g or ml)]]</f>
        <v>30</v>
      </c>
      <c r="N11" s="74">
        <f>Tabla134[[#This Row],[Proposed stock volume (per partner; ml -or g-)]]*6</f>
        <v>360</v>
      </c>
      <c r="O11" s="70">
        <f>Tabla13[[#This Row],[Total amount to be purchased (g or ml)]]</f>
        <v>500</v>
      </c>
      <c r="P11" s="78">
        <f>Tabla13[[#This Row],[Needed amount of chemical (g); Ruben Leitat calculations]]</f>
        <v>58.8</v>
      </c>
      <c r="Q11" s="78">
        <f>Tabla13[[#This Row],[Needed amount of chemical (g); Stefan UFZ calculations]]</f>
        <v>0</v>
      </c>
      <c r="R11" s="2" t="s">
        <v>2400</v>
      </c>
      <c r="S11" s="2" t="str">
        <f>Tabla13[[#This Row],[EC50 fish]]</f>
        <v>static test LC50 - Oncorhynchus mykiss (rainbow trout) - 180 mg/l - 96 h (OECD Test Guideline 203)</v>
      </c>
      <c r="T11" s="2" t="str">
        <f>Tabla13[[#This Row],[EC50 daphnia]]</f>
        <v>EC50 - 98 mg/l - 48h</v>
      </c>
      <c r="U11" s="2"/>
      <c r="V11" s="100"/>
      <c r="W11" s="100"/>
      <c r="X11" s="100"/>
      <c r="Y11" s="100"/>
    </row>
    <row r="12" spans="1:25">
      <c r="A12" s="10" t="s">
        <v>109</v>
      </c>
      <c r="B12" s="10" t="str">
        <f>Tabla13[[#This Row],[Prec.Tox code]]</f>
        <v>PTX008</v>
      </c>
      <c r="C12" s="2" t="str">
        <f>Tabla1[[#This Row],[CAS number]]</f>
        <v>924-42-5</v>
      </c>
      <c r="D12" s="2" t="s">
        <v>2399</v>
      </c>
      <c r="E12" s="2">
        <f>Tabla13[[#This Row],['[max.'] to reach 100% mortality (mg/L)]]/1000</f>
        <v>89</v>
      </c>
      <c r="F12" s="2">
        <f>Tabla13[[#This Row],[Needed amount of chemical (g); Stefan UFZ calculations]]/5</f>
        <v>111.61831133474013</v>
      </c>
      <c r="G12" s="2">
        <f>MAX(Tabla134[[#This Row],['[max.'] to reach 100% mortality (g/L) Leitat]:['[max.'] to reach baseline toxicity (g/L) UFZ]])*1000</f>
        <v>111618.31133474012</v>
      </c>
      <c r="H12" s="2" t="str">
        <f>Tabla1[[#This Row],[Solubility (DMSO)]]</f>
        <v>?</v>
      </c>
      <c r="I12" s="2" t="str">
        <f>Tabla1[[#This Row],[Solubility (H2O)]]</f>
        <v>1880 g/L</v>
      </c>
      <c r="J12" s="2" t="s">
        <v>2390</v>
      </c>
      <c r="K12" s="2" t="s">
        <v>34</v>
      </c>
      <c r="L12" s="21">
        <v>100</v>
      </c>
      <c r="M12" s="83">
        <f>Tabla1[[#This Row],[(exempted g or ml)]]</f>
        <v>30</v>
      </c>
      <c r="N12" s="74">
        <f>Tabla134[[#This Row],[Proposed stock volume (per partner; ml -or g-)]]*6</f>
        <v>600</v>
      </c>
      <c r="O12" s="70">
        <f>Tabla13[[#This Row],[Total amount to be purchased (g or ml)]]</f>
        <v>1000</v>
      </c>
      <c r="P12" s="78">
        <f>Tabla13[[#This Row],[Needed amount of chemical (g); Ruben Leitat calculations]]</f>
        <v>534</v>
      </c>
      <c r="Q12" s="78">
        <f>Tabla13[[#This Row],[Needed amount of chemical (g); Stefan UFZ calculations]]</f>
        <v>558.09155667370067</v>
      </c>
      <c r="R12" s="2" t="s">
        <v>2401</v>
      </c>
      <c r="S12" s="2" t="str">
        <f>Tabla13[[#This Row],[EC50 fish]]</f>
        <v>890 mg/L</v>
      </c>
      <c r="T12" s="2" t="str">
        <f>Tabla13[[#This Row],[EC50 daphnia]]</f>
        <v>EC50 - 98 mg/l - 48h</v>
      </c>
      <c r="U12" s="2"/>
      <c r="V12" s="100"/>
      <c r="W12" s="100"/>
      <c r="X12" s="100"/>
      <c r="Y12" s="100"/>
    </row>
    <row r="13" spans="1:25" ht="30">
      <c r="A13" s="10" t="s">
        <v>120</v>
      </c>
      <c r="B13" s="10" t="str">
        <f>Tabla13[[#This Row],[Prec.Tox code]]</f>
        <v>PTX009</v>
      </c>
      <c r="C13" s="2" t="str">
        <f>Tabla1[[#This Row],[CAS number]]</f>
        <v>110-26-9</v>
      </c>
      <c r="D13" s="2" t="s">
        <v>2399</v>
      </c>
      <c r="E13" s="2">
        <f>Tabla13[[#This Row],['[max.'] to reach 100% mortality (mg/L)]]/1000</f>
        <v>100</v>
      </c>
      <c r="F13" s="2">
        <f>Tabla13[[#This Row],[Needed amount of chemical (g); Stefan UFZ calculations]]/5</f>
        <v>90.355870188973071</v>
      </c>
      <c r="G13" s="2">
        <f>MAX(Tabla134[[#This Row],['[max.'] to reach 100% mortality (g/L) Leitat]:['[max.'] to reach baseline toxicity (g/L) UFZ]])*1000</f>
        <v>100000</v>
      </c>
      <c r="H13" s="2" t="str">
        <f>Tabla1[[#This Row],[Solubility (DMSO)]]</f>
        <v>?</v>
      </c>
      <c r="I13" s="2" t="str">
        <f>Tabla1[[#This Row],[Solubility (H2O)]]</f>
        <v>34,1 g/l</v>
      </c>
      <c r="J13" s="2" t="s">
        <v>2390</v>
      </c>
      <c r="K13" s="2" t="s">
        <v>34</v>
      </c>
      <c r="L13" s="21">
        <v>82</v>
      </c>
      <c r="M13" s="83">
        <f>Tabla1[[#This Row],[(exempted g or ml)]]</f>
        <v>30</v>
      </c>
      <c r="N13" s="74">
        <f>Tabla134[[#This Row],[Proposed stock volume (per partner; ml -or g-)]]*6</f>
        <v>492</v>
      </c>
      <c r="O13" s="70">
        <f>Tabla13[[#This Row],[Total amount to be purchased (g or ml)]]</f>
        <v>500</v>
      </c>
      <c r="P13" s="78">
        <f>Tabla13[[#This Row],[Needed amount of chemical (g); Ruben Leitat calculations]]</f>
        <v>600</v>
      </c>
      <c r="Q13" s="78">
        <f>Tabla13[[#This Row],[Needed amount of chemical (g); Stefan UFZ calculations]]</f>
        <v>451.77935094486537</v>
      </c>
      <c r="R13" s="2" t="s">
        <v>2402</v>
      </c>
      <c r="S13" s="2" t="str">
        <f>Tabla13[[#This Row],[EC50 fish]]</f>
        <v>96h LC50:240 mg/L (Oryzias latipes)</v>
      </c>
      <c r="T13" s="2" t="str">
        <f>Tabla13[[#This Row],[EC50 daphnia]]</f>
        <v>EC50 - &gt;&gt;100 mg/L - 48h</v>
      </c>
      <c r="U13" s="2"/>
      <c r="V13" s="100"/>
      <c r="W13" s="100"/>
      <c r="X13" s="100"/>
      <c r="Y13" s="100"/>
    </row>
    <row r="14" spans="1:25" ht="30">
      <c r="A14" s="10" t="s">
        <v>131</v>
      </c>
      <c r="B14" s="10" t="str">
        <f>Tabla13[[#This Row],[Prec.Tox code]]</f>
        <v>PTX010</v>
      </c>
      <c r="C14" s="2" t="str">
        <f>Tabla1[[#This Row],[CAS number]]</f>
        <v>1852-16-0</v>
      </c>
      <c r="D14" s="2" t="s">
        <v>2403</v>
      </c>
      <c r="E14" s="2">
        <f>Tabla13[[#This Row],['[max.'] to reach 100% mortality (mg/L)]]/1000</f>
        <v>18</v>
      </c>
      <c r="F14" s="2">
        <f>Tabla13[[#This Row],[Needed amount of chemical (g); Stefan UFZ calculations]]/5</f>
        <v>6.2002469610406976</v>
      </c>
      <c r="G14" s="2">
        <f>MAX(Tabla134[[#This Row],['[max.'] to reach 100% mortality (g/L) Leitat]:['[max.'] to reach baseline toxicity (g/L) UFZ]])*1000</f>
        <v>18000</v>
      </c>
      <c r="H14" s="2" t="str">
        <f>Tabla1[[#This Row],[Solubility (DMSO)]]</f>
        <v>soluble?</v>
      </c>
      <c r="I14" s="2" t="str">
        <f>Tabla1[[#This Row],[Solubility (H2O)]]</f>
        <v>35,3 g/L</v>
      </c>
      <c r="J14" s="2" t="s">
        <v>2393</v>
      </c>
      <c r="K14" s="2" t="s">
        <v>34</v>
      </c>
      <c r="L14" s="21">
        <v>30</v>
      </c>
      <c r="M14" s="83">
        <f>Tabla1[[#This Row],[(exempted g or ml)]]</f>
        <v>30</v>
      </c>
      <c r="N14" s="74">
        <f>Tabla134[[#This Row],[Proposed stock volume (per partner; ml -or g-)]]*6</f>
        <v>180</v>
      </c>
      <c r="O14" s="70">
        <f>Tabla13[[#This Row],[Total amount to be purchased (g or ml)]]</f>
        <v>500</v>
      </c>
      <c r="P14" s="78">
        <f>Tabla13[[#This Row],[Needed amount of chemical (g); Ruben Leitat calculations]]</f>
        <v>108</v>
      </c>
      <c r="Q14" s="78">
        <f>Tabla13[[#This Row],[Needed amount of chemical (g); Stefan UFZ calculations]]</f>
        <v>31.001234805203488</v>
      </c>
      <c r="R14" s="2" t="s">
        <v>2404</v>
      </c>
      <c r="S14" s="2" t="str">
        <f>Tabla13[[#This Row],[EC50 fish]]</f>
        <v>Oncorhynchus mykiss, 96h, 180 mg/L</v>
      </c>
      <c r="T14" s="2" t="str">
        <f>Tabla13[[#This Row],[EC50 daphnia]]</f>
        <v>EC50 - 98 mg/l - 48h</v>
      </c>
      <c r="U14" s="2"/>
      <c r="V14" s="100"/>
      <c r="W14" s="100"/>
      <c r="X14" s="100"/>
      <c r="Y14" s="100"/>
    </row>
    <row r="15" spans="1:25" ht="60">
      <c r="A15" s="10" t="s">
        <v>140</v>
      </c>
      <c r="B15" s="10" t="str">
        <f>Tabla13[[#This Row],[Prec.Tox code]]</f>
        <v>PTX011</v>
      </c>
      <c r="C15" s="2" t="str">
        <f>Tabla1[[#This Row],[CAS number]]</f>
        <v>16669-59-3</v>
      </c>
      <c r="D15" s="2" t="s">
        <v>2405</v>
      </c>
      <c r="E15" s="2">
        <f>Tabla13[[#This Row],['[max.'] to reach 100% mortality (mg/L)]]/1000</f>
        <v>4670.7</v>
      </c>
      <c r="F15" s="2">
        <f>Tabla13[[#This Row],[Needed amount of chemical (g); Stefan UFZ calculations]]/5</f>
        <v>10.096964000925785</v>
      </c>
      <c r="G15" s="2">
        <f>MAX(Tabla134[[#This Row],['[max.'] to reach 100% mortality (g/L) Leitat]:['[max.'] to reach baseline toxicity (g/L) UFZ]])*1000</f>
        <v>4670700</v>
      </c>
      <c r="H15" s="2" t="str">
        <f>Tabla1[[#This Row],[Solubility (DMSO)]]</f>
        <v>?</v>
      </c>
      <c r="I15" s="2" t="str">
        <f>Tabla1[[#This Row],[Solubility (H2O)]]</f>
        <v>13.45 g/L
Not soluble
???</v>
      </c>
      <c r="J15" s="2" t="s">
        <v>2393</v>
      </c>
      <c r="K15" s="2" t="s">
        <v>34</v>
      </c>
      <c r="L15" s="21">
        <v>15</v>
      </c>
      <c r="M15" s="83" t="str">
        <f>Tabla1[[#This Row],[(exempted g or ml)]]</f>
        <v>Not regulated; any amount limit in internal packages</v>
      </c>
      <c r="N15" s="74">
        <f>Tabla134[[#This Row],[Proposed stock volume (per partner; ml -or g-)]]*6</f>
        <v>90</v>
      </c>
      <c r="O15" s="70">
        <f>Tabla13[[#This Row],[Total amount to be purchased (g or ml)]]</f>
        <v>100</v>
      </c>
      <c r="P15" s="78">
        <f>Tabla13[[#This Row],[Needed amount of chemical (g); Ruben Leitat calculations]]</f>
        <v>28024.199999999997</v>
      </c>
      <c r="Q15" s="78">
        <f>Tabla13[[#This Row],[Needed amount of chemical (g); Stefan UFZ calculations]]</f>
        <v>50.484820004628929</v>
      </c>
      <c r="R15" s="2" t="s">
        <v>2406</v>
      </c>
      <c r="S15" s="2" t="str">
        <f>Tabla13[[#This Row],[EC50 fish]]</f>
        <v>96h LC50:60 mg/L (Oryzias latipes)</v>
      </c>
      <c r="T15" s="2" t="str">
        <f>Tabla13[[#This Row],[EC50 daphnia]]</f>
        <v>EC50 - 46707 mg/l - 48h</v>
      </c>
      <c r="U15" s="2"/>
      <c r="V15" s="100"/>
      <c r="W15" s="100"/>
      <c r="X15" s="100"/>
      <c r="Y15" s="100"/>
    </row>
    <row r="16" spans="1:25" ht="60">
      <c r="A16" s="10" t="s">
        <v>149</v>
      </c>
      <c r="B16" s="10" t="str">
        <f>Tabla13[[#This Row],[Prec.Tox code]]</f>
        <v>PTX012</v>
      </c>
      <c r="C16" s="2" t="str">
        <f>Tabla1[[#This Row],[CAS number]]</f>
        <v>2675-94-7</v>
      </c>
      <c r="D16" s="2" t="s">
        <v>2403</v>
      </c>
      <c r="E16" s="2">
        <f>Tabla13[[#This Row],['[max.'] to reach 100% mortality (mg/L)]]/1000</f>
        <v>170.3</v>
      </c>
      <c r="F16" s="2">
        <f>Tabla13[[#This Row],[Needed amount of chemical (g); Stefan UFZ calculations]]/5</f>
        <v>12.508884056270658</v>
      </c>
      <c r="G16" s="2">
        <f>MAX(Tabla134[[#This Row],['[max.'] to reach 100% mortality (g/L) Leitat]:['[max.'] to reach baseline toxicity (g/L) UFZ]])*1000</f>
        <v>170300</v>
      </c>
      <c r="H16" s="2" t="str">
        <f>Tabla1[[#This Row],[Solubility (DMSO)]]</f>
        <v>'soluble'</v>
      </c>
      <c r="I16" s="2" t="str">
        <f>Tabla1[[#This Row],[Solubility (H2O)]]</f>
        <v>&gt; 2013,88 g/L</v>
      </c>
      <c r="J16" s="2" t="s">
        <v>2393</v>
      </c>
      <c r="K16" s="2" t="s">
        <v>34</v>
      </c>
      <c r="L16" s="21">
        <v>80</v>
      </c>
      <c r="M16" s="83" t="str">
        <f>Tabla1[[#This Row],[(exempted g or ml)]]</f>
        <v>Not regulated; any amount limit in internal packages</v>
      </c>
      <c r="N16" s="74">
        <f>Tabla134[[#This Row],[Proposed stock volume (per partner; ml -or g-)]]*6</f>
        <v>480</v>
      </c>
      <c r="O16" s="70">
        <f>Tabla13[[#This Row],[Total amount to be purchased (g or ml)]]</f>
        <v>500</v>
      </c>
      <c r="P16" s="78">
        <f>Tabla13[[#This Row],[Needed amount of chemical (g); Ruben Leitat calculations]]</f>
        <v>1021.8000000000001</v>
      </c>
      <c r="Q16" s="78">
        <f>Tabla13[[#This Row],[Needed amount of chemical (g); Stefan UFZ calculations]]</f>
        <v>62.54442028135329</v>
      </c>
      <c r="R16" s="2" t="s">
        <v>2407</v>
      </c>
      <c r="S16" s="2" t="str">
        <f>Tabla13[[#This Row],[EC50 fish]]</f>
        <v>&gt; 100 mg/L</v>
      </c>
      <c r="T16" s="2" t="str">
        <f>Tabla13[[#This Row],[EC50 daphnia]]</f>
        <v>EC50 - 1703 mg/l - 48h
EC50 - &gt;99999 mg/l - 48h
?</v>
      </c>
      <c r="U16" s="2"/>
      <c r="V16" s="100"/>
      <c r="W16" s="100"/>
      <c r="X16" s="100"/>
      <c r="Y16" s="100"/>
    </row>
    <row r="17" spans="1:25" ht="75">
      <c r="A17" s="10" t="s">
        <v>161</v>
      </c>
      <c r="B17" s="10" t="str">
        <f>Tabla13[[#This Row],[Prec.Tox code]]</f>
        <v>PTX013</v>
      </c>
      <c r="C17" s="2" t="str">
        <f>Tabla1[[#This Row],[CAS number]]</f>
        <v>79-39-0</v>
      </c>
      <c r="D17" s="2" t="s">
        <v>2399</v>
      </c>
      <c r="E17" s="2">
        <f>Tabla13[[#This Row],['[max.'] to reach 100% mortality (mg/L)]]/1000</f>
        <v>100</v>
      </c>
      <c r="F17" s="2">
        <f>Tabla13[[#This Row],[Needed amount of chemical (g); Stefan UFZ calculations]]/5</f>
        <v>138.37230614837296</v>
      </c>
      <c r="G17" s="2">
        <f>MAX(Tabla134[[#This Row],['[max.'] to reach 100% mortality (g/L) Leitat]:['[max.'] to reach baseline toxicity (g/L) UFZ]])*1000</f>
        <v>138372.30614837297</v>
      </c>
      <c r="H17" s="2" t="str">
        <f>Tabla1[[#This Row],[Solubility (DMSO)]]</f>
        <v>?</v>
      </c>
      <c r="I17" s="2" t="str">
        <f>Tabla1[[#This Row],[Solubility (H2O)]]</f>
        <v>202 g/l</v>
      </c>
      <c r="J17" s="2" t="s">
        <v>2390</v>
      </c>
      <c r="K17" s="2" t="s">
        <v>34</v>
      </c>
      <c r="L17" s="21">
        <v>136</v>
      </c>
      <c r="M17" s="83" t="str">
        <f>Tabla1[[#This Row],[(exempted g or ml)]]</f>
        <v>Not regulated; any amount limit in internal packages</v>
      </c>
      <c r="N17" s="74">
        <f>Tabla134[[#This Row],[Proposed stock volume (per partner; ml -or g-)]]*6</f>
        <v>816</v>
      </c>
      <c r="O17" s="70">
        <f>Tabla13[[#This Row],[Total amount to be purchased (g or ml)]]</f>
        <v>1000</v>
      </c>
      <c r="P17" s="78">
        <f>Tabla13[[#This Row],[Needed amount of chemical (g); Ruben Leitat calculations]]</f>
        <v>600</v>
      </c>
      <c r="Q17" s="78">
        <f>Tabla13[[#This Row],[Needed amount of chemical (g); Stefan UFZ calculations]]</f>
        <v>691.86153074186473</v>
      </c>
      <c r="R17" s="2" t="s">
        <v>2408</v>
      </c>
      <c r="S17" s="2" t="str">
        <f>Tabla13[[#This Row],[EC50 fish]]</f>
        <v>semi-static test LC50 - Oryzias latipes (Orange-red killifish) - &gt; 100 mg/l - 96 h (OECD Test Guideline 203)</v>
      </c>
      <c r="T17" s="2" t="str">
        <f>Tabla13[[#This Row],[EC50 daphnia]]</f>
        <v>EC50 - &gt;1000 mg/l - 48h</v>
      </c>
      <c r="U17" s="2"/>
      <c r="V17" s="100"/>
      <c r="W17" s="100"/>
      <c r="X17" s="100"/>
      <c r="Y17" s="100"/>
    </row>
    <row r="18" spans="1:25">
      <c r="A18" s="10" t="s">
        <v>171</v>
      </c>
      <c r="B18" s="10" t="str">
        <f>Tabla13[[#This Row],[Prec.Tox code]]</f>
        <v>PTX014</v>
      </c>
      <c r="C18" s="2" t="str">
        <f>Tabla1[[#This Row],[CAS number]]</f>
        <v>288-32-4</v>
      </c>
      <c r="D18" s="2" t="s">
        <v>2399</v>
      </c>
      <c r="E18" s="2">
        <f>Tabla13[[#This Row],['[max.'] to reach 100% mortality (mg/L)]]/1000</f>
        <v>34.15</v>
      </c>
      <c r="F18" s="2">
        <f>Tabla13[[#This Row],[Needed amount of chemical (g); Stefan UFZ calculations]]/5</f>
        <v>13.137710785684501</v>
      </c>
      <c r="G18" s="2">
        <f>MAX(Tabla134[[#This Row],['[max.'] to reach 100% mortality (g/L) Leitat]:['[max.'] to reach baseline toxicity (g/L) UFZ]])*1000</f>
        <v>34150</v>
      </c>
      <c r="H18" s="2" t="str">
        <f>Tabla1[[#This Row],[Solubility (DMSO)]]</f>
        <v>13 g/L</v>
      </c>
      <c r="I18" s="2" t="str">
        <f>Tabla1[[#This Row],[Solubility (H2O)]]</f>
        <v>633 - 2410 g/L</v>
      </c>
      <c r="J18" s="2" t="s">
        <v>2390</v>
      </c>
      <c r="K18" s="2" t="s">
        <v>34</v>
      </c>
      <c r="L18" s="21">
        <v>60</v>
      </c>
      <c r="M18" s="83">
        <f>Tabla1[[#This Row],[(exempted g or ml)]]</f>
        <v>30</v>
      </c>
      <c r="N18" s="74">
        <f>Tabla134[[#This Row],[Proposed stock volume (per partner; ml -or g-)]]*6</f>
        <v>360</v>
      </c>
      <c r="O18" s="70">
        <f>Tabla13[[#This Row],[Total amount to be purchased (g or ml)]]</f>
        <v>500</v>
      </c>
      <c r="P18" s="78">
        <f>Tabla13[[#This Row],[Needed amount of chemical (g); Ruben Leitat calculations]]</f>
        <v>204.89999999999998</v>
      </c>
      <c r="Q18" s="78">
        <f>Tabla13[[#This Row],[Needed amount of chemical (g); Stefan UFZ calculations]]</f>
        <v>65.688553928422508</v>
      </c>
      <c r="R18" s="2" t="s">
        <v>2400</v>
      </c>
      <c r="S18" s="2" t="str">
        <f>Tabla13[[#This Row],[EC50 fish]]</f>
        <v>283.6 mg/L</v>
      </c>
      <c r="T18" s="2" t="str">
        <f>Tabla13[[#This Row],[EC50 daphnia]]</f>
        <v>EC50 - 341,5 mg/l - 48h</v>
      </c>
      <c r="U18" s="2"/>
      <c r="V18" s="100"/>
      <c r="W18" s="100"/>
      <c r="X18" s="100"/>
      <c r="Y18" s="100"/>
    </row>
    <row r="19" spans="1:25" ht="30">
      <c r="A19" s="10" t="s">
        <v>184</v>
      </c>
      <c r="B19" s="10" t="str">
        <f>Tabla13[[#This Row],[Prec.Tox code]]</f>
        <v>PTX015</v>
      </c>
      <c r="C19" s="2" t="str">
        <f>Tabla1[[#This Row],[CAS number]]</f>
        <v>822-36-6</v>
      </c>
      <c r="D19" s="2" t="s">
        <v>2399</v>
      </c>
      <c r="E19" s="2">
        <f>Tabla13[[#This Row],['[max.'] to reach 100% mortality (mg/L)]]/1000</f>
        <v>18</v>
      </c>
      <c r="F19" s="2">
        <f>Tabla13[[#This Row],[Needed amount of chemical (g); Stefan UFZ calculations]]/5</f>
        <v>12.236211570980542</v>
      </c>
      <c r="G19" s="2">
        <f>MAX(Tabla134[[#This Row],['[max.'] to reach 100% mortality (g/L) Leitat]:['[max.'] to reach baseline toxicity (g/L) UFZ]])*1000</f>
        <v>18000</v>
      </c>
      <c r="H19" s="2" t="str">
        <f>Tabla1[[#This Row],[Solubility (DMSO)]]</f>
        <v>'soluble'</v>
      </c>
      <c r="I19" s="2" t="str">
        <f>Tabla1[[#This Row],[Solubility (H2O)]]</f>
        <v>50 g/L</v>
      </c>
      <c r="J19" s="2" t="s">
        <v>2390</v>
      </c>
      <c r="K19" s="2" t="s">
        <v>34</v>
      </c>
      <c r="L19" s="21">
        <v>15</v>
      </c>
      <c r="M19" s="83">
        <f>Tabla1[[#This Row],[(exempted g or ml)]]</f>
        <v>30</v>
      </c>
      <c r="N19" s="74">
        <f>Tabla134[[#This Row],[Proposed stock volume (per partner; ml -or g-)]]*6</f>
        <v>90</v>
      </c>
      <c r="O19" s="70">
        <f>Tabla13[[#This Row],[Total amount to be purchased (g or ml)]]</f>
        <v>100</v>
      </c>
      <c r="P19" s="78">
        <f>Tabla13[[#This Row],[Needed amount of chemical (g); Ruben Leitat calculations]]</f>
        <v>108</v>
      </c>
      <c r="Q19" s="78">
        <f>Tabla13[[#This Row],[Needed amount of chemical (g); Stefan UFZ calculations]]</f>
        <v>61.181057854902711</v>
      </c>
      <c r="R19" s="2" t="s">
        <v>2409</v>
      </c>
      <c r="S19" s="2" t="str">
        <f>Tabla13[[#This Row],[EC50 fish]]</f>
        <v>LC50: = 34 mg/L, 96h static (Leuciscus idus)</v>
      </c>
      <c r="T19" s="2" t="str">
        <f>Tabla13[[#This Row],[EC50 daphnia]]</f>
        <v>EC50 - 180 mg/L - 48h</v>
      </c>
      <c r="U19" s="2"/>
      <c r="V19" s="100"/>
      <c r="W19" s="100"/>
      <c r="X19" s="100"/>
      <c r="Y19" s="100"/>
    </row>
    <row r="20" spans="1:25" ht="45">
      <c r="A20" s="10" t="s">
        <v>194</v>
      </c>
      <c r="B20" s="10" t="str">
        <f>Tabla13[[#This Row],[Prec.Tox code]]</f>
        <v>PTX016</v>
      </c>
      <c r="C20" s="2" t="str">
        <f>Tabla1[[#This Row],[CAS number]]</f>
        <v>693-98-1</v>
      </c>
      <c r="D20" s="2" t="s">
        <v>2399</v>
      </c>
      <c r="E20" s="2">
        <f>Tabla13[[#This Row],['[max.'] to reach 100% mortality (mg/L)]]/1000</f>
        <v>22.530999999999999</v>
      </c>
      <c r="F20" s="2">
        <f>Tabla13[[#This Row],[Needed amount of chemical (g); Stefan UFZ calculations]]/5</f>
        <v>18.676936550893881</v>
      </c>
      <c r="G20" s="2">
        <f>MAX(Tabla134[[#This Row],['[max.'] to reach 100% mortality (g/L) Leitat]:['[max.'] to reach baseline toxicity (g/L) UFZ]])*1000</f>
        <v>22531</v>
      </c>
      <c r="H20" s="2" t="str">
        <f>Tabla1[[#This Row],[Solubility (DMSO)]]</f>
        <v>?</v>
      </c>
      <c r="I20" s="2" t="str">
        <f>Tabla1[[#This Row],[Solubility (H2O)]]</f>
        <v>267 g/l</v>
      </c>
      <c r="J20" s="2" t="s">
        <v>2390</v>
      </c>
      <c r="K20" s="2" t="s">
        <v>34</v>
      </c>
      <c r="L20" s="21">
        <v>60</v>
      </c>
      <c r="M20" s="83">
        <f>Tabla1[[#This Row],[(exempted g or ml)]]</f>
        <v>30</v>
      </c>
      <c r="N20" s="74">
        <f>Tabla134[[#This Row],[Proposed stock volume (per partner; ml -or g-)]]*6</f>
        <v>360</v>
      </c>
      <c r="O20" s="70">
        <f>Tabla13[[#This Row],[Total amount to be purchased (g or ml)]]</f>
        <v>500</v>
      </c>
      <c r="P20" s="78">
        <f>Tabla13[[#This Row],[Needed amount of chemical (g); Ruben Leitat calculations]]</f>
        <v>135.18600000000001</v>
      </c>
      <c r="Q20" s="78">
        <f>Tabla13[[#This Row],[Needed amount of chemical (g); Stefan UFZ calculations]]</f>
        <v>93.384682754469409</v>
      </c>
      <c r="R20" s="2" t="s">
        <v>2400</v>
      </c>
      <c r="S20" s="2" t="str">
        <f>Tabla13[[#This Row],[EC50 fish]]</f>
        <v xml:space="preserve">static test LC50 - Leuciscus idus (Golden orfe) - 190 mg/l - 96 h (DIN 38412)                             </v>
      </c>
      <c r="T20" s="2" t="str">
        <f>Tabla13[[#This Row],[EC50 daphnia]]</f>
        <v>EC50 - 225,31 mg/l - 48h</v>
      </c>
      <c r="U20" s="2"/>
      <c r="V20" s="100"/>
      <c r="W20" s="100"/>
      <c r="X20" s="100"/>
      <c r="Y20" s="100"/>
    </row>
    <row r="21" spans="1:25" ht="49.9" customHeight="1">
      <c r="A21" s="10" t="s">
        <v>203</v>
      </c>
      <c r="B21" s="10" t="str">
        <f>Tabla13[[#This Row],[Prec.Tox code]]</f>
        <v>PTX017</v>
      </c>
      <c r="C21" s="2" t="str">
        <f>Tabla1[[#This Row],[CAS number]]</f>
        <v>616-47-7</v>
      </c>
      <c r="D21" s="2" t="s">
        <v>2403</v>
      </c>
      <c r="E21" s="2">
        <f>Tabla13[[#This Row],['[max.'] to reach 100% mortality (mg/L)]]/1000</f>
        <v>26.794</v>
      </c>
      <c r="F21" s="2">
        <f>Tabla13[[#This Row],[Needed amount of chemical (g); Stefan UFZ calculations]]/5</f>
        <v>18.20392649588058</v>
      </c>
      <c r="G21" s="2">
        <f>MAX(Tabla134[[#This Row],['[max.'] to reach 100% mortality (g/L) Leitat]:['[max.'] to reach baseline toxicity (g/L) UFZ]])*1000</f>
        <v>26794</v>
      </c>
      <c r="H21" s="2" t="str">
        <f>Tabla1[[#This Row],[Solubility (DMSO)]]</f>
        <v>'soluble'</v>
      </c>
      <c r="I21" s="2" t="str">
        <f>Tabla1[[#This Row],[Solubility (H2O)]]</f>
        <v>50-145 g/l</v>
      </c>
      <c r="J21" s="2" t="s">
        <v>2393</v>
      </c>
      <c r="K21" s="2" t="s">
        <v>34</v>
      </c>
      <c r="L21" s="21">
        <v>30</v>
      </c>
      <c r="M21" s="83">
        <f>Tabla1[[#This Row],[(exempted g or ml)]]</f>
        <v>30</v>
      </c>
      <c r="N21" s="74">
        <f>Tabla134[[#This Row],[Proposed stock volume (per partner; ml -or g-)]]*6</f>
        <v>180</v>
      </c>
      <c r="O21" s="70">
        <f>Tabla13[[#This Row],[Total amount to be purchased (g or ml)]]</f>
        <v>200</v>
      </c>
      <c r="P21" s="78">
        <f>Tabla13[[#This Row],[Needed amount of chemical (g); Ruben Leitat calculations]]</f>
        <v>160.76400000000004</v>
      </c>
      <c r="Q21" s="78">
        <f>Tabla13[[#This Row],[Needed amount of chemical (g); Stefan UFZ calculations]]</f>
        <v>91.019632479402901</v>
      </c>
      <c r="R21" s="9" t="s">
        <v>2410</v>
      </c>
      <c r="S21" s="2" t="str">
        <f>Tabla13[[#This Row],[EC50 fish]]</f>
        <v>static test LC50 - Leuciscus idus (Golden orfe) - &gt; 100 - 215 mg/l - 96 h</v>
      </c>
      <c r="T21" s="2" t="str">
        <f>Tabla13[[#This Row],[EC50 daphnia]]</f>
        <v>EC50 - 267,94 mg/L - 48h</v>
      </c>
      <c r="U21" s="2"/>
      <c r="V21" s="100"/>
      <c r="W21" s="100"/>
      <c r="X21" s="100"/>
      <c r="Y21" s="100"/>
    </row>
    <row r="22" spans="1:25" ht="45">
      <c r="A22" s="10" t="s">
        <v>216</v>
      </c>
      <c r="B22" s="10" t="str">
        <f>Tabla13[[#This Row],[Prec.Tox code]]</f>
        <v>PTX018</v>
      </c>
      <c r="C22" s="2" t="str">
        <f>Tabla1[[#This Row],[CAS number]]</f>
        <v>1739-84-0</v>
      </c>
      <c r="D22" s="2" t="s">
        <v>2399</v>
      </c>
      <c r="E22" s="2">
        <f>Tabla13[[#This Row],['[max.'] to reach 100% mortality (mg/L)]]/1000</f>
        <v>100</v>
      </c>
      <c r="F22" s="2">
        <f>Tabla13[[#This Row],[Needed amount of chemical (g); Stefan UFZ calculations]]/5</f>
        <v>4.7943466132662502</v>
      </c>
      <c r="G22" s="2">
        <f>MAX(Tabla134[[#This Row],['[max.'] to reach 100% mortality (g/L) Leitat]:['[max.'] to reach baseline toxicity (g/L) UFZ]])*1000</f>
        <v>100000</v>
      </c>
      <c r="H22" s="2" t="str">
        <f>Tabla1[[#This Row],[Solubility (DMSO)]]</f>
        <v>soluble'</v>
      </c>
      <c r="I22" s="2" t="str">
        <f>Tabla1[[#This Row],[Solubility (H2O)]]</f>
        <v>1000 g/L</v>
      </c>
      <c r="J22" s="2" t="s">
        <v>2390</v>
      </c>
      <c r="K22" s="2" t="s">
        <v>34</v>
      </c>
      <c r="L22" s="21">
        <v>80</v>
      </c>
      <c r="M22" s="83" t="str">
        <f>Tabla1[[#This Row],[(exempted g or ml)]]</f>
        <v>Not regulated; any amount limit in internal packages</v>
      </c>
      <c r="N22" s="74">
        <f>Tabla134[[#This Row],[Proposed stock volume (per partner; ml -or g-)]]*6</f>
        <v>480</v>
      </c>
      <c r="O22" s="70">
        <f>Tabla13[[#This Row],[Total amount to be purchased (g or ml)]]</f>
        <v>500</v>
      </c>
      <c r="P22" s="78">
        <f>Tabla13[[#This Row],[Needed amount of chemical (g); Ruben Leitat calculations]]</f>
        <v>600</v>
      </c>
      <c r="Q22" s="78">
        <f>Tabla13[[#This Row],[Needed amount of chemical (g); Stefan UFZ calculations]]</f>
        <v>23.97173306633125</v>
      </c>
      <c r="R22" s="2" t="s">
        <v>2411</v>
      </c>
      <c r="S22" s="2" t="str">
        <f>Tabla13[[#This Row],[EC50 fish]]</f>
        <v>Brachydanio rerio: LC50=61.2 mg/L/96h</v>
      </c>
      <c r="T22" s="2" t="str">
        <f>Tabla13[[#This Row],[EC50 daphnia]]</f>
        <v>EC50 - &gt;100 mg/L - 48h</v>
      </c>
      <c r="U22" s="2"/>
      <c r="V22" s="100"/>
      <c r="W22" s="100"/>
      <c r="X22" s="100"/>
      <c r="Y22" s="100"/>
    </row>
    <row r="23" spans="1:25" ht="45">
      <c r="A23" s="10" t="s">
        <v>227</v>
      </c>
      <c r="B23" s="10" t="str">
        <f>Tabla13[[#This Row],[Prec.Tox code]]</f>
        <v>PTX019</v>
      </c>
      <c r="C23" s="2" t="str">
        <f>Tabla1[[#This Row],[CAS number]]</f>
        <v>931-36-2</v>
      </c>
      <c r="D23" s="2" t="s">
        <v>2399</v>
      </c>
      <c r="E23" s="2">
        <f>Tabla13[[#This Row],['[max.'] to reach 100% mortality (mg/L)]]/1000</f>
        <v>29.7</v>
      </c>
      <c r="F23" s="2">
        <f>Tabla13[[#This Row],[Needed amount of chemical (g); Stefan UFZ calculations]]/5</f>
        <v>17.571710523803887</v>
      </c>
      <c r="G23" s="2">
        <f>MAX(Tabla134[[#This Row],['[max.'] to reach 100% mortality (g/L) Leitat]:['[max.'] to reach baseline toxicity (g/L) UFZ]])*1000</f>
        <v>29700</v>
      </c>
      <c r="H23" s="2" t="str">
        <f>Tabla1[[#This Row],[Solubility (DMSO)]]</f>
        <v>?</v>
      </c>
      <c r="I23" s="2" t="str">
        <f>Tabla1[[#This Row],[Solubility (H2O)]]</f>
        <v>~ 210 g/L</v>
      </c>
      <c r="J23" s="2" t="s">
        <v>2390</v>
      </c>
      <c r="K23" s="2" t="s">
        <v>34</v>
      </c>
      <c r="L23" s="21">
        <v>30</v>
      </c>
      <c r="M23" s="83" t="str">
        <f>Tabla1[[#This Row],[(exempted g or ml)]]</f>
        <v>Not regulated; any amount limit in internal packages</v>
      </c>
      <c r="N23" s="74">
        <f>Tabla134[[#This Row],[Proposed stock volume (per partner; ml -or g-)]]*6</f>
        <v>180</v>
      </c>
      <c r="O23" s="70">
        <f>Tabla13[[#This Row],[Total amount to be purchased (g or ml)]]</f>
        <v>200</v>
      </c>
      <c r="P23" s="78">
        <f>Tabla13[[#This Row],[Needed amount of chemical (g); Ruben Leitat calculations]]</f>
        <v>178.2</v>
      </c>
      <c r="Q23" s="78">
        <f>Tabla13[[#This Row],[Needed amount of chemical (g); Stefan UFZ calculations]]</f>
        <v>87.858552619019434</v>
      </c>
      <c r="R23" s="2" t="s">
        <v>2412</v>
      </c>
      <c r="S23" s="2" t="str">
        <f>Tabla13[[#This Row],[EC50 fish]]</f>
        <v>LC50 - Leuciscus idus (Golden orfe) - &gt; 46 mg/l - 96 h</v>
      </c>
      <c r="T23" s="2" t="str">
        <f>Tabla13[[#This Row],[EC50 daphnia]]</f>
        <v>EC50 - 297 mg/L - 48h</v>
      </c>
      <c r="U23" s="2"/>
      <c r="V23" s="100"/>
      <c r="W23" s="100"/>
      <c r="X23" s="100"/>
      <c r="Y23" s="100"/>
    </row>
    <row r="24" spans="1:25" ht="60">
      <c r="A24" s="10" t="s">
        <v>236</v>
      </c>
      <c r="B24" s="10" t="str">
        <f>Tabla13[[#This Row],[Prec.Tox code]]</f>
        <v>PTX020</v>
      </c>
      <c r="C24" s="2" t="str">
        <f>Tabla1[[#This Row],[CAS number]]</f>
        <v>5036-48-6</v>
      </c>
      <c r="D24" s="2" t="s">
        <v>2403</v>
      </c>
      <c r="E24" s="2">
        <f>Tabla13[[#This Row],['[max.'] to reach 100% mortality (mg/L)]]/1000</f>
        <v>100</v>
      </c>
      <c r="F24" s="2">
        <f>Tabla13[[#This Row],[Needed amount of chemical (g); Stefan UFZ calculations]]/5</f>
        <v>101.29870963803684</v>
      </c>
      <c r="G24" s="2">
        <f>MAX(Tabla134[[#This Row],['[max.'] to reach 100% mortality (g/L) Leitat]:['[max.'] to reach baseline toxicity (g/L) UFZ]])*1000</f>
        <v>101298.70963803685</v>
      </c>
      <c r="H24" s="2" t="str">
        <f>Tabla1[[#This Row],[Solubility (DMSO)]]</f>
        <v>?</v>
      </c>
      <c r="I24" s="2" t="str">
        <f>Tabla1[[#This Row],[Solubility (H2O)]]</f>
        <v>'Fully miscible'</v>
      </c>
      <c r="J24" s="2" t="s">
        <v>2393</v>
      </c>
      <c r="K24" s="2" t="s">
        <v>34</v>
      </c>
      <c r="L24" s="21">
        <v>82</v>
      </c>
      <c r="M24" s="83">
        <f>Tabla1[[#This Row],[(exempted g or ml)]]</f>
        <v>30</v>
      </c>
      <c r="N24" s="74">
        <f>Tabla134[[#This Row],[Proposed stock volume (per partner; ml -or g-)]]*6</f>
        <v>492</v>
      </c>
      <c r="O24" s="70">
        <f>Tabla13[[#This Row],[Total amount to be purchased (g or ml)]]</f>
        <v>500</v>
      </c>
      <c r="P24" s="78">
        <f>Tabla13[[#This Row],[Needed amount of chemical (g); Ruben Leitat calculations]]</f>
        <v>600</v>
      </c>
      <c r="Q24" s="78">
        <f>Tabla13[[#This Row],[Needed amount of chemical (g); Stefan UFZ calculations]]</f>
        <v>506.49354819018419</v>
      </c>
      <c r="R24" s="2" t="s">
        <v>2413</v>
      </c>
      <c r="S24" s="2" t="str">
        <f>Tabla13[[#This Row],[EC50 fish]]</f>
        <v>static test LC50 - Leuciscus idus (Golden orfe) - 320 - 460 mg/l - 96 h (DIN 38412 part 15)</v>
      </c>
      <c r="T24" s="2" t="str">
        <f>Tabla13[[#This Row],[EC50 daphnia]]</f>
        <v>EC50 - &gt; 120 mg/L - 48h</v>
      </c>
      <c r="U24" s="2"/>
      <c r="V24" s="100"/>
      <c r="W24" s="100"/>
      <c r="X24" s="100"/>
      <c r="Y24" s="100"/>
    </row>
    <row r="25" spans="1:25" ht="51.75" customHeight="1">
      <c r="A25" s="10" t="str">
        <f>Tabla1[[#This Row],[Compound]]</f>
        <v>2-ethylimidazole</v>
      </c>
      <c r="B25" s="10" t="str">
        <f>Tabla13[[#This Row],[Prec.Tox code]]</f>
        <v>PTX074</v>
      </c>
      <c r="C25" s="2" t="str">
        <f>Tabla1[[#This Row],[CAS number]]</f>
        <v>1072-62-4</v>
      </c>
      <c r="D25" s="2" t="s">
        <v>2414</v>
      </c>
      <c r="E25" s="2">
        <f>Tabla13[[#This Row],['[max.'] to reach 100% mortality (mg/L)]]/1000</f>
        <v>25</v>
      </c>
      <c r="F25" s="2">
        <f>Tabla13[[#This Row],[Needed amount of chemical (g); Stefan UFZ calculations]]/5</f>
        <v>0</v>
      </c>
      <c r="G25" s="2">
        <f>MAX(Tabla134[[#This Row],['[max.'] to reach 100% mortality (g/L) Leitat]:['[max.'] to reach baseline toxicity (g/L) UFZ]])*1000</f>
        <v>25000</v>
      </c>
      <c r="H25" s="2" t="str">
        <f>Tabla1[[#This Row],[Solubility (DMSO)]]</f>
        <v>?</v>
      </c>
      <c r="I25" s="2" t="str">
        <f>Tabla1[[#This Row],[Solubility (H2O)]]</f>
        <v>798.3 - 899.7 g/L</v>
      </c>
      <c r="J25" s="2"/>
      <c r="K25" s="2">
        <f>64.5*100</f>
        <v>6450</v>
      </c>
      <c r="L25" s="2"/>
      <c r="M25" s="110"/>
      <c r="N25" s="74"/>
      <c r="O25" s="70"/>
      <c r="P25" s="78"/>
      <c r="Q25" s="78"/>
      <c r="R25" s="2"/>
      <c r="S25" s="2"/>
      <c r="T25" s="2"/>
      <c r="U25" s="2">
        <f>Tabla134[[#This Row],[Used amount of chemical for stocks (g)]]*1000/Tabla134[[#This Row],[Proposed stock concentration (g/L)]]</f>
        <v>0</v>
      </c>
      <c r="V25" s="100"/>
      <c r="W25" s="100">
        <f>Tabla134[[#This Row],[trials solubility (g  to be used)]]*1000/100</f>
        <v>0</v>
      </c>
      <c r="X25" s="100"/>
      <c r="Y25" s="100"/>
    </row>
    <row r="26" spans="1:25" ht="51.75" customHeight="1">
      <c r="A26" s="10" t="str">
        <f>Tabla1[[#This Row],[Compound]]</f>
        <v>1-ethyl-1H-imidazole</v>
      </c>
      <c r="B26" s="10" t="str">
        <f>Tabla13[[#This Row],[Prec.Tox code]]</f>
        <v>PTX075</v>
      </c>
      <c r="C26" s="2" t="str">
        <f>Tabla1[[#This Row],[CAS number]]</f>
        <v>7098-07-9</v>
      </c>
      <c r="D26" s="2" t="s">
        <v>2392</v>
      </c>
      <c r="E26" s="2">
        <f>Tabla13[[#This Row],['[max.'] to reach 100% mortality (mg/L)]]/1000</f>
        <v>22</v>
      </c>
      <c r="F26" s="2">
        <f>Tabla13[[#This Row],[Needed amount of chemical (g); Stefan UFZ calculations]]/5</f>
        <v>0</v>
      </c>
      <c r="G26" s="2">
        <f>MAX(Tabla134[[#This Row],['[max.'] to reach 100% mortality (g/L) Leitat]:['[max.'] to reach baseline toxicity (g/L) UFZ]])*1000</f>
        <v>22000</v>
      </c>
      <c r="H26" s="2" t="str">
        <f>Tabla1[[#This Row],[Solubility (DMSO)]]</f>
        <v>?</v>
      </c>
      <c r="I26" s="2" t="str">
        <f>Tabla1[[#This Row],[Solubility (H2O)]]</f>
        <v>'Miscible'</v>
      </c>
      <c r="J26" s="2"/>
      <c r="K26" s="2">
        <f>64.5*100</f>
        <v>6450</v>
      </c>
      <c r="L26" s="2"/>
      <c r="M26" s="110"/>
      <c r="N26" s="74"/>
      <c r="O26" s="70"/>
      <c r="P26" s="78"/>
      <c r="Q26" s="78"/>
      <c r="R26" s="2"/>
      <c r="S26" s="2"/>
      <c r="T26" s="2"/>
      <c r="U26" s="2">
        <f>Tabla134[[#This Row],[Used amount of chemical for stocks (g)]]*1000/Tabla134[[#This Row],[Proposed stock concentration (g/L)]]</f>
        <v>0</v>
      </c>
      <c r="V26" s="100"/>
      <c r="W26" s="100">
        <f>Tabla134[[#This Row],[trials solubility (g  to be used)]]*1000/100</f>
        <v>0</v>
      </c>
      <c r="X26" s="100"/>
      <c r="Y26" s="100"/>
    </row>
    <row r="27" spans="1:25" ht="51.75" customHeight="1">
      <c r="A27" s="10" t="str">
        <f>Tabla1[[#This Row],[Compound]]</f>
        <v>1H-Imidazole, hydrobromide (1:1)</v>
      </c>
      <c r="B27" s="10">
        <f>Tabla13[[#This Row],[Prec.Tox code]]</f>
        <v>0</v>
      </c>
      <c r="C27" s="2" t="str">
        <f>Tabla1[[#This Row],[CAS number]]</f>
        <v>101023-55-6</v>
      </c>
      <c r="D27" s="2"/>
      <c r="E27" s="2">
        <f>Tabla13[[#This Row],['[max.'] to reach 100% mortality (mg/L)]]/1000</f>
        <v>0.14000000000000001</v>
      </c>
      <c r="F27" s="2">
        <f>Tabla13[[#This Row],[Needed amount of chemical (g); Stefan UFZ calculations]]/5</f>
        <v>0</v>
      </c>
      <c r="G27" s="2">
        <f>MAX(Tabla134[[#This Row],['[max.'] to reach 100% mortality (g/L) Leitat]:['[max.'] to reach baseline toxicity (g/L) UFZ]])*1000</f>
        <v>140</v>
      </c>
      <c r="H27" s="2">
        <f>Tabla1[[#This Row],[Solubility (DMSO)]]</f>
        <v>0</v>
      </c>
      <c r="I27" s="2">
        <f>Tabla1[[#This Row],[Solubility (H2O)]]</f>
        <v>0</v>
      </c>
      <c r="J27" s="2"/>
      <c r="K27" s="2">
        <f>64.5*100</f>
        <v>6450</v>
      </c>
      <c r="L27" s="2"/>
      <c r="M27" s="110"/>
      <c r="N27" s="74"/>
      <c r="O27" s="70"/>
      <c r="P27" s="78"/>
      <c r="Q27" s="78"/>
      <c r="R27" s="2"/>
      <c r="S27" s="2"/>
      <c r="T27" s="2"/>
      <c r="U27" s="2">
        <f>Tabla134[[#This Row],[Used amount of chemical for stocks (g)]]*1000/Tabla134[[#This Row],[Proposed stock concentration (g/L)]]</f>
        <v>0</v>
      </c>
      <c r="V27" s="100"/>
      <c r="W27" s="100">
        <f>Tabla134[[#This Row],[trials solubility (g  to be used)]]*1000/100</f>
        <v>0</v>
      </c>
      <c r="X27" s="100"/>
      <c r="Y27" s="100"/>
    </row>
    <row r="28" spans="1:25" ht="51.75" customHeight="1">
      <c r="A28" s="10" t="str">
        <f>Tabla1[[#This Row],[Compound]]</f>
        <v>1-Vinylimidazole</v>
      </c>
      <c r="B28" s="10" t="str">
        <f>Tabla13[[#This Row],[Prec.Tox code]]</f>
        <v>PTX076</v>
      </c>
      <c r="C28" s="2" t="str">
        <f>Tabla1[[#This Row],[CAS number]]</f>
        <v>1072-63-5</v>
      </c>
      <c r="D28" s="2" t="s">
        <v>2415</v>
      </c>
      <c r="E28" s="2">
        <f>Tabla13[[#This Row],['[max.'] to reach 100% mortality (mg/L)]]/1000</f>
        <v>50</v>
      </c>
      <c r="F28" s="2">
        <f>Tabla13[[#This Row],[Needed amount of chemical (g); Stefan UFZ calculations]]/5</f>
        <v>0</v>
      </c>
      <c r="G28" s="2">
        <f>MAX(Tabla134[[#This Row],['[max.'] to reach 100% mortality (g/L) Leitat]:['[max.'] to reach baseline toxicity (g/L) UFZ]])*1000</f>
        <v>50000</v>
      </c>
      <c r="H28" s="2" t="str">
        <f>Tabla1[[#This Row],[Solubility (DMSO)]]</f>
        <v>?</v>
      </c>
      <c r="I28" s="2" t="str">
        <f>Tabla1[[#This Row],[Solubility (H2O)]]</f>
        <v>Completely miscible'</v>
      </c>
      <c r="J28" s="2"/>
      <c r="K28" s="2">
        <f>64.5*100</f>
        <v>6450</v>
      </c>
      <c r="L28" s="2"/>
      <c r="M28" s="110"/>
      <c r="N28" s="74"/>
      <c r="O28" s="70"/>
      <c r="P28" s="78"/>
      <c r="Q28" s="78"/>
      <c r="R28" s="2"/>
      <c r="S28" s="2"/>
      <c r="T28" s="2"/>
      <c r="U28" s="2">
        <f>Tabla134[[#This Row],[Used amount of chemical for stocks (g)]]*1000/Tabla134[[#This Row],[Proposed stock concentration (g/L)]]</f>
        <v>0</v>
      </c>
      <c r="V28" s="100"/>
      <c r="W28" s="100">
        <f>Tabla134[[#This Row],[trials solubility (g  to be used)]]*1000/100</f>
        <v>0</v>
      </c>
      <c r="X28" s="100"/>
      <c r="Y28" s="100"/>
    </row>
    <row r="29" spans="1:25" ht="60" customHeight="1">
      <c r="A29" s="65" t="s">
        <v>286</v>
      </c>
      <c r="B29" s="10"/>
      <c r="C29" s="2"/>
      <c r="D29" s="2"/>
      <c r="E29" s="2"/>
      <c r="F29" s="2"/>
      <c r="G29" s="2"/>
      <c r="H29" s="2"/>
      <c r="I29" s="2"/>
      <c r="J29" s="2"/>
      <c r="K29" s="2"/>
      <c r="L29" s="21"/>
      <c r="M29" s="83"/>
      <c r="N29" s="74"/>
      <c r="O29" s="70"/>
      <c r="P29" s="78"/>
      <c r="Q29" s="78"/>
      <c r="R29" s="2"/>
      <c r="S29" s="2"/>
      <c r="T29" s="2"/>
      <c r="U29" s="2"/>
      <c r="V29" s="100"/>
      <c r="W29" s="100"/>
      <c r="X29" s="100"/>
      <c r="Y29" s="100"/>
    </row>
    <row r="30" spans="1:25" ht="63" customHeight="1">
      <c r="A30" s="10" t="s">
        <v>287</v>
      </c>
      <c r="B30" s="10" t="str">
        <f>Tabla13[[#This Row],[Prec.Tox code]]</f>
        <v>PTX021</v>
      </c>
      <c r="C30" s="2" t="str">
        <f>Tabla1[[#This Row],[CAS number]]</f>
        <v>2078-54-8</v>
      </c>
      <c r="D30" s="2" t="s">
        <v>2416</v>
      </c>
      <c r="E30" s="2">
        <f>Tabla13[[#This Row],['[max.'] to reach 100% mortality (mg/L)]]/1000</f>
        <v>1</v>
      </c>
      <c r="F30" s="90">
        <f>Tabla13[[#This Row],[Needed amount of chemical (g); Stefan UFZ calculations]]/5</f>
        <v>2.3629773340452246E-2</v>
      </c>
      <c r="G30" s="2">
        <f>MAX(Tabla134[[#This Row],['[max.'] to reach 100% mortality (g/L) Leitat]:['[max.'] to reach baseline toxicity (g/L) UFZ]])*1000</f>
        <v>1000</v>
      </c>
      <c r="H30" s="2" t="str">
        <f>Tabla1[[#This Row],[Solubility (DMSO)]]</f>
        <v>&gt;100 g/L</v>
      </c>
      <c r="I30" s="2" t="str">
        <f>Tabla1[[#This Row],[Solubility (H2O)]]</f>
        <v>170 - 174 mg/L</v>
      </c>
      <c r="J30" s="2" t="s">
        <v>2417</v>
      </c>
      <c r="K30" s="2">
        <f>Tabla134[[#This Row],[Used amount of chemical for stocks (g)]]/(Tabla134[[#This Row],[V DMSO to be used to perform the stocks]]/1000)</f>
        <v>500</v>
      </c>
      <c r="L30" s="89">
        <f>Tabla134[[#This Row],[V DMSO to be used to perform the stocks]]/7</f>
        <v>2.8571428571428572</v>
      </c>
      <c r="M30" s="83" t="str">
        <f>Tabla1[[#This Row],[(exempted g or ml)]]</f>
        <v>Not regulated; any amount limit in internal packages</v>
      </c>
      <c r="N30" s="74">
        <v>10</v>
      </c>
      <c r="O30" s="70">
        <f>Tabla13[[#This Row],[Total amount to be purchased (g or ml)]]</f>
        <v>25</v>
      </c>
      <c r="P30" s="78">
        <f>Tabla13[[#This Row],[Needed amount of chemical (g); Ruben Leitat calculations]]</f>
        <v>6</v>
      </c>
      <c r="Q30" s="78">
        <f>Tabla13[[#This Row],[Needed amount of chemical (g); Stefan UFZ calculations]]</f>
        <v>0.11814886670226123</v>
      </c>
      <c r="R30" s="2" t="str">
        <f>"For performing the stock: use "&amp;ROUND(Tabla134[[#This Row],[V DMSO to be used to perform the stocks]],3)&amp;" ml!!!
Send "&amp;ROUND(Tabla134[[#This Row],[Proposed stock volume (per partner; ml -or g-)]],2)&amp;" ml (x7)(stock)"</f>
        <v>For performing the stock: use 20 ml!!!
Send 2.86 ml (x7)(stock)</v>
      </c>
      <c r="S30" s="2" t="str">
        <f>Tabla13[[#This Row],[EC50 fish]]</f>
        <v>LC50 (rainbow trout) 96 hours = 0.37 mg/L</v>
      </c>
      <c r="T30" s="2" t="str">
        <f>Tabla13[[#This Row],[EC50 daphnia]]</f>
        <v>EC50 - 10,34 mg/L (58 uM) - 48h</v>
      </c>
      <c r="U30" s="2">
        <v>20</v>
      </c>
      <c r="V30" s="100">
        <v>0.3</v>
      </c>
      <c r="W30" s="102">
        <f>Tabla134[[#This Row],[trials solubility (g  to be used)]]*1000/100</f>
        <v>3</v>
      </c>
      <c r="X30" s="100">
        <v>0.2</v>
      </c>
      <c r="Y30" s="100">
        <f>(1000/Tabla134[[#This Row],[DMSO used to solubilize the compound (ml)]])*0.3054</f>
        <v>1527</v>
      </c>
    </row>
    <row r="31" spans="1:25" ht="48">
      <c r="A31" s="10" t="s">
        <v>299</v>
      </c>
      <c r="B31" s="10" t="str">
        <f>Tabla13[[#This Row],[Prec.Tox code]]</f>
        <v>PTX022</v>
      </c>
      <c r="C31" s="2" t="str">
        <f>Tabla1[[#This Row],[CAS number]]</f>
        <v>58-08-2</v>
      </c>
      <c r="D31" s="2" t="s">
        <v>2418</v>
      </c>
      <c r="E31" s="2">
        <f>Tabla13[[#This Row],['[max.'] to reach 100% mortality (mg/L)]]/1000</f>
        <v>18.2</v>
      </c>
      <c r="F31" s="90">
        <f>Tabla13[[#This Row],[Needed amount of chemical (g); Stefan UFZ calculations]]/5</f>
        <v>17.022865841229411</v>
      </c>
      <c r="G31" s="2">
        <f>MAX(Tabla134[[#This Row],['[max.'] to reach 100% mortality (g/L) Leitat]:['[max.'] to reach baseline toxicity (g/L) UFZ]])*1000</f>
        <v>18200</v>
      </c>
      <c r="H31" s="2" t="str">
        <f>Tabla1[[#This Row],[Solubility (DMSO)]]</f>
        <v>9.71 g/L</v>
      </c>
      <c r="I31" s="2" t="str">
        <f>Tabla1[[#This Row],[Solubility (H2O)]]</f>
        <v>18,7 g/l</v>
      </c>
      <c r="J31" s="2" t="s">
        <v>2419</v>
      </c>
      <c r="K31" s="2" t="s">
        <v>34</v>
      </c>
      <c r="L31" s="21">
        <v>30</v>
      </c>
      <c r="M31" s="83" t="str">
        <f>Tabla1[[#This Row],[(exempted g or ml)]]</f>
        <v>Not regulated; any amount limit in internal packages</v>
      </c>
      <c r="N31" s="74">
        <f>Tabla134[[#This Row],[Proposed stock volume (per partner; ml -or g-)]]*7</f>
        <v>210</v>
      </c>
      <c r="O31" s="70">
        <f>Tabla13[[#This Row],[Total amount to be purchased (g or ml)]]</f>
        <v>250</v>
      </c>
      <c r="P31" s="78">
        <f>Tabla13[[#This Row],[Needed amount of chemical (g); Ruben Leitat calculations]]</f>
        <v>109.2</v>
      </c>
      <c r="Q31" s="78">
        <f>Tabla13[[#This Row],[Needed amount of chemical (g); Stefan UFZ calculations]]</f>
        <v>85.114329206147062</v>
      </c>
      <c r="R31" s="2" t="s">
        <v>2412</v>
      </c>
      <c r="S31" s="2" t="str">
        <f>Tabla13[[#This Row],[EC50 fish]]</f>
        <v>static test LC50 - Leuciscus idus (Golden orfe) - ca. 87 mg/l - 96 h</v>
      </c>
      <c r="T31" s="2" t="str">
        <f>Tabla13[[#This Row],[EC50 daphnia]]</f>
        <v>EC50 - 182 mg/l - 48 h</v>
      </c>
      <c r="U31" s="2" t="s">
        <v>34</v>
      </c>
      <c r="V31" s="100" t="s">
        <v>34</v>
      </c>
      <c r="W31" s="102" t="s">
        <v>34</v>
      </c>
      <c r="X31" s="100" t="s">
        <v>34</v>
      </c>
      <c r="Y31" s="100" t="s">
        <v>34</v>
      </c>
    </row>
    <row r="32" spans="1:25" ht="99" customHeight="1">
      <c r="A32" s="10" t="s">
        <v>308</v>
      </c>
      <c r="B32" s="10" t="str">
        <f>Tabla13[[#This Row],[Prec.Tox code]]</f>
        <v>PTX023</v>
      </c>
      <c r="C32" s="2" t="str">
        <f>Tabla1[[#This Row],[CAS number]]</f>
        <v>100-61-8</v>
      </c>
      <c r="D32" s="2" t="s">
        <v>2420</v>
      </c>
      <c r="E32" s="2">
        <f>Tabla13[[#This Row],['[max.'] to reach 100% mortality (mg/L)]]/1000</f>
        <v>9.1199999999999992</v>
      </c>
      <c r="F32" s="90">
        <f>Tabla13[[#This Row],[Needed amount of chemical (g); Stefan UFZ calculations]]/5</f>
        <v>2.6980537260000004</v>
      </c>
      <c r="G32" s="2">
        <f>MAX(Tabla134[[#This Row],['[max.'] to reach 100% mortality (g/L) Leitat]:['[max.'] to reach baseline toxicity (g/L) UFZ]])*1000</f>
        <v>9120</v>
      </c>
      <c r="H32" s="2" t="str">
        <f>Tabla1[[#This Row],[Solubility (DMSO)]]</f>
        <v>'Slightly Soluble'</v>
      </c>
      <c r="I32" s="2" t="str">
        <f>Tabla1[[#This Row],[Solubility (H2O)]]</f>
        <v>ca.30 g/l</v>
      </c>
      <c r="J32" s="2" t="s">
        <v>2421</v>
      </c>
      <c r="K32" s="2" t="s">
        <v>34</v>
      </c>
      <c r="L32" s="21">
        <v>12</v>
      </c>
      <c r="M32" s="83">
        <f>Tabla1[[#This Row],[(exempted g or ml)]]</f>
        <v>30</v>
      </c>
      <c r="N32" s="74">
        <f>Tabla134[[#This Row],[Proposed stock volume (per partner; ml -or g-)]]*7</f>
        <v>84</v>
      </c>
      <c r="O32" s="70">
        <f>Tabla13[[#This Row],[Total amount to be purchased (g or ml)]]</f>
        <v>100</v>
      </c>
      <c r="P32" s="78">
        <f>Tabla13[[#This Row],[Needed amount of chemical (g); Ruben Leitat calculations]]</f>
        <v>54.72</v>
      </c>
      <c r="Q32" s="78">
        <f>Tabla13[[#This Row],[Needed amount of chemical (g); Stefan UFZ calculations]]</f>
        <v>13.490268630000001</v>
      </c>
      <c r="R32" s="2" t="s">
        <v>2422</v>
      </c>
      <c r="S32" s="2" t="str">
        <f>Tabla13[[#This Row],[EC50 fish]]</f>
        <v>LC50 (48 h) 38 - 91.2 mg/L
LC50 (24 h) 50 mg/L</v>
      </c>
      <c r="T32" s="2" t="str">
        <f>Tabla13[[#This Row],[EC50 daphnia]]</f>
        <v>EC50 - 0,15 mg/l - 48 h</v>
      </c>
      <c r="U32" s="2" t="s">
        <v>34</v>
      </c>
      <c r="V32" s="100" t="s">
        <v>34</v>
      </c>
      <c r="W32" s="102" t="s">
        <v>34</v>
      </c>
      <c r="X32" s="100" t="s">
        <v>34</v>
      </c>
      <c r="Y32" s="100" t="s">
        <v>34</v>
      </c>
    </row>
    <row r="33" spans="1:25" ht="45">
      <c r="A33" s="10" t="s">
        <v>321</v>
      </c>
      <c r="B33" s="10" t="str">
        <f>Tabla13[[#This Row],[Prec.Tox code]]</f>
        <v>PTX024</v>
      </c>
      <c r="C33" s="2" t="str">
        <f>Tabla1[[#This Row],[CAS number]]</f>
        <v>162359-55-9</v>
      </c>
      <c r="D33" s="2" t="s">
        <v>2389</v>
      </c>
      <c r="E33" s="2">
        <f>Tabla13[[#This Row],['[max.'] to reach 100% mortality (mg/L)]]/1000</f>
        <v>0.33</v>
      </c>
      <c r="F33" s="90">
        <f>Tabla13[[#This Row],[Needed amount of chemical (g); Stefan UFZ calculations]]/5</f>
        <v>0.53235259385416345</v>
      </c>
      <c r="G33" s="2">
        <f>MAX(Tabla134[[#This Row],['[max.'] to reach 100% mortality (g/L) Leitat]:['[max.'] to reach baseline toxicity (g/L) UFZ]])*1000</f>
        <v>532.3525938541635</v>
      </c>
      <c r="H33" s="2" t="str">
        <f>Tabla1[[#This Row],[Solubility (DMSO)]]</f>
        <v>100 g/L</v>
      </c>
      <c r="I33" s="2" t="str">
        <f>Tabla1[[#This Row],[Solubility (H2O)]]</f>
        <v>very poorly soluble in water</v>
      </c>
      <c r="J33" s="2" t="s">
        <v>2423</v>
      </c>
      <c r="K33" s="2">
        <v>0.71</v>
      </c>
      <c r="L33" s="89">
        <f>Tabla134[[#This Row],[V DMSO to be used to perform the stocks]]/10</f>
        <v>100</v>
      </c>
      <c r="M33" s="83" t="str">
        <f>Tabla1[[#This Row],[(exempted g or ml)]]</f>
        <v>Not regulated; any amount limit in internal packages</v>
      </c>
      <c r="N33" s="74">
        <v>0.71</v>
      </c>
      <c r="O33" s="70">
        <f>Tabla13[[#This Row],[Total amount to be purchased (g or ml)]]</f>
        <v>5</v>
      </c>
      <c r="P33" s="78">
        <f>Tabla13[[#This Row],[Needed amount of chemical (g); Ruben Leitat calculations]]</f>
        <v>1.98</v>
      </c>
      <c r="Q33" s="78">
        <f>Tabla13[[#This Row],[Needed amount of chemical (g); Stefan UFZ calculations]]</f>
        <v>2.6617629692708173</v>
      </c>
      <c r="R33" s="2" t="str">
        <f>"For performing the stock: use "&amp;ROUND(Tabla134[[#This Row],[V DMSO to be used to perform the stocks]],3)&amp;" ml!!!
Send "&amp;ROUND(Tabla134[[#This Row],[Proposed stock volume (per partner; ml -or g-)]],2)&amp;" ml (x10)(stock)"</f>
        <v>For performing the stock: use 1000 ml!!!
Send 100 ml (x10)(stock)</v>
      </c>
      <c r="S33" s="2" t="str">
        <f>Tabla13[[#This Row],[EC50 fish]]</f>
        <v>?</v>
      </c>
      <c r="T33" s="2" t="str">
        <f>Tabla13[[#This Row],[EC50 daphnia]]</f>
        <v>EC50 - 0,12 mg/l - 48 h</v>
      </c>
      <c r="U33" s="2">
        <f>Tabla134[[#This Row],[Used amount of chemical for stocks (g)]]*1000/Tabla134[[#This Row],[Proposed stock concentration (g/L)]]</f>
        <v>1000</v>
      </c>
      <c r="V33" s="100">
        <v>0.1</v>
      </c>
      <c r="W33" s="102">
        <f>Tabla134[[#This Row],[trials solubility (g  to be used)]]*1000/100</f>
        <v>1</v>
      </c>
      <c r="X33" s="100"/>
      <c r="Y33" s="100"/>
    </row>
    <row r="34" spans="1:25" ht="60">
      <c r="A34" s="10" t="s">
        <v>329</v>
      </c>
      <c r="B34" s="10" t="str">
        <f>Tabla13[[#This Row],[Prec.Tox code]]</f>
        <v>PTX025</v>
      </c>
      <c r="C34" s="2" t="str">
        <f>Tabla1[[#This Row],[CAS number]]</f>
        <v>55219-65-3</v>
      </c>
      <c r="D34" s="2" t="s">
        <v>2424</v>
      </c>
      <c r="E34" s="2">
        <f>Tabla13[[#This Row],['[max.'] to reach 100% mortality (mg/L)]]/1000</f>
        <v>5.0999999999999996</v>
      </c>
      <c r="F34" s="90">
        <f>Tabla13[[#This Row],[Needed amount of chemical (g); Stefan UFZ calculations]]/5</f>
        <v>0.10309113746004721</v>
      </c>
      <c r="G34" s="2">
        <f>MAX(Tabla134[[#This Row],['[max.'] to reach 100% mortality (g/L) Leitat]:['[max.'] to reach baseline toxicity (g/L) UFZ]])*1000</f>
        <v>5100</v>
      </c>
      <c r="H34" s="2" t="str">
        <f>Tabla1[[#This Row],[Solubility (DMSO)]]</f>
        <v>soluble</v>
      </c>
      <c r="I34" s="2" t="str">
        <f>Tabla1[[#This Row],[Solubility (H2O)]]</f>
        <v>0.12 g/L</v>
      </c>
      <c r="J34" s="2" t="s">
        <v>2423</v>
      </c>
      <c r="K34" s="2">
        <v>96</v>
      </c>
      <c r="L34" s="89">
        <f>Tabla134[[#This Row],[V DMSO to be used to perform the stocks]]/10</f>
        <v>35</v>
      </c>
      <c r="M34" s="83" t="str">
        <f>Tabla1[[#This Row],[(exempted g or ml)]]</f>
        <v>Not regulated; any amount limit in internal packages</v>
      </c>
      <c r="N34" s="74">
        <v>33.6</v>
      </c>
      <c r="O34" s="70">
        <f>Tabla13[[#This Row],[Total amount to be purchased (g or ml)]]</f>
        <v>50</v>
      </c>
      <c r="P34" s="78">
        <f>Tabla13[[#This Row],[Needed amount of chemical (g); Ruben Leitat calculations]]</f>
        <v>30.599999999999998</v>
      </c>
      <c r="Q34" s="78">
        <f>Tabla13[[#This Row],[Needed amount of chemical (g); Stefan UFZ calculations]]</f>
        <v>0.51545568730023605</v>
      </c>
      <c r="R34" s="2" t="str">
        <f>"For performing the stock: use "&amp;ROUND(Tabla134[[#This Row],[V DMSO to be used to perform the stocks]],3)&amp;" ml!!!
Send "&amp;ROUND(Tabla134[[#This Row],[Proposed stock volume (per partner; ml -or g-)]],2)&amp;" ml (x10)(stock)"</f>
        <v>For performing the stock: use 350 ml!!!
Send 35 ml (x10)(stock)</v>
      </c>
      <c r="S34" s="2" t="str">
        <f>Tabla13[[#This Row],[EC50 fish]]</f>
        <v>static test LC50 - Oncorhynchus mykiss (rainbow trout) - 21,3 mg/l - 96 h</v>
      </c>
      <c r="T34" s="2" t="str">
        <f>Tabla13[[#This Row],[EC50 daphnia]]</f>
        <v>EC50 - 48,9-51 mg/l - 48 h</v>
      </c>
      <c r="U34" s="2">
        <f>Tabla134[[#This Row],[Used amount of chemical for stocks (g)]]*1000/Tabla134[[#This Row],[Proposed stock concentration (g/L)]]</f>
        <v>350</v>
      </c>
      <c r="V34" s="100">
        <v>0.5</v>
      </c>
      <c r="W34" s="102">
        <f>Tabla134[[#This Row],[trials solubility (g  to be used)]]*1000/1000</f>
        <v>0.5</v>
      </c>
      <c r="X34" s="100"/>
      <c r="Y34" s="100"/>
    </row>
    <row r="35" spans="1:25" ht="49.15" customHeight="1">
      <c r="A35" s="10" t="s">
        <v>338</v>
      </c>
      <c r="B35" s="10" t="str">
        <f>Tabla13[[#This Row],[Prec.Tox code]]</f>
        <v>PTX026</v>
      </c>
      <c r="C35" s="2" t="str">
        <f>Tabla1[[#This Row],[CAS number]]</f>
        <v xml:space="preserve">  2921-88-2</v>
      </c>
      <c r="D35" s="2" t="s">
        <v>2425</v>
      </c>
      <c r="E35" s="2">
        <f>Tabla13[[#This Row],['[max.'] to reach 100% mortality (mg/L)]]/1000</f>
        <v>1.9E-2</v>
      </c>
      <c r="F35" s="90">
        <f>Tabla13[[#This Row],[Needed amount of chemical (g); Stefan UFZ calculations]]/5</f>
        <v>6.5860763197863714E-2</v>
      </c>
      <c r="G35" s="2">
        <f>MAX(Tabla134[[#This Row],['[max.'] to reach 100% mortality (g/L) Leitat]:['[max.'] to reach baseline toxicity (g/L) UFZ]])*1000</f>
        <v>65.860763197863719</v>
      </c>
      <c r="H35" s="2" t="str">
        <f>Tabla1[[#This Row],[Solubility (DMSO)]]</f>
        <v>1 - 50 g/L</v>
      </c>
      <c r="I35" s="2" t="str">
        <f>Tabla1[[#This Row],[Solubility (H2O)]]</f>
        <v>0.0004 g/l</v>
      </c>
      <c r="J35" s="2" t="s">
        <v>2417</v>
      </c>
      <c r="K35" s="2">
        <v>50</v>
      </c>
      <c r="L35" s="89">
        <f>Tabla134[[#This Row],[V DMSO to be used to perform the stocks]]/7</f>
        <v>1.1428571428571428</v>
      </c>
      <c r="M35" s="83">
        <f>Tabla1[[#This Row],[(exempted g or ml)]]</f>
        <v>30</v>
      </c>
      <c r="N35" s="74">
        <v>0.4</v>
      </c>
      <c r="O35" s="70">
        <f>Tabla13[[#This Row],[Total amount to be purchased (g or ml)]]</f>
        <v>0.5</v>
      </c>
      <c r="P35" s="78">
        <f>Tabla13[[#This Row],[Needed amount of chemical (g); Ruben Leitat calculations]]</f>
        <v>0.114</v>
      </c>
      <c r="Q35" s="78">
        <f>Tabla13[[#This Row],[Needed amount of chemical (g); Stefan UFZ calculations]]</f>
        <v>0.32930381598931857</v>
      </c>
      <c r="R35" s="2" t="str">
        <f>"For performing the stock: use "&amp;ROUND(Tabla134[[#This Row],[V DMSO to be used to perform the stocks]],3)&amp;" ml!!!
Send "&amp;ROUND(Tabla134[[#This Row],[Proposed stock volume (per partner; ml -or g-)]],2)&amp;" ml (x7)(stock)"</f>
        <v>For performing the stock: use 8 ml!!!
Send 1.14 ml (x7)(stock)</v>
      </c>
      <c r="S35" s="2" t="str">
        <f>Tabla13[[#This Row],[EC50 fish]]</f>
        <v>96 hr LC50 (Common carp): 0.19 mg/L</v>
      </c>
      <c r="T35" s="2" t="str">
        <f>Tabla13[[#This Row],[EC50 daphnia]]</f>
        <v>0.74 - 0.76 mg/L</v>
      </c>
      <c r="U35" s="2">
        <f>Tabla134[[#This Row],[Used amount of chemical for stocks (g)]]*1000/Tabla134[[#This Row],[Proposed stock concentration (g/L)]]</f>
        <v>8</v>
      </c>
      <c r="V35" s="100" t="s">
        <v>34</v>
      </c>
      <c r="W35" s="102" t="s">
        <v>34</v>
      </c>
      <c r="X35" s="100" t="s">
        <v>34</v>
      </c>
      <c r="Y35" s="100" t="s">
        <v>34</v>
      </c>
    </row>
    <row r="36" spans="1:25" ht="51.6" customHeight="1">
      <c r="A36" s="10" t="s">
        <v>352</v>
      </c>
      <c r="B36" s="10" t="str">
        <f>Tabla13[[#This Row],[Prec.Tox code]]</f>
        <v>PTX027</v>
      </c>
      <c r="C36" s="2" t="str">
        <f>Tabla1[[#This Row],[CAS number]]</f>
        <v>5598-15-2</v>
      </c>
      <c r="D36" s="2" t="s">
        <v>2426</v>
      </c>
      <c r="E36" s="2">
        <f>Tabla13[[#This Row],['[max.'] to reach 100% mortality (mg/L)]]/1000</f>
        <v>5.0200000000000002E-2</v>
      </c>
      <c r="F36" s="90">
        <f>Tabla13[[#This Row],[Needed amount of chemical (g); Stefan UFZ calculations]]/5</f>
        <v>0.29263480802754693</v>
      </c>
      <c r="G36" s="2">
        <f>MAX(Tabla134[[#This Row],['[max.'] to reach 100% mortality (g/L) Leitat]:['[max.'] to reach baseline toxicity (g/L) UFZ]])*1000</f>
        <v>292.63480802754691</v>
      </c>
      <c r="H36" s="2" t="str">
        <f>Tabla1[[#This Row],[Solubility (DMSO)]]</f>
        <v>?</v>
      </c>
      <c r="I36" s="2" t="str">
        <f>Tabla1[[#This Row],[Solubility (H2O)]]</f>
        <v>0,0014 mg/l</v>
      </c>
      <c r="J36" s="2" t="s">
        <v>2417</v>
      </c>
      <c r="K36" s="2">
        <v>50</v>
      </c>
      <c r="L36" s="89">
        <f>Tabla134[[#This Row],[V DMSO to be used to perform the stocks]]/7</f>
        <v>0.2857142857142857</v>
      </c>
      <c r="M36" s="83">
        <f>Tabla1[[#This Row],[(exempted g or ml)]]</f>
        <v>30</v>
      </c>
      <c r="N36" s="74">
        <v>0.1</v>
      </c>
      <c r="O36" s="70">
        <f>Tabla13[[#This Row],[Total amount to be purchased (g or ml)]]</f>
        <v>0.1</v>
      </c>
      <c r="P36" s="78">
        <f>Tabla13[[#This Row],[Needed amount of chemical (g); Ruben Leitat calculations]]</f>
        <v>0.30119999999999997</v>
      </c>
      <c r="Q36" s="78">
        <f>Tabla13[[#This Row],[Needed amount of chemical (g); Stefan UFZ calculations]]</f>
        <v>1.4631740401377347</v>
      </c>
      <c r="R36" s="2" t="str">
        <f>"For performing the stock: use "&amp;ROUND(Tabla134[[#This Row],[V DMSO to be used to perform the stocks]],3)&amp;" ml!!!
Send "&amp;ROUND(Tabla134[[#This Row],[Proposed stock volume (per partner; ml -or g-)]],2)&amp;" ml (x7)(stock)"</f>
        <v>For performing the stock: use 2 ml!!!
Send 0.29 ml (x7)(stock)</v>
      </c>
      <c r="S36" s="2" t="str">
        <f>Tabla13[[#This Row],[EC50 fish]]</f>
        <v>0,502 mg/L? (48h, zebrafish)</v>
      </c>
      <c r="T36" s="2" t="str">
        <f>Tabla13[[#This Row],[EC50 daphnia]]</f>
        <v>48-hour EC50 (Daphnia magna): 0.32 μg/L</v>
      </c>
      <c r="U36" s="2">
        <f>Tabla134[[#This Row],[Used amount of chemical for stocks (g)]]*1000/Tabla134[[#This Row],[Proposed stock concentration (g/L)]]</f>
        <v>2</v>
      </c>
      <c r="V36" s="100" t="s">
        <v>34</v>
      </c>
      <c r="W36" s="102" t="s">
        <v>34</v>
      </c>
      <c r="X36" s="100" t="s">
        <v>34</v>
      </c>
      <c r="Y36" s="100" t="s">
        <v>34</v>
      </c>
    </row>
    <row r="37" spans="1:25" ht="50.45" customHeight="1">
      <c r="A37" s="10" t="s">
        <v>363</v>
      </c>
      <c r="B37" s="10" t="str">
        <f>Tabla13[[#This Row],[Prec.Tox code]]</f>
        <v>PTX028</v>
      </c>
      <c r="C37" s="2" t="str">
        <f>Tabla1[[#This Row],[CAS number]]</f>
        <v>446-72-0</v>
      </c>
      <c r="D37" s="2" t="s">
        <v>2427</v>
      </c>
      <c r="E37" s="2">
        <f>Tabla13[[#This Row],['[max.'] to reach 100% mortality (mg/L)]]/1000</f>
        <v>0.55000000000000004</v>
      </c>
      <c r="F37" s="90">
        <f>Tabla13[[#This Row],[Needed amount of chemical (g); Stefan UFZ calculations]]/5</f>
        <v>5.8257418904072676E-2</v>
      </c>
      <c r="G37" s="2">
        <f>MAX(Tabla134[[#This Row],['[max.'] to reach 100% mortality (g/L) Leitat]:['[max.'] to reach baseline toxicity (g/L) UFZ]])*1000</f>
        <v>550</v>
      </c>
      <c r="H37" s="2" t="str">
        <f>Tabla1[[#This Row],[Solubility (DMSO)]]</f>
        <v>30 - 200 g/l</v>
      </c>
      <c r="I37" s="2" t="str">
        <f>Tabla1[[#This Row],[Solubility (H2O)]]</f>
        <v>1.43 mg/L</v>
      </c>
      <c r="J37" s="2" t="s">
        <v>2417</v>
      </c>
      <c r="K37" s="2">
        <v>250</v>
      </c>
      <c r="L37" s="89">
        <f>Tabla134[[#This Row],[V DMSO to be used to perform the stocks]]/7</f>
        <v>2.4</v>
      </c>
      <c r="M37" s="83">
        <f>Tabla1[[#This Row],[(exempted g or ml)]]</f>
        <v>30</v>
      </c>
      <c r="N37" s="74">
        <v>4.2</v>
      </c>
      <c r="O37" s="70">
        <f>Tabla13[[#This Row],[Total amount to be purchased (g or ml)]]</f>
        <v>5</v>
      </c>
      <c r="P37" s="78">
        <f>Tabla13[[#This Row],[Needed amount of chemical (g); Ruben Leitat calculations]]</f>
        <v>3.3</v>
      </c>
      <c r="Q37" s="78">
        <f>Tabla13[[#This Row],[Needed amount of chemical (g); Stefan UFZ calculations]]</f>
        <v>0.29128709452036339</v>
      </c>
      <c r="R37" s="2" t="str">
        <f>"For performing the stock: use "&amp;ROUND(Tabla134[[#This Row],[V DMSO to be used to perform the stocks]],3)&amp;" ml!!!
Send "&amp;ROUND(Tabla134[[#This Row],[Proposed stock volume (per partner; ml -or g-)]],2)&amp;" ml (x7)(stock)"</f>
        <v>For performing the stock: use 16.8 ml!!!
Send 2.4 ml (x7)(stock)</v>
      </c>
      <c r="S37" s="2" t="str">
        <f>Tabla13[[#This Row],[EC50 fish]]</f>
        <v>LC50 - 5,5 mg/L (zebrafish, 120h)</v>
      </c>
      <c r="T37" s="2" t="str">
        <f>Tabla13[[#This Row],[EC50 daphnia]]</f>
        <v>?</v>
      </c>
      <c r="U37" s="2">
        <f>Tabla134[[#This Row],[Used amount of chemical for stocks (g)]]*1000/Tabla134[[#This Row],[Proposed stock concentration (g/L)]]</f>
        <v>16.8</v>
      </c>
      <c r="V37" s="100">
        <v>0.1</v>
      </c>
      <c r="W37" s="102">
        <f>Tabla134[[#This Row],[trials solubility (g  to be used)]]*1000/200</f>
        <v>0.5</v>
      </c>
      <c r="X37" s="100">
        <v>0.25</v>
      </c>
      <c r="Y37" s="100">
        <f>(1000/Tabla134[[#This Row],[DMSO used to solubilize the compound (ml)]])*0.0962</f>
        <v>384.79999999999995</v>
      </c>
    </row>
    <row r="38" spans="1:25" ht="45">
      <c r="A38" s="10" t="s">
        <v>371</v>
      </c>
      <c r="B38" s="10" t="str">
        <f>Tabla13[[#This Row],[Prec.Tox code]]</f>
        <v>PTX029</v>
      </c>
      <c r="C38" s="2" t="str">
        <f>Tabla1[[#This Row],[CAS number]]</f>
        <v>4394-00-7</v>
      </c>
      <c r="D38" s="2" t="s">
        <v>2428</v>
      </c>
      <c r="E38" s="2">
        <f>Tabla13[[#This Row],['[max.'] to reach 100% mortality (mg/L)]]/1000</f>
        <v>0</v>
      </c>
      <c r="F38" s="90">
        <f>Tabla13[[#This Row],[Needed amount of chemical (g); Stefan UFZ calculations]]/5</f>
        <v>4.4957574074647247E-2</v>
      </c>
      <c r="G38" s="2">
        <f>MAX(Tabla134[[#This Row],['[max.'] to reach 100% mortality (g/L) Leitat]:['[max.'] to reach baseline toxicity (g/L) UFZ]])*1000</f>
        <v>44.957574074647248</v>
      </c>
      <c r="H38" s="2" t="str">
        <f>Tabla1[[#This Row],[Solubility (DMSO)]]</f>
        <v>28.22 g/L</v>
      </c>
      <c r="I38" s="2" t="str">
        <f>Tabla1[[#This Row],[Solubility (H2O)]]</f>
        <v>19 mg/l</v>
      </c>
      <c r="J38" s="2" t="s">
        <v>2417</v>
      </c>
      <c r="K38" s="2">
        <v>45</v>
      </c>
      <c r="L38" s="89">
        <f>Tabla134[[#This Row],[V DMSO to be used to perform the stocks]]/7</f>
        <v>9.5238095238095237</v>
      </c>
      <c r="M38" s="83">
        <f>Tabla1[[#This Row],[(exempted g or ml)]]</f>
        <v>30</v>
      </c>
      <c r="N38" s="74">
        <v>3</v>
      </c>
      <c r="O38" s="70">
        <f>Tabla13[[#This Row],[Total amount to be purchased (g or ml)]]</f>
        <v>25</v>
      </c>
      <c r="P38" s="78" t="str">
        <f>Tabla13[[#This Row],[Needed amount of chemical (g); Ruben Leitat calculations]]</f>
        <v>unknown</v>
      </c>
      <c r="Q38" s="78">
        <f>Tabla13[[#This Row],[Needed amount of chemical (g); Stefan UFZ calculations]]</f>
        <v>0.22478787037323625</v>
      </c>
      <c r="R38" s="2" t="str">
        <f>"For performing the stock: use "&amp;ROUND(Tabla134[[#This Row],[V DMSO to be used to perform the stocks]],3)&amp;" ml!!!
Send "&amp;ROUND(Tabla134[[#This Row],[Proposed stock volume (per partner; ml -or g-)]],2)&amp;" ml (x7)(stock)"</f>
        <v>For performing the stock: use 66.667 ml!!!
Send 9.52 ml (x7)(stock)</v>
      </c>
      <c r="S38" s="2" t="str">
        <f>Tabla13[[#This Row],[EC50 fish]]</f>
        <v>?</v>
      </c>
      <c r="T38" s="2" t="str">
        <f>Tabla13[[#This Row],[EC50 daphnia]]</f>
        <v>?</v>
      </c>
      <c r="U38" s="91">
        <f>Tabla134[[#This Row],[Used amount of chemical for stocks (g)]]*1000/Tabla134[[#This Row],[Proposed stock concentration (g/L)]]</f>
        <v>66.666666666666671</v>
      </c>
      <c r="V38" s="100">
        <v>0.1</v>
      </c>
      <c r="W38" s="102">
        <f>Tabla134[[#This Row],[trials solubility (g  to be used)]]*1000/28.22</f>
        <v>3.5435861091424523</v>
      </c>
      <c r="X38" s="100"/>
      <c r="Y38" s="100"/>
    </row>
    <row r="39" spans="1:25" ht="45">
      <c r="A39" s="10" t="s">
        <v>380</v>
      </c>
      <c r="B39" s="10" t="str">
        <f>Tabla13[[#This Row],[Prec.Tox code]]</f>
        <v>PTX030</v>
      </c>
      <c r="C39" s="2" t="str">
        <f>Tabla1[[#This Row],[CAS number]]</f>
        <v>145-13-1</v>
      </c>
      <c r="D39" s="2" t="s">
        <v>2389</v>
      </c>
      <c r="E39" s="2">
        <f>Tabla13[[#This Row],['[max.'] to reach 100% mortality (mg/L)]]/1000</f>
        <v>0.1</v>
      </c>
      <c r="F39" s="90">
        <f>Tabla13[[#This Row],[Needed amount of chemical (g); Stefan UFZ calculations]]/5</f>
        <v>2.9200283979097373E-2</v>
      </c>
      <c r="G39" s="2">
        <f>MAX(Tabla134[[#This Row],['[max.'] to reach 100% mortality (g/L) Leitat]:['[max.'] to reach baseline toxicity (g/L) UFZ]])*1000</f>
        <v>100</v>
      </c>
      <c r="H39" s="2" t="str">
        <f>Tabla1[[#This Row],[Solubility (DMSO)]]</f>
        <v>22 g/L</v>
      </c>
      <c r="I39" s="2" t="str">
        <f>Tabla1[[#This Row],[Solubility (H2O)]]</f>
        <v>"insoluble"</v>
      </c>
      <c r="J39" s="2" t="s">
        <v>2417</v>
      </c>
      <c r="K39" s="2">
        <v>30</v>
      </c>
      <c r="L39" s="89">
        <f>Tabla134[[#This Row],[V DMSO to be used to perform the stocks]]/7</f>
        <v>9.5238095238095237</v>
      </c>
      <c r="M39" s="83" t="str">
        <f>Tabla1[[#This Row],[(exempted g or ml)]]</f>
        <v>Not regulated; any amount limit in internal packages</v>
      </c>
      <c r="N39" s="74">
        <v>2</v>
      </c>
      <c r="O39" s="70">
        <f>Tabla13[[#This Row],[Total amount to be purchased (g or ml)]]</f>
        <v>5</v>
      </c>
      <c r="P39" s="78">
        <f>Tabla13[[#This Row],[Needed amount of chemical (g); Ruben Leitat calculations]]</f>
        <v>0.6</v>
      </c>
      <c r="Q39" s="78">
        <f>Tabla13[[#This Row],[Needed amount of chemical (g); Stefan UFZ calculations]]</f>
        <v>0.14600141989548687</v>
      </c>
      <c r="R39" s="2" t="str">
        <f>"For performing the stock: use "&amp;ROUND(Tabla134[[#This Row],[V DMSO to be used to perform the stocks]],3)&amp;" ml!!!
Send "&amp;ROUND(Tabla134[[#This Row],[Proposed stock volume (per partner; ml -or g-)]],2)&amp;" ml (x7)(stock)"</f>
        <v>For performing the stock: use 66.667 ml!!!
Send 9.52 ml (x7)(stock)</v>
      </c>
      <c r="S39" s="2" t="str">
        <f>Tabla13[[#This Row],[EC50 fish]]</f>
        <v>?</v>
      </c>
      <c r="T39" s="2" t="str">
        <f>Tabla13[[#This Row],[EC50 daphnia]]</f>
        <v>&gt; 0.41 mg/L (above the solubility limit in the test medium)</v>
      </c>
      <c r="U39" s="91">
        <f>Tabla134[[#This Row],[Used amount of chemical for stocks (g)]]*1000/Tabla134[[#This Row],[Proposed stock concentration (g/L)]]</f>
        <v>66.666666666666671</v>
      </c>
      <c r="V39" s="100">
        <v>0.08</v>
      </c>
      <c r="W39" s="102">
        <f>Tabla134[[#This Row],[trials solubility (g  to be used)]]*1000/22</f>
        <v>3.6363636363636362</v>
      </c>
      <c r="X39" s="100"/>
      <c r="Y39" s="100"/>
    </row>
    <row r="40" spans="1:25" ht="90">
      <c r="A40" s="10" t="s">
        <v>389</v>
      </c>
      <c r="B40" s="10" t="str">
        <f>Tabla13[[#This Row],[Prec.Tox code]]</f>
        <v>PTX031</v>
      </c>
      <c r="C40" s="2" t="str">
        <f>Tabla1[[#This Row],[CAS number]]</f>
        <v>50-02-2</v>
      </c>
      <c r="D40" s="2" t="s">
        <v>2389</v>
      </c>
      <c r="E40" s="2">
        <f>Tabla13[[#This Row],['[max.'] to reach 100% mortality (mg/L)]]/1000</f>
        <v>169.1</v>
      </c>
      <c r="F40" s="90">
        <f>Tabla13[[#This Row],[Needed amount of chemical (g); Stefan UFZ calculations]]/5</f>
        <v>0.92941909815184331</v>
      </c>
      <c r="G40" s="2">
        <f>MAX(Tabla134[[#This Row],['[max.'] to reach 100% mortality (g/L) Leitat]:['[max.'] to reach baseline toxicity (g/L) UFZ]])*1000</f>
        <v>169100</v>
      </c>
      <c r="H40" s="2" t="str">
        <f>Tabla1[[#This Row],[Solubility (DMSO)]]</f>
        <v>606 g/L</v>
      </c>
      <c r="I40" s="2" t="str">
        <f>Tabla1[[#This Row],[Solubility (H2O)]]</f>
        <v>0,0089 g/l</v>
      </c>
      <c r="J40" s="2" t="s">
        <v>2419</v>
      </c>
      <c r="K40" s="2" t="s">
        <v>34</v>
      </c>
      <c r="L40" s="89">
        <v>0.6</v>
      </c>
      <c r="M40" s="83" t="str">
        <f>Tabla1[[#This Row],[(exempted g or ml)]]</f>
        <v>Not regulated; any amount limit in internal packages</v>
      </c>
      <c r="N40" s="74">
        <f>Tabla134[[#This Row],[Proposed stock volume (per partner; ml -or g-)]]*7</f>
        <v>4.2</v>
      </c>
      <c r="O40" s="70">
        <f>Tabla13[[#This Row],[Total amount to be purchased (g or ml)]]</f>
        <v>5</v>
      </c>
      <c r="P40" s="78">
        <f>Tabla13[[#This Row],[Needed amount of chemical (g); Ruben Leitat calculations]]</f>
        <v>1014.5999999999999</v>
      </c>
      <c r="Q40" s="78">
        <f>Tabla13[[#This Row],[Needed amount of chemical (g); Stefan UFZ calculations]]</f>
        <v>4.6470954907592166</v>
      </c>
      <c r="R40" s="2" t="s">
        <v>2429</v>
      </c>
      <c r="S40" s="2" t="str">
        <f>Tabla13[[#This Row],[EC50 fish]]</f>
        <v>LC50 (Pimephales promelas (fathead minnow)): &gt; 1.000 mg/l
Exposure time: 96 h
Baseline tox in zebrafish (96h): 8455 mg/L</v>
      </c>
      <c r="T40" s="2" t="str">
        <f>Tabla13[[#This Row],[EC50 daphnia]]</f>
        <v>56 - 230 mg/L</v>
      </c>
      <c r="U40" s="91" t="s">
        <v>34</v>
      </c>
      <c r="V40" s="100">
        <v>0.05</v>
      </c>
      <c r="W40" s="102">
        <f>Tabla134[[#This Row],[trials solubility (g  to be used)]]*1000/606</f>
        <v>8.2508250825082508E-2</v>
      </c>
      <c r="X40" s="100"/>
      <c r="Y40" s="100"/>
    </row>
    <row r="41" spans="1:25" ht="105">
      <c r="A41" s="10" t="s">
        <v>401</v>
      </c>
      <c r="B41" s="10" t="str">
        <f>Tabla13[[#This Row],[Prec.Tox code]]</f>
        <v>PTX032</v>
      </c>
      <c r="C41" s="2" t="str">
        <f>Tabla1[[#This Row],[CAS number]]</f>
        <v>96-45-7</v>
      </c>
      <c r="D41" s="2" t="s">
        <v>2389</v>
      </c>
      <c r="E41" s="2">
        <f>Tabla13[[#This Row],['[max.'] to reach 100% mortality (mg/L)]]/1000</f>
        <v>750</v>
      </c>
      <c r="F41" s="90">
        <f>Tabla13[[#This Row],[Needed amount of chemical (g); Stefan UFZ calculations]]/5</f>
        <v>58.937067963229119</v>
      </c>
      <c r="G41" s="2">
        <f>MAX(Tabla134[[#This Row],['[max.'] to reach 100% mortality (g/L) Leitat]:['[max.'] to reach baseline toxicity (g/L) UFZ]])*1000</f>
        <v>750000</v>
      </c>
      <c r="H41" s="2" t="str">
        <f>Tabla1[[#This Row],[Solubility (DMSO)]]</f>
        <v>Slightly Soluble''</v>
      </c>
      <c r="I41" s="2" t="str">
        <f>Tabla1[[#This Row],[Solubility (H2O)]]</f>
        <v>27,4 g/l</v>
      </c>
      <c r="J41" s="21" t="s">
        <v>2430</v>
      </c>
      <c r="K41" s="2" t="s">
        <v>34</v>
      </c>
      <c r="L41" s="21">
        <v>125</v>
      </c>
      <c r="M41" s="83" t="str">
        <f>Tabla1[[#This Row],[(exempted g or ml)]]</f>
        <v>Not regulated; any amount limit in internal packages</v>
      </c>
      <c r="N41" s="74">
        <f>Tabla134[[#This Row],[Proposed stock volume (per partner; ml -or g-)]]*7</f>
        <v>875</v>
      </c>
      <c r="O41" s="70">
        <f>Tabla13[[#This Row],[Total amount to be purchased (g or ml)]]</f>
        <v>1000</v>
      </c>
      <c r="P41" s="78">
        <f>Tabla13[[#This Row],[Needed amount of chemical (g); Ruben Leitat calculations]]</f>
        <v>4500</v>
      </c>
      <c r="Q41" s="78">
        <f>Tabla13[[#This Row],[Needed amount of chemical (g); Stefan UFZ calculations]]</f>
        <v>294.68533981614559</v>
      </c>
      <c r="R41" s="2" t="s">
        <v>2431</v>
      </c>
      <c r="S41" s="2" t="str">
        <f>Tabla13[[#This Row],[EC50 fish]]</f>
        <v>semi-static test LC50 - Poecilia reticulata (guppy) - 7.500 mg/l - 96 h (OECD Test Guideline 203)</v>
      </c>
      <c r="T41" s="2" t="str">
        <f>Tabla13[[#This Row],[EC50 daphnia]]</f>
        <v>semi-static test LC50 - Daphnia magna (Water flea) - 26,4 mg/l - 48 
h
(OECD Test Guideline 202)</v>
      </c>
      <c r="U41" s="2" t="s">
        <v>34</v>
      </c>
      <c r="V41" s="100" t="s">
        <v>34</v>
      </c>
      <c r="W41" s="102" t="s">
        <v>34</v>
      </c>
      <c r="X41" s="100" t="s">
        <v>34</v>
      </c>
      <c r="Y41" s="100" t="s">
        <v>34</v>
      </c>
    </row>
    <row r="42" spans="1:25" ht="52.15" customHeight="1">
      <c r="A42" s="10" t="s">
        <v>411</v>
      </c>
      <c r="B42" s="10" t="str">
        <f>Tabla13[[#This Row],[Prec.Tox code]]</f>
        <v>PTX033</v>
      </c>
      <c r="C42" s="2" t="str">
        <f>Tabla1[[#This Row],[CAS number]]</f>
        <v>122-39-4</v>
      </c>
      <c r="D42" s="2" t="s">
        <v>2432</v>
      </c>
      <c r="E42" s="2">
        <f>Tabla13[[#This Row],['[max.'] to reach 100% mortality (mg/L)]]/1000</f>
        <v>0.379</v>
      </c>
      <c r="F42" s="90">
        <f>Tabla13[[#This Row],[Needed amount of chemical (g); Stefan UFZ calculations]]/5</f>
        <v>0.19566881396000002</v>
      </c>
      <c r="G42" s="2">
        <f>MAX(Tabla134[[#This Row],['[max.'] to reach 100% mortality (g/L) Leitat]:['[max.'] to reach baseline toxicity (g/L) UFZ]])*1000</f>
        <v>379</v>
      </c>
      <c r="H42" s="2" t="str">
        <f>Tabla1[[#This Row],[Solubility (DMSO)]]</f>
        <v>41 g/L</v>
      </c>
      <c r="I42" s="2" t="str">
        <f>Tabla1[[#This Row],[Solubility (H2O)]]</f>
        <v>insoluble</v>
      </c>
      <c r="J42" s="2" t="s">
        <v>2417</v>
      </c>
      <c r="K42" s="2">
        <v>50</v>
      </c>
      <c r="L42" s="89">
        <f>Tabla134[[#This Row],[V DMSO to be used to perform the stocks]]/7</f>
        <v>14.285714285714286</v>
      </c>
      <c r="M42" s="83">
        <f>Tabla1[[#This Row],[(exempted g or ml)]]</f>
        <v>30</v>
      </c>
      <c r="N42" s="74">
        <v>5</v>
      </c>
      <c r="O42" s="70">
        <f>Tabla13[[#This Row],[Total amount to be purchased (g or ml)]]</f>
        <v>25</v>
      </c>
      <c r="P42" s="78">
        <f>Tabla13[[#This Row],[Needed amount of chemical (g); Ruben Leitat calculations]]</f>
        <v>2.274</v>
      </c>
      <c r="Q42" s="78">
        <f>Tabla13[[#This Row],[Needed amount of chemical (g); Stefan UFZ calculations]]</f>
        <v>0.9783440698000001</v>
      </c>
      <c r="R42" s="2" t="str">
        <f>"For performing the stock: use "&amp;ROUND(Tabla134[[#This Row],[V DMSO to be used to perform the stocks]],3)&amp;" ml!!!
Send "&amp;ROUND(Tabla134[[#This Row],[Proposed stock volume (per partner; ml -or g-)]],2)&amp;" ml (x7)(stock)"</f>
        <v>For performing the stock: use 100 ml!!!
Send 14.29 ml (x7)(stock)</v>
      </c>
      <c r="S42" s="2" t="str">
        <f>Tabla13[[#This Row],[EC50 fish]]</f>
        <v>LC50 - Pimephales promelas (fathead minnow) - 3,79 mg/l - 96,0 h 
LC50 - Oryzias latipes (Orange-red killifish) - 2,2 mg/l - 48 h Remarks: (IUCLID)</v>
      </c>
      <c r="T42" s="2" t="str">
        <f>Tabla13[[#This Row],[EC50 daphnia]]</f>
        <v>EC50 - 2 mg/l - 48 h</v>
      </c>
      <c r="U42" s="90">
        <f>Tabla134[[#This Row],[Used amount of chemical for stocks (g)]]*1000/Tabla134[[#This Row],[Proposed stock concentration (g/L)]]</f>
        <v>100</v>
      </c>
      <c r="V42" s="100">
        <v>0.1</v>
      </c>
      <c r="W42" s="102">
        <f>Tabla134[[#This Row],[trials solubility (g  to be used)]]*1000/41</f>
        <v>2.4390243902439024</v>
      </c>
      <c r="X42" s="100"/>
      <c r="Y42" s="100"/>
    </row>
    <row r="43" spans="1:25" ht="64.150000000000006" customHeight="1">
      <c r="A43" s="2" t="s">
        <v>420</v>
      </c>
      <c r="B43" s="10" t="str">
        <f>Tabla13[[#This Row],[Prec.Tox code]]</f>
        <v>PTX034</v>
      </c>
      <c r="C43" s="2" t="s">
        <v>423</v>
      </c>
      <c r="D43" s="2" t="s">
        <v>2433</v>
      </c>
      <c r="E43" s="2">
        <f>Tabla13[[#This Row],['[max.'] to reach 100% mortality (mg/L)]]/1000</f>
        <v>20</v>
      </c>
      <c r="F43" s="90">
        <f>Tabla13[[#This Row],[Needed amount of chemical (g); Stefan UFZ calculations]]/5</f>
        <v>0.12671775832671048</v>
      </c>
      <c r="G43" s="2">
        <f>MAX(Tabla134[[#This Row],['[max.'] to reach 100% mortality (g/L) Leitat]:['[max.'] to reach baseline toxicity (g/L) UFZ]])*1000</f>
        <v>20000</v>
      </c>
      <c r="H43" s="2" t="str">
        <f>Tabla1[[#This Row],[Solubility (DMSO)]]</f>
        <v>15 g/L</v>
      </c>
      <c r="I43" s="2" t="str">
        <f>Tabla1[[#This Row],[Solubility (H2O)]]</f>
        <v>practically insoluble</v>
      </c>
      <c r="J43" s="21" t="s">
        <v>2430</v>
      </c>
      <c r="K43" s="2" t="s">
        <v>34</v>
      </c>
      <c r="L43" s="21">
        <v>0.12</v>
      </c>
      <c r="M43" s="83" t="str">
        <f>Tabla1[[#This Row],[(exempted g or ml)]]</f>
        <v>Not regulated; any amount limit in internal packages</v>
      </c>
      <c r="N43" s="74">
        <f>Tabla134[[#This Row],[Proposed stock volume (per partner; ml -or g-)]]*7</f>
        <v>0.84</v>
      </c>
      <c r="O43" s="70">
        <f>Tabla13[[#This Row],[Total amount to be purchased (g or ml)]]</f>
        <v>1</v>
      </c>
      <c r="P43" s="78">
        <f>Tabla13[[#This Row],[Needed amount of chemical (g); Ruben Leitat calculations]]</f>
        <v>120</v>
      </c>
      <c r="Q43" s="78">
        <f>Tabla13[[#This Row],[Needed amount of chemical (g); Stefan UFZ calculations]]</f>
        <v>0.63358879163355242</v>
      </c>
      <c r="R43" s="2" t="s">
        <v>2434</v>
      </c>
      <c r="S43" s="2" t="str">
        <f>Tabla13[[#This Row],[EC50 fish]]</f>
        <v>&gt; 100 mg/L (96h), rainbow trout</v>
      </c>
      <c r="T43" s="2" t="str">
        <f>Tabla13[[#This Row],[EC50 daphnia]]</f>
        <v>EC50 - 200 mg/l - 48 h</v>
      </c>
      <c r="U43" s="90" t="s">
        <v>34</v>
      </c>
      <c r="V43" s="100">
        <v>0.05</v>
      </c>
      <c r="W43" s="102">
        <f>Tabla134[[#This Row],[trials solubility (g  to be used)]]*1000/15</f>
        <v>3.3333333333333335</v>
      </c>
      <c r="X43" s="100">
        <v>0.4</v>
      </c>
      <c r="Y43" s="100">
        <f>(1000/Tabla134[[#This Row],[DMSO used to solubilize the compound (ml)]])*0.0317</f>
        <v>79.25</v>
      </c>
    </row>
    <row r="44" spans="1:25" ht="60">
      <c r="A44" s="2" t="s">
        <v>430</v>
      </c>
      <c r="B44" s="10" t="str">
        <f>Tabla13[[#This Row],[Prec.Tox code]]</f>
        <v>PTX035</v>
      </c>
      <c r="C44" s="2" t="s">
        <v>434</v>
      </c>
      <c r="D44" s="2" t="s">
        <v>2435</v>
      </c>
      <c r="E44" s="2">
        <f>Tabla13[[#This Row],['[max.'] to reach 100% mortality (mg/L)]]/1000</f>
        <v>8.2000000000000003E-2</v>
      </c>
      <c r="F44" s="90">
        <f>Tabla13[[#This Row],[Needed amount of chemical (g); Stefan UFZ calculations]]/5</f>
        <v>3.9065292192751289E-2</v>
      </c>
      <c r="G44" s="2">
        <f>MAX(Tabla134[[#This Row],['[max.'] to reach 100% mortality (g/L) Leitat]:['[max.'] to reach baseline toxicity (g/L) UFZ]])*1000</f>
        <v>82</v>
      </c>
      <c r="H44" s="2" t="str">
        <f>Tabla1[[#This Row],[Solubility (DMSO)]]</f>
        <v>34.58 g/L</v>
      </c>
      <c r="I44" s="2" t="str">
        <f>Tabla1[[#This Row],[Solubility (H2O)]]</f>
        <v>3.46 g/L</v>
      </c>
      <c r="J44" s="2" t="s">
        <v>2417</v>
      </c>
      <c r="K44" s="2">
        <v>50</v>
      </c>
      <c r="L44" s="89">
        <f>Tabla134[[#This Row],[V DMSO to be used to perform the stocks]]/7</f>
        <v>2.2857142857142856</v>
      </c>
      <c r="M44" s="83">
        <f>Tabla1[[#This Row],[(exempted g or ml)]]</f>
        <v>30</v>
      </c>
      <c r="N44" s="74">
        <v>0.8</v>
      </c>
      <c r="O44" s="70">
        <f>Tabla13[[#This Row],[Total amount to be purchased (g or ml)]]</f>
        <v>1</v>
      </c>
      <c r="P44" s="78">
        <f>Tabla13[[#This Row],[Needed amount of chemical (g); Ruben Leitat calculations]]</f>
        <v>0.49199999999999994</v>
      </c>
      <c r="Q44" s="78">
        <f>Tabla13[[#This Row],[Needed amount of chemical (g); Stefan UFZ calculations]]</f>
        <v>0.19532646096375644</v>
      </c>
      <c r="R44" s="2" t="str">
        <f>"For performing the stock: use "&amp;ROUND(Tabla134[[#This Row],[V DMSO to be used to perform the stocks]],3)&amp;" ml!!!
Send "&amp;ROUND(Tabla134[[#This Row],[Proposed stock volume (per partner; ml -or g-)]],2)&amp;" ml (x7)(stock)"</f>
        <v>For performing the stock: use 16 ml!!!
Send 2.29 ml (x7)(stock)</v>
      </c>
      <c r="S44" s="2" t="str">
        <f>Tabla13[[#This Row],[EC50 fish]]</f>
        <v>LC50 - Pimephales promelas (fathead minnow) - 0,16 - 0,20 mg/l - 96 h</v>
      </c>
      <c r="T44" s="2" t="str">
        <f>Tabla13[[#This Row],[EC50 daphnia]]</f>
        <v>0.82 mg/L</v>
      </c>
      <c r="U44" s="90">
        <f>Tabla134[[#This Row],[Used amount of chemical for stocks (g)]]*1000/Tabla134[[#This Row],[Proposed stock concentration (g/L)]]</f>
        <v>16</v>
      </c>
      <c r="V44" s="100">
        <v>0.05</v>
      </c>
      <c r="W44" s="102">
        <f>Tabla134[[#This Row],[trials solubility (g  to be used)]]*1000/34.58</f>
        <v>1.4459224985540775</v>
      </c>
      <c r="X44" s="100">
        <v>0.15</v>
      </c>
      <c r="Y44" s="100">
        <f>(1000/Tabla134[[#This Row],[DMSO used to solubilize the compound (ml)]])*0.0318</f>
        <v>212.00000000000003</v>
      </c>
    </row>
    <row r="45" spans="1:25" ht="72.599999999999994" customHeight="1">
      <c r="A45" s="10" t="s">
        <v>442</v>
      </c>
      <c r="B45" s="10" t="str">
        <f>Tabla13[[#This Row],[Prec.Tox code]]</f>
        <v>PTX036</v>
      </c>
      <c r="C45" s="2" t="str">
        <f>Tabla1[[#This Row],[CAS number]]</f>
        <v>54-11-5</v>
      </c>
      <c r="D45" s="2" t="s">
        <v>2392</v>
      </c>
      <c r="E45" s="2">
        <f>Tabla13[[#This Row],['[max.'] to reach 100% mortality (mg/L)]]/1000</f>
        <v>0.4</v>
      </c>
      <c r="F45" s="90">
        <f>Tabla13[[#This Row],[Needed amount of chemical (g); Stefan UFZ calculations]]/5</f>
        <v>6.8310024566965977</v>
      </c>
      <c r="G45" s="2">
        <f>MAX(Tabla134[[#This Row],['[max.'] to reach 100% mortality (g/L) Leitat]:['[max.'] to reach baseline toxicity (g/L) UFZ]])*1000</f>
        <v>6831.0024566965976</v>
      </c>
      <c r="H45" s="2" t="str">
        <f>Tabla1[[#This Row],[Solubility (DMSO)]]</f>
        <v>30 g/L</v>
      </c>
      <c r="I45" s="2" t="str">
        <f>Tabla1[[#This Row],[Solubility (H2O)]]</f>
        <v>totally miscible</v>
      </c>
      <c r="J45" s="2" t="s">
        <v>2421</v>
      </c>
      <c r="K45" s="2" t="s">
        <v>34</v>
      </c>
      <c r="L45" s="21">
        <v>12</v>
      </c>
      <c r="M45" s="83">
        <f>Tabla1[[#This Row],[(exempted g or ml)]]</f>
        <v>1</v>
      </c>
      <c r="N45" s="74">
        <f>Tabla134[[#This Row],[Proposed stock volume (per partner; ml -or g-)]]*7</f>
        <v>84</v>
      </c>
      <c r="O45" s="70">
        <f>Tabla13[[#This Row],[Total amount to be purchased (g or ml)]]</f>
        <v>100</v>
      </c>
      <c r="P45" s="78">
        <f>Tabla13[[#This Row],[Needed amount of chemical (g); Ruben Leitat calculations]]</f>
        <v>2.4</v>
      </c>
      <c r="Q45" s="78">
        <f>Tabla13[[#This Row],[Needed amount of chemical (g); Stefan UFZ calculations]]</f>
        <v>34.155012283482989</v>
      </c>
      <c r="R45" s="2" t="s">
        <v>2436</v>
      </c>
      <c r="S45" s="2" t="str">
        <f>Tabla13[[#This Row],[EC50 fish]]</f>
        <v>static test LC50 - Oncorhynchus mykiss (rainbow trout) - 4 mg/l - 96 h</v>
      </c>
      <c r="T45" s="2" t="str">
        <f>Tabla13[[#This Row],[EC50 daphnia]]</f>
        <v>3 mg/l</v>
      </c>
      <c r="U45" s="2" t="s">
        <v>34</v>
      </c>
      <c r="V45" s="100" t="s">
        <v>34</v>
      </c>
      <c r="W45" s="100" t="s">
        <v>34</v>
      </c>
      <c r="X45" s="100" t="s">
        <v>34</v>
      </c>
      <c r="Y45" s="100" t="s">
        <v>34</v>
      </c>
    </row>
    <row r="46" spans="1:25" ht="103.15" customHeight="1">
      <c r="A46" s="10" t="s">
        <v>454</v>
      </c>
      <c r="B46" s="10" t="str">
        <f>Tabla13[[#This Row],[Prec.Tox code]]</f>
        <v>PTX037</v>
      </c>
      <c r="C46" s="2" t="str">
        <f>Tabla1[[#This Row],[CAS number]]</f>
        <v>99-66-1</v>
      </c>
      <c r="D46" s="2" t="s">
        <v>2437</v>
      </c>
      <c r="E46" s="2">
        <f>Tabla13[[#This Row],['[max.'] to reach 100% mortality (mg/L)]]/1000</f>
        <v>12.28</v>
      </c>
      <c r="F46" s="90">
        <f>Tabla13[[#This Row],[Needed amount of chemical (g); Stefan UFZ calculations]]/5</f>
        <v>0.38887681193515172</v>
      </c>
      <c r="G46" s="2">
        <f>MAX(Tabla134[[#This Row],['[max.'] to reach 100% mortality (g/L) Leitat]:['[max.'] to reach baseline toxicity (g/L) UFZ]])*1000</f>
        <v>12280</v>
      </c>
      <c r="H46" s="2" t="str">
        <f>Tabla1[[#This Row],[Solubility (DMSO)]]</f>
        <v>5 g/L</v>
      </c>
      <c r="I46" s="5" t="str">
        <f>Tabla1[[#This Row],[Solubility (H2O)]]</f>
        <v>10 g/L (not recommended to store an aqueous solution more than 1 day!!)</v>
      </c>
      <c r="J46" s="2" t="s">
        <v>2417</v>
      </c>
      <c r="K46" s="92">
        <f>Tabla134[[#This Row],[Used amount of chemical for stocks (g)]]/(Tabla134[[#This Row],[V DMSO to be used to perform the stocks]]/1000)</f>
        <v>923.07692307692321</v>
      </c>
      <c r="L46" s="89">
        <f>Tabla134[[#This Row],[V DMSO to be used to perform the stocks]]/7</f>
        <v>10.833333333333332</v>
      </c>
      <c r="M46" s="83" t="str">
        <f>Tabla1[[#This Row],[(exempted g or ml)]]</f>
        <v>Not regulated; any amount limit in internal packages</v>
      </c>
      <c r="N46" s="74">
        <v>70</v>
      </c>
      <c r="O46" s="70">
        <f>Tabla13[[#This Row],[Total amount to be purchased (g or ml)]]</f>
        <v>100</v>
      </c>
      <c r="P46" s="78">
        <f>Tabla13[[#This Row],[Needed amount of chemical (g); Ruben Leitat calculations]]</f>
        <v>73.680000000000007</v>
      </c>
      <c r="Q46" s="78">
        <f>Tabla13[[#This Row],[Needed amount of chemical (g); Stefan UFZ calculations]]</f>
        <v>1.9443840596757587</v>
      </c>
      <c r="R46" s="2" t="str">
        <f>"For performing the stock: use "&amp;ROUND(Tabla134[[#This Row],[V DMSO to be used to perform the stocks]],3)&amp;" ml!!!
Send "&amp;ROUND(Tabla134[[#This Row],[Proposed stock volume (per partner; ml -or g-)]],2)&amp;" ml (x7)(stock)"</f>
        <v>For performing the stock: use 75.833 ml!!!
Send 10.83 ml (x7)(stock)</v>
      </c>
      <c r="S46" s="2" t="str">
        <f>Tabla13[[#This Row],[EC50 fish]]</f>
        <v>LC50 (96h, Danio rerio): 66 mg/L</v>
      </c>
      <c r="T46" s="2" t="str">
        <f>Tabla13[[#This Row],[EC50 daphnia]]</f>
        <v>122,8 mg/l</v>
      </c>
      <c r="U46" s="90">
        <v>75.833333333333329</v>
      </c>
      <c r="V46" s="100" t="s">
        <v>34</v>
      </c>
      <c r="W46" s="100" t="s">
        <v>34</v>
      </c>
      <c r="X46" s="100" t="s">
        <v>34</v>
      </c>
      <c r="Y46" s="100" t="s">
        <v>34</v>
      </c>
    </row>
    <row r="47" spans="1:25" ht="86.45" customHeight="1">
      <c r="A47" s="2" t="s">
        <v>463</v>
      </c>
      <c r="B47" s="10" t="str">
        <f>Tabla13[[#This Row],[Prec.Tox code]]</f>
        <v>PTX038</v>
      </c>
      <c r="C47" s="108" t="s">
        <v>2438</v>
      </c>
      <c r="D47" s="2" t="s">
        <v>2435</v>
      </c>
      <c r="E47" s="2">
        <f>Tabla13[[#This Row],['[max.'] to reach 100% mortality (mg/L)]]/1000</f>
        <v>0.70399999999999996</v>
      </c>
      <c r="F47" s="90">
        <f>Tabla13[[#This Row],[Needed amount of chemical (g); Stefan UFZ calculations]]/5</f>
        <v>0.57114926490639717</v>
      </c>
      <c r="G47" s="2">
        <f>MAX(Tabla134[[#This Row],['[max.'] to reach 100% mortality (g/L) Leitat]:['[max.'] to reach baseline toxicity (g/L) UFZ]])*1000</f>
        <v>704</v>
      </c>
      <c r="H47" s="2" t="str">
        <f>Tabla1[[#This Row],[Solubility (DMSO)]]</f>
        <v>100 g/L</v>
      </c>
      <c r="I47" s="2" t="str">
        <f>Tabla1[[#This Row],[Solubility (H2O)]]</f>
        <v>0.75 g/L</v>
      </c>
      <c r="J47" s="2" t="s">
        <v>2417</v>
      </c>
      <c r="K47" s="2">
        <v>200</v>
      </c>
      <c r="L47" s="89">
        <f>Tabla134[[#This Row],[V DMSO to be used to perform the stocks]]/7</f>
        <v>2.8571428571428572</v>
      </c>
      <c r="M47" s="83">
        <f>Tabla1[[#This Row],[(exempted g or ml)]]</f>
        <v>30</v>
      </c>
      <c r="N47" s="74">
        <v>4</v>
      </c>
      <c r="O47" s="70">
        <f>Tabla13[[#This Row],[Total amount to be purchased (g or ml)]]</f>
        <v>5</v>
      </c>
      <c r="P47" s="78">
        <f>Tabla13[[#This Row],[Needed amount of chemical (g); Ruben Leitat calculations]]</f>
        <v>4.2240000000000002</v>
      </c>
      <c r="Q47" s="78">
        <f>Tabla13[[#This Row],[Needed amount of chemical (g); Stefan UFZ calculations]]</f>
        <v>2.8557463245319856</v>
      </c>
      <c r="R47" s="2" t="str">
        <f>"For performing the stock: use "&amp;ROUND(Tabla134[[#This Row],[V DMSO to be used to perform the stocks]],3)&amp;" ml!!!
Send "&amp;ROUND(Tabla134[[#This Row],[Proposed stock volume (per partner; ml -or g-)]],2)&amp;" ml (x7)(stock)"</f>
        <v>For performing the stock: use 20 ml!!!
Send 2.86 ml (x7)(stock)</v>
      </c>
      <c r="S47" s="2" t="str">
        <f>Tabla13[[#This Row],[EC50 fish]]</f>
        <v>LC50 - Oncorhynchus mykiss (rainbow trout) - 2,72 mg/l - 96 h</v>
      </c>
      <c r="T47" s="2" t="str">
        <f>Tabla13[[#This Row],[EC50 daphnia]]</f>
        <v>7,04 mg/l</v>
      </c>
      <c r="U47" s="2">
        <f>Tabla134[[#This Row],[Used amount of chemical for stocks (g)]]*1000/Tabla134[[#This Row],[Proposed stock concentration (g/L)]]</f>
        <v>20</v>
      </c>
      <c r="V47" s="100">
        <v>0.1</v>
      </c>
      <c r="W47" s="100">
        <f>Tabla134[[#This Row],[trials solubility (g  to be used)]]*1000/100</f>
        <v>1</v>
      </c>
      <c r="X47" s="100">
        <v>0.45</v>
      </c>
      <c r="Y47" s="103">
        <f>(1000/Tabla134[[#This Row],[DMSO used to solubilize the compound (ml)]])*0.0917</f>
        <v>203.77777777777777</v>
      </c>
    </row>
    <row r="48" spans="1:25" ht="60">
      <c r="A48" s="10" t="s">
        <v>475</v>
      </c>
      <c r="B48" s="10" t="str">
        <f>Tabla13[[#This Row],[Prec.Tox code]]</f>
        <v>PTX039</v>
      </c>
      <c r="C48" s="2" t="str">
        <f>Tabla1[[#This Row],[CAS number]]</f>
        <v>15307-86-5</v>
      </c>
      <c r="D48" s="2" t="s">
        <v>2439</v>
      </c>
      <c r="E48" s="2">
        <f>Tabla13[[#This Row],['[max.'] to reach 100% mortality (mg/L)]]/1000</f>
        <v>12</v>
      </c>
      <c r="F48" s="90">
        <f>Tabla13[[#This Row],[Needed amount of chemical (g); Stefan UFZ calculations]]/5</f>
        <v>0.20919397722193622</v>
      </c>
      <c r="G48" s="2">
        <f>MAX(Tabla134[[#This Row],['[max.'] to reach 100% mortality (g/L) Leitat]:['[max.'] to reach baseline toxicity (g/L) UFZ]])*1000</f>
        <v>12000</v>
      </c>
      <c r="H48" s="2" t="str">
        <f>Tabla1[[#This Row],[Solubility (DMSO)]]</f>
        <v>40 g/L</v>
      </c>
      <c r="I48" s="2" t="str">
        <f>Tabla1[[#This Row],[Solubility (H2O)]]</f>
        <v>0,0071 g/l at 25 °C - slightly soluble</v>
      </c>
      <c r="J48" s="2" t="s">
        <v>2417</v>
      </c>
      <c r="K48" s="2">
        <v>400</v>
      </c>
      <c r="L48" s="89">
        <f>Tabla134[[#This Row],[V DMSO to be used to perform the stocks]]/7</f>
        <v>21.428571428571427</v>
      </c>
      <c r="M48" s="83">
        <f>Tabla1[[#This Row],[(exempted g or ml)]]</f>
        <v>30</v>
      </c>
      <c r="N48" s="74">
        <v>60</v>
      </c>
      <c r="O48" s="70">
        <f>Tabla13[[#This Row],[Total amount to be purchased (g or ml)]]</f>
        <v>75</v>
      </c>
      <c r="P48" s="78">
        <f>Tabla13[[#This Row],[Needed amount of chemical (g); Ruben Leitat calculations]]</f>
        <v>72</v>
      </c>
      <c r="Q48" s="78">
        <f>Tabla13[[#This Row],[Needed amount of chemical (g); Stefan UFZ calculations]]</f>
        <v>1.0459698861096811</v>
      </c>
      <c r="R48" s="2" t="str">
        <f>"For performing the stock: use "&amp;ROUND(Tabla134[[#This Row],[V DMSO to be used to perform the stocks]],3)&amp;" ml!!!
Send "&amp;ROUND(Tabla134[[#This Row],[Proposed stock volume (per partner; ml -or g-)]],2)&amp;" ml (x7)(stock)"</f>
        <v>For performing the stock: use 150 ml!!!
Send 21.43 ml (x7)(stock)</v>
      </c>
      <c r="S48" s="2" t="str">
        <f>Tabla13[[#This Row],[EC50 fish]]</f>
        <v>LC50 : 82 mg/l</v>
      </c>
      <c r="T48" s="2" t="str">
        <f>Tabla13[[#This Row],[EC50 daphnia]]</f>
        <v>68 mg/L (from 22.43 - 120 mg/L, depending on biblio, and on sodium salt or acid)</v>
      </c>
      <c r="U48" s="2">
        <f>Tabla134[[#This Row],[Used amount of chemical for stocks (g)]]*1000/Tabla134[[#This Row],[Proposed stock concentration (g/L)]]</f>
        <v>150</v>
      </c>
      <c r="V48" s="100">
        <v>0.15</v>
      </c>
      <c r="W48" s="102">
        <f>Tabla134[[#This Row],[trials solubility (g  to be used)]]*1000/40</f>
        <v>3.75</v>
      </c>
      <c r="X48" s="100">
        <v>0.35</v>
      </c>
      <c r="Y48" s="103">
        <f>(1000/Tabla134[[#This Row],[DMSO used to solubilize the compound (ml)]])*0.1383</f>
        <v>395.14285714285717</v>
      </c>
    </row>
    <row r="49" spans="1:25" ht="90">
      <c r="A49" s="10" t="s">
        <v>484</v>
      </c>
      <c r="B49" s="10" t="str">
        <f>Tabla13[[#This Row],[Prec.Tox code]]</f>
        <v>PTX040</v>
      </c>
      <c r="C49" s="2" t="str">
        <f>Tabla1[[#This Row],[CAS number]]</f>
        <v>80-05-7</v>
      </c>
      <c r="D49" s="2" t="s">
        <v>2440</v>
      </c>
      <c r="E49" s="2">
        <f>Tabla13[[#This Row],['[max.'] to reach 100% mortality (mg/L)]]/1000</f>
        <v>1.1000000000000001</v>
      </c>
      <c r="F49" s="90">
        <f>Tabla13[[#This Row],[Needed amount of chemical (g); Stefan UFZ calculations]]/5</f>
        <v>3.4381608895722775E-2</v>
      </c>
      <c r="G49" s="2">
        <f>MAX(Tabla134[[#This Row],['[max.'] to reach 100% mortality (g/L) Leitat]:['[max.'] to reach baseline toxicity (g/L) UFZ]])*1000</f>
        <v>1100</v>
      </c>
      <c r="H49" s="2" t="str">
        <f>Tabla1[[#This Row],[Solubility (DMSO)]]</f>
        <v>45 g/L</v>
      </c>
      <c r="I49" s="2" t="str">
        <f>Tabla1[[#This Row],[Solubility (H2O)]]</f>
        <v>0,298 g/l</v>
      </c>
      <c r="J49" s="2" t="s">
        <v>2419</v>
      </c>
      <c r="K49" s="2" t="s">
        <v>34</v>
      </c>
      <c r="L49" s="21">
        <v>6</v>
      </c>
      <c r="M49" s="83">
        <f>Tabla1[[#This Row],[(exempted g or ml)]]</f>
        <v>30</v>
      </c>
      <c r="N49" s="74">
        <f>Tabla134[[#This Row],[Proposed stock volume (per partner; ml -or g-)]]*7</f>
        <v>42</v>
      </c>
      <c r="O49" s="70">
        <f>Tabla13[[#This Row],[Total amount to be purchased (g or ml)]]</f>
        <v>50</v>
      </c>
      <c r="P49" s="78">
        <f>Tabla13[[#This Row],[Needed amount of chemical (g); Ruben Leitat calculations]]</f>
        <v>6.6</v>
      </c>
      <c r="Q49" s="78">
        <f>Tabla13[[#This Row],[Needed amount of chemical (g); Stefan UFZ calculations]]</f>
        <v>0.17190804447861388</v>
      </c>
      <c r="R49" s="2" t="s">
        <v>2441</v>
      </c>
      <c r="S49" s="2" t="str">
        <f>Tabla13[[#This Row],[EC50 fish]]</f>
        <v>LC50 - Pimephales promelas (fathead minnow) - 4,6 mg/l - 96 h
LC50 - Cyprinodon variegatus (sheepshead minnow) - 11 mg/l - 96 h</v>
      </c>
      <c r="T49" s="2" t="str">
        <f>Tabla13[[#This Row],[EC50 daphnia]]</f>
        <v>EC50 - 10,2 mg/l - 48 h</v>
      </c>
      <c r="U49" s="91" t="s">
        <v>34</v>
      </c>
      <c r="V49" s="100">
        <v>0.15</v>
      </c>
      <c r="W49" s="102">
        <f>Tabla134[[#This Row],[trials solubility (g  to be used)]]*1000/45</f>
        <v>3.3333333333333335</v>
      </c>
      <c r="X49" s="100">
        <v>0.7</v>
      </c>
      <c r="Y49" s="103">
        <f>(1000/Tabla134[[#This Row],[DMSO used to solubilize the compound (ml)]])*0.1373</f>
        <v>196.14285714285717</v>
      </c>
    </row>
    <row r="50" spans="1:25" ht="55.15" customHeight="1">
      <c r="A50" s="10" t="s">
        <v>496</v>
      </c>
      <c r="B50" s="10" t="str">
        <f>Tabla13[[#This Row],[Prec.Tox code]]</f>
        <v>PTX041</v>
      </c>
      <c r="C50" s="2" t="str">
        <f>Tabla1[[#This Row],[CAS number]]</f>
        <v>882-09-7</v>
      </c>
      <c r="D50" s="2" t="s">
        <v>2389</v>
      </c>
      <c r="E50" s="2">
        <f>Tabla13[[#This Row],['[max.'] to reach 100% mortality (mg/L)]]/1000</f>
        <v>3.1</v>
      </c>
      <c r="F50" s="90">
        <f>Tabla13[[#This Row],[Needed amount of chemical (g); Stefan UFZ calculations]]/5</f>
        <v>0.64953910307690577</v>
      </c>
      <c r="G50" s="2">
        <f>MAX(Tabla134[[#This Row],['[max.'] to reach 100% mortality (g/L) Leitat]:['[max.'] to reach baseline toxicity (g/L) UFZ]])*1000</f>
        <v>3100</v>
      </c>
      <c r="H50" s="2" t="str">
        <f>Tabla1[[#This Row],[Solubility (DMSO)]]</f>
        <v>2 g/l</v>
      </c>
      <c r="I50" s="2" t="str">
        <f>Tabla1[[#This Row],[Solubility (H2O)]]</f>
        <v>0.5 g/l</v>
      </c>
      <c r="J50" s="21" t="s">
        <v>2430</v>
      </c>
      <c r="K50" s="2" t="s">
        <v>34</v>
      </c>
      <c r="L50" s="21">
        <v>6</v>
      </c>
      <c r="M50" s="83" t="str">
        <f>Tabla1[[#This Row],[(exempted g or ml)]]</f>
        <v>Not regulated; any amount limit in internal packages</v>
      </c>
      <c r="N50" s="74">
        <f>Tabla134[[#This Row],[Proposed stock volume (per partner; ml -or g-)]]*7</f>
        <v>42</v>
      </c>
      <c r="O50" s="70">
        <f>Tabla13[[#This Row],[Total amount to be purchased (g or ml)]]</f>
        <v>50</v>
      </c>
      <c r="P50" s="78">
        <f>Tabla13[[#This Row],[Needed amount of chemical (g); Ruben Leitat calculations]]</f>
        <v>18.600000000000001</v>
      </c>
      <c r="Q50" s="78">
        <f>Tabla13[[#This Row],[Needed amount of chemical (g); Stefan UFZ calculations]]</f>
        <v>3.2476955153845291</v>
      </c>
      <c r="R50" s="2" t="s">
        <v>2441</v>
      </c>
      <c r="S50" s="2" t="str">
        <f>Tabla13[[#This Row],[EC50 fish]]</f>
        <v>31 mg/L predicted basline toxicity zebrafish 96h</v>
      </c>
      <c r="T50" s="2" t="str">
        <f>Tabla13[[#This Row],[EC50 daphnia]]</f>
        <v>28.2 mg/L</v>
      </c>
      <c r="U50" s="2" t="s">
        <v>34</v>
      </c>
      <c r="V50" s="100" t="s">
        <v>34</v>
      </c>
      <c r="W50" s="102" t="s">
        <v>34</v>
      </c>
      <c r="X50" s="100" t="s">
        <v>34</v>
      </c>
      <c r="Y50" s="100" t="s">
        <v>34</v>
      </c>
    </row>
    <row r="51" spans="1:25" ht="48">
      <c r="A51" s="10" t="s">
        <v>505</v>
      </c>
      <c r="B51" s="10" t="str">
        <f>Tabla13[[#This Row],[Prec.Tox code]]</f>
        <v>PTX042</v>
      </c>
      <c r="C51" s="2" t="str">
        <f>Tabla1[[#This Row],[CAS number]]</f>
        <v>10605-21-7</v>
      </c>
      <c r="D51" s="2" t="s">
        <v>2442</v>
      </c>
      <c r="E51" s="2">
        <f>Tabla13[[#This Row],['[max.'] to reach 100% mortality (mg/L)]]/1000</f>
        <v>1.4999999999999999E-2</v>
      </c>
      <c r="F51" s="90">
        <f>Tabla13[[#This Row],[Needed amount of chemical (g); Stefan UFZ calculations]]/5</f>
        <v>0.72855593708832078</v>
      </c>
      <c r="G51" s="2">
        <f>MAX(Tabla134[[#This Row],['[max.'] to reach 100% mortality (g/L) Leitat]:['[max.'] to reach baseline toxicity (g/L) UFZ]])*1000</f>
        <v>728.55593708832077</v>
      </c>
      <c r="H51" s="2" t="str">
        <f>Tabla1[[#This Row],[Solubility (DMSO)]]</f>
        <v>6.8 g/L</v>
      </c>
      <c r="I51" s="2" t="str">
        <f>Tabla1[[#This Row],[Solubility (H2O)]]</f>
        <v>0,1 g/l</v>
      </c>
      <c r="J51" s="2" t="s">
        <v>2419</v>
      </c>
      <c r="K51" s="2" t="s">
        <v>34</v>
      </c>
      <c r="L51" s="21">
        <v>12</v>
      </c>
      <c r="M51" s="83">
        <f>Tabla1[[#This Row],[(exempted g or ml)]]</f>
        <v>30</v>
      </c>
      <c r="N51" s="74">
        <f>Tabla134[[#This Row],[Proposed stock volume (per partner; ml -or g-)]]*7</f>
        <v>84</v>
      </c>
      <c r="O51" s="70">
        <f>Tabla13[[#This Row],[Total amount to be purchased (g or ml)]]</f>
        <v>100</v>
      </c>
      <c r="P51" s="78">
        <f>Tabla13[[#This Row],[Needed amount of chemical (g); Ruben Leitat calculations]]</f>
        <v>0.09</v>
      </c>
      <c r="Q51" s="78">
        <f>Tabla13[[#This Row],[Needed amount of chemical (g); Stefan UFZ calculations]]</f>
        <v>3.6427796854416039</v>
      </c>
      <c r="R51" s="2" t="s">
        <v>2443</v>
      </c>
      <c r="S51" s="2" t="str">
        <f>Tabla13[[#This Row],[EC50 fish]]</f>
        <v>LC50 - Oncorhynchus mykiss (rainbow trout) - 0,024 mg/l - 96,0 h</v>
      </c>
      <c r="T51" s="2" t="str">
        <f>Tabla13[[#This Row],[EC50 daphnia]]</f>
        <v>0.15 mg/L</v>
      </c>
      <c r="U51" s="2" t="s">
        <v>34</v>
      </c>
      <c r="V51" s="100" t="s">
        <v>34</v>
      </c>
      <c r="W51" s="102" t="s">
        <v>34</v>
      </c>
      <c r="X51" s="100" t="s">
        <v>34</v>
      </c>
      <c r="Y51" s="100" t="s">
        <v>34</v>
      </c>
    </row>
    <row r="52" spans="1:25" ht="73.150000000000006" customHeight="1">
      <c r="A52" s="10" t="s">
        <v>516</v>
      </c>
      <c r="B52" s="10" t="str">
        <f>Tabla13[[#This Row],[Prec.Tox code]]</f>
        <v>PTX043</v>
      </c>
      <c r="C52" s="2" t="str">
        <f>Tabla1[[#This Row],[CAS number]]</f>
        <v>1461-22-9</v>
      </c>
      <c r="D52" s="2" t="s">
        <v>2444</v>
      </c>
      <c r="E52" s="2">
        <f>Tabla13[[#This Row],['[max.'] to reach 100% mortality (mg/L)]]/1000</f>
        <v>9.7999999999999997E-4</v>
      </c>
      <c r="F52" s="90">
        <f>Tabla13[[#This Row],[Needed amount of chemical (g); Stefan UFZ calculations]]/5</f>
        <v>6.891252556287783E-2</v>
      </c>
      <c r="G52" s="2">
        <f>MAX(Tabla134[[#This Row],['[max.'] to reach 100% mortality (g/L) Leitat]:['[max.'] to reach baseline toxicity (g/L) UFZ]])*1000</f>
        <v>68.912525562877832</v>
      </c>
      <c r="H52" s="2" t="str">
        <f>Tabla1[[#This Row],[Solubility (DMSO)]]</f>
        <v>'soluble' (at least &lt;1 g/L)</v>
      </c>
      <c r="I52" s="2" t="str">
        <f>Tabla1[[#This Row],[Solubility (H2O)]]</f>
        <v>0,0758 g/l</v>
      </c>
      <c r="J52" s="2" t="s">
        <v>2417</v>
      </c>
      <c r="K52" s="92">
        <f>Tabla134[[#This Row],[Used amount of chemical for stocks (g)]]/(Tabla134[[#This Row],[V DMSO to be used to perform the stocks]]/1000)</f>
        <v>352.94117647058823</v>
      </c>
      <c r="L52" s="89">
        <f>Tabla134[[#This Row],[V DMSO to be used to perform the stocks]]/7</f>
        <v>24.285714285714285</v>
      </c>
      <c r="M52" s="83">
        <f>Tabla1[[#This Row],[(exempted g or ml)]]</f>
        <v>30</v>
      </c>
      <c r="N52" s="74">
        <v>60</v>
      </c>
      <c r="O52" s="70">
        <f>Tabla13[[#This Row],[Total amount to be purchased (g or ml)]]</f>
        <v>100</v>
      </c>
      <c r="P52" s="78">
        <f>Tabla13[[#This Row],[Needed amount of chemical (g); Ruben Leitat calculations]]</f>
        <v>5.8799999999999998E-3</v>
      </c>
      <c r="Q52" s="78">
        <f>Tabla13[[#This Row],[Needed amount of chemical (g); Stefan UFZ calculations]]</f>
        <v>0.34456262781438912</v>
      </c>
      <c r="R52" s="2" t="str">
        <f>"For performing the stock: use "&amp;ROUND(Tabla134[[#This Row],[V DMSO to be used to perform the stocks]],3)&amp;" ml!!!
Send "&amp;ROUND(Tabla134[[#This Row],[Proposed stock volume (per partner; ml -or g-)]],2)&amp;" ml (x7)(stock)"</f>
        <v>For performing the stock: use 170 ml!!!
Send 24.29 ml (x7)(stock)</v>
      </c>
      <c r="S52" s="2" t="str">
        <f>Tabla13[[#This Row],[EC50 fish]]</f>
        <v>LC50 - Danio rerio (zebrafish) - 0,0079 mg/l - 96 h</v>
      </c>
      <c r="T52" s="2" t="str">
        <f>Tabla13[[#This Row],[EC50 daphnia]]</f>
        <v>static test EC50 - Daphnia magna (Water flea) - 0,0098 mg/l - 48 h
(OECD Test Guideline 202)</v>
      </c>
      <c r="U52" s="2">
        <v>170</v>
      </c>
      <c r="V52" s="100" t="s">
        <v>34</v>
      </c>
      <c r="W52" s="102" t="s">
        <v>34</v>
      </c>
      <c r="X52" s="100" t="s">
        <v>34</v>
      </c>
      <c r="Y52" s="100" t="s">
        <v>34</v>
      </c>
    </row>
    <row r="53" spans="1:25" ht="45">
      <c r="A53" s="10" t="s">
        <v>529</v>
      </c>
      <c r="B53" s="10" t="str">
        <f>Tabla13[[#This Row],[Prec.Tox code]]</f>
        <v>PTX044</v>
      </c>
      <c r="C53" s="2" t="str">
        <f>Tabla1[[#This Row],[CAS number]]</f>
        <v>117428-22-5</v>
      </c>
      <c r="D53" s="2" t="s">
        <v>2445</v>
      </c>
      <c r="E53" s="2">
        <f>Tabla13[[#This Row],['[max.'] to reach 100% mortality (mg/L)]]/1000</f>
        <v>7.4999999999999997E-3</v>
      </c>
      <c r="F53" s="90">
        <f>Tabla13[[#This Row],[Needed amount of chemical (g); Stefan UFZ calculations]]/5</f>
        <v>4.5812794401259543E-2</v>
      </c>
      <c r="G53" s="2">
        <f>MAX(Tabla134[[#This Row],['[max.'] to reach 100% mortality (g/L) Leitat]:['[max.'] to reach baseline toxicity (g/L) UFZ]])*1000</f>
        <v>45.812794401259545</v>
      </c>
      <c r="H53" s="2" t="str">
        <f>Tabla1[[#This Row],[Solubility (DMSO)]]</f>
        <v>100 g/L</v>
      </c>
      <c r="I53" s="2" t="str">
        <f>Tabla1[[#This Row],[Solubility (H2O)]]</f>
        <v>3,1 mg/l</v>
      </c>
      <c r="J53" s="2" t="s">
        <v>2417</v>
      </c>
      <c r="K53" s="2">
        <v>60</v>
      </c>
      <c r="L53" s="89">
        <f>Tabla134[[#This Row],[V DMSO to be used to perform the stocks]]/7</f>
        <v>0.7142857142857143</v>
      </c>
      <c r="M53" s="83">
        <f>Tabla1[[#This Row],[(exempted g or ml)]]</f>
        <v>30</v>
      </c>
      <c r="N53" s="74">
        <v>0.3</v>
      </c>
      <c r="O53" s="70">
        <f>Tabla13[[#This Row],[Total amount to be purchased (g or ml)]]</f>
        <v>0.3</v>
      </c>
      <c r="P53" s="78">
        <f>Tabla13[[#This Row],[Needed amount of chemical (g); Ruben Leitat calculations]]</f>
        <v>4.4999999999999998E-2</v>
      </c>
      <c r="Q53" s="78">
        <f>Tabla13[[#This Row],[Needed amount of chemical (g); Stefan UFZ calculations]]</f>
        <v>0.22906397200629772</v>
      </c>
      <c r="R53" s="2" t="str">
        <f>"For performing the stock: use "&amp;ROUND(Tabla134[[#This Row],[V DMSO to be used to perform the stocks]],3)&amp;" ml!!!
Send "&amp;ROUND(Tabla134[[#This Row],[Proposed stock volume (per partner; ml -or g-)]],2)&amp;" ml (x7)(stock)"</f>
        <v>For performing the stock: use 5 ml!!!
Send 0.71 ml (x7)(stock)</v>
      </c>
      <c r="S53" s="2" t="str">
        <f>Tabla13[[#This Row],[EC50 fish]]</f>
        <v>LC50 - Oncorhynchus mykiss (rainbow trout) - 0,075 mg/l - 96,0 h</v>
      </c>
      <c r="T53" s="2" t="str">
        <f>Tabla13[[#This Row],[EC50 daphnia]]</f>
        <v>EC50 - Daphnia magna (Water flea) - 0,024 mg/l - 48 h</v>
      </c>
      <c r="U53" s="91">
        <f>Tabla134[[#This Row],[Used amount of chemical for stocks (g)]]*1000/Tabla134[[#This Row],[Proposed stock concentration (g/L)]]</f>
        <v>5</v>
      </c>
      <c r="V53" s="100" t="s">
        <v>34</v>
      </c>
      <c r="W53" s="100" t="s">
        <v>34</v>
      </c>
      <c r="X53" s="100" t="s">
        <v>34</v>
      </c>
      <c r="Y53" s="100" t="s">
        <v>34</v>
      </c>
    </row>
    <row r="54" spans="1:25" ht="109.9" customHeight="1">
      <c r="A54" s="10" t="s">
        <v>539</v>
      </c>
      <c r="B54" s="10" t="str">
        <f>Tabla13[[#This Row],[Prec.Tox code]]</f>
        <v>PTX045</v>
      </c>
      <c r="C54" s="2" t="str">
        <f>Tabla1[[#This Row],[CAS number]]</f>
        <v>111-76-2</v>
      </c>
      <c r="D54" s="2" t="s">
        <v>2446</v>
      </c>
      <c r="E54" s="2">
        <f>Tabla13[[#This Row],['[max.'] to reach 100% mortality (mg/L)]]/1000</f>
        <v>155</v>
      </c>
      <c r="F54" s="90" t="e">
        <f>Tabla13[[#This Row],[Needed amount of chemical (g); Stefan UFZ calculations]]/5</f>
        <v>#VALUE!</v>
      </c>
      <c r="G54" s="2">
        <f>Tabla134[[#This Row],['[max.'] to reach 100% mortality (g/L) Leitat]]*1000</f>
        <v>155000</v>
      </c>
      <c r="H54" s="2" t="str">
        <f>Tabla1[[#This Row],[Solubility (DMSO)]]</f>
        <v>'miscible in most organic solvents'</v>
      </c>
      <c r="I54" s="2" t="str">
        <f>Tabla1[[#This Row],[Solubility (H2O)]]</f>
        <v>'miscible'</v>
      </c>
      <c r="J54" s="2" t="s">
        <v>2393</v>
      </c>
      <c r="K54" s="2" t="s">
        <v>34</v>
      </c>
      <c r="L54" s="21">
        <v>90</v>
      </c>
      <c r="M54" s="83" t="str">
        <f>Tabla1[[#This Row],[(exempted g or ml)]]</f>
        <v>Not regulated; any amount limit in internal packages</v>
      </c>
      <c r="N54" s="74">
        <f>Tabla134[[#This Row],[Proposed stock volume (per partner; ml -or g-)]]*10</f>
        <v>900</v>
      </c>
      <c r="O54" s="70">
        <f>Tabla13[[#This Row],[Total amount to be purchased (g or ml)]]</f>
        <v>1000</v>
      </c>
      <c r="P54" s="78">
        <f>Tabla13[[#This Row],[Needed amount of chemical (g); Ruben Leitat calculations]]</f>
        <v>930</v>
      </c>
      <c r="Q54" s="78" t="str">
        <f>Tabla13[[#This Row],[Needed amount of chemical (g); Stefan UFZ calculations]]</f>
        <v>?</v>
      </c>
      <c r="R54" s="2" t="s">
        <v>2447</v>
      </c>
      <c r="S54" s="2" t="str">
        <f>Tabla13[[#This Row],[EC50 fish]]</f>
        <v>Oncorhynchus mykiss (rainbow trout) - 1.474 mg/l - 96 h</v>
      </c>
      <c r="T54" s="2" t="str">
        <f>Tabla13[[#This Row],[EC50 daphnia]]</f>
        <v>1.550 mg/l - 48 h</v>
      </c>
      <c r="U54" s="2" t="s">
        <v>34</v>
      </c>
      <c r="V54" s="100" t="s">
        <v>34</v>
      </c>
      <c r="W54" s="102" t="s">
        <v>34</v>
      </c>
      <c r="X54" s="100" t="s">
        <v>34</v>
      </c>
      <c r="Y54" s="100" t="s">
        <v>34</v>
      </c>
    </row>
    <row r="55" spans="1:25" s="61" customFormat="1" ht="110.45" customHeight="1">
      <c r="A55" s="27" t="s">
        <v>551</v>
      </c>
      <c r="B55" s="27" t="str">
        <f>Tabla13[[#This Row],[Prec.Tox code]]</f>
        <v>PTX046</v>
      </c>
      <c r="C55" s="21" t="str">
        <f>Tabla1[[#This Row],[CAS number]]</f>
        <v>51-28-5</v>
      </c>
      <c r="D55" s="21" t="s">
        <v>2448</v>
      </c>
      <c r="E55" s="21">
        <f>Tabla13[[#This Row],['[max.'] to reach 100% mortality (mg/L)]]/1000</f>
        <v>4.2345300000000002E-3</v>
      </c>
      <c r="F55" s="93">
        <f>Tabla13[[#This Row],[Needed amount of chemical (g); Stefan UFZ calculations]]/5</f>
        <v>0.49158402844173982</v>
      </c>
      <c r="G55" s="21">
        <f>MAX(Tabla134[[#This Row],['[max.'] to reach 100% mortality (g/L) Leitat]:['[max.'] to reach baseline toxicity (g/L) UFZ]])*1000</f>
        <v>491.5840284417398</v>
      </c>
      <c r="H55" s="21" t="str">
        <f>Tabla1[[#This Row],[Solubility (DMSO)]]</f>
        <v>50 - 100 g/L</v>
      </c>
      <c r="I55" s="21" t="str">
        <f>Tabla1[[#This Row],[Solubility (H2O)]]</f>
        <v>1 - 5,6 g/l</v>
      </c>
      <c r="J55" s="21" t="s">
        <v>34</v>
      </c>
      <c r="K55" s="21" t="s">
        <v>34</v>
      </c>
      <c r="L55" s="21" t="s">
        <v>34</v>
      </c>
      <c r="M55" s="88">
        <f>Tabla1[[#This Row],[(exempted g or ml)]]</f>
        <v>0</v>
      </c>
      <c r="N55" s="21" t="e">
        <f>Tabla134[[#This Row],[Proposed stock volume (per partner; ml -or g-)]]*7</f>
        <v>#VALUE!</v>
      </c>
      <c r="O55" s="26">
        <f>Tabla13[[#This Row],[Total amount to be purchased (g or ml)]]</f>
        <v>100</v>
      </c>
      <c r="P55" s="89">
        <f>Tabla13[[#This Row],[Needed amount of chemical (g); Ruben Leitat calculations]]</f>
        <v>2.5407180000000001E-2</v>
      </c>
      <c r="Q55" s="89">
        <f>Tabla13[[#This Row],[Needed amount of chemical (g); Stefan UFZ calculations]]</f>
        <v>2.4579201422086991</v>
      </c>
      <c r="R55" s="22" t="s">
        <v>1973</v>
      </c>
      <c r="S55" s="21" t="str">
        <f>Tabla13[[#This Row],[EC50 fish]]</f>
        <v>LC50 - Cyprinodon variegatus (sheepshead minnow) - 13.0 - 36.3 mg/l - 96.0 h
LC50 - Lepomis macrochirus (Bluegill) - 1.76 - 5.9 mg/l - 96.0 h</v>
      </c>
      <c r="T55" s="21" t="str">
        <f>Tabla13[[#This Row],[EC50 daphnia]]</f>
        <v>4,1 mg/l</v>
      </c>
      <c r="U55" s="2" t="e">
        <f>Tabla134[[#This Row],[Used amount of chemical for stocks (g)]]*1000/Tabla134[[#This Row],[Proposed stock concentration (g/L)]]</f>
        <v>#VALUE!</v>
      </c>
      <c r="V55" s="100" t="s">
        <v>34</v>
      </c>
      <c r="W55" s="100" t="s">
        <v>34</v>
      </c>
      <c r="X55" s="100" t="s">
        <v>34</v>
      </c>
      <c r="Y55" s="100" t="s">
        <v>34</v>
      </c>
    </row>
    <row r="56" spans="1:25" ht="103.15" customHeight="1">
      <c r="A56" s="10" t="s">
        <v>567</v>
      </c>
      <c r="B56" s="10" t="str">
        <f>Tabla13[[#This Row],[Prec.Tox code]]</f>
        <v>PTX047</v>
      </c>
      <c r="C56" s="2" t="str">
        <f>Tabla1[[#This Row],[CAS number]]</f>
        <v>15663-27-1</v>
      </c>
      <c r="D56" s="2" t="s">
        <v>2449</v>
      </c>
      <c r="E56" s="2">
        <f>Tabla13[[#This Row],['[max.'] to reach 100% mortality (mg/L)]]/1000</f>
        <v>1.50025E-2</v>
      </c>
      <c r="F56" s="90">
        <f>Tabla13[[#This Row],[Needed amount of chemical (g); Stefan UFZ calculations]]/5</f>
        <v>49.797033676761117</v>
      </c>
      <c r="G56" s="2">
        <f>MAX(Tabla134[[#This Row],['[max.'] to reach 100% mortality (g/L) Leitat]:['[max.'] to reach baseline toxicity (g/L) UFZ]])*1000</f>
        <v>49797.033676761115</v>
      </c>
      <c r="H56" s="21" t="str">
        <f>Tabla1[[#This Row],[Solubility (DMSO)]]</f>
        <v>1 - 2.53 g/l
* Although highly soluble in DMSO, cisplatin is reported to be rendered inactive due to ligand dplacement by the nucleophilic sulfur of DMSO</v>
      </c>
      <c r="I56" s="2" t="str">
        <f>Tabla1[[#This Row],[Solubility (H2O)]]</f>
        <v>0.253 g/100 g</v>
      </c>
      <c r="J56" s="2"/>
      <c r="K56" s="2"/>
      <c r="L56" s="21"/>
      <c r="M56" s="83">
        <f>Tabla1[[#This Row],[(exempted g or ml)]]</f>
        <v>1</v>
      </c>
      <c r="N56" s="74">
        <f>Tabla134[[#This Row],[Proposed stock volume (per partner; ml -or g-)]]*7</f>
        <v>0</v>
      </c>
      <c r="O56" s="70">
        <f>Tabla13[[#This Row],[Total amount to be purchased (g or ml)]]</f>
        <v>0</v>
      </c>
      <c r="P56" s="78">
        <f>Tabla13[[#This Row],[Needed amount of chemical (g); Ruben Leitat calculations]]</f>
        <v>9.0014999999999998E-2</v>
      </c>
      <c r="Q56" s="78">
        <f>Tabla13[[#This Row],[Needed amount of chemical (g); Stefan UFZ calculations]]</f>
        <v>248.98516838380559</v>
      </c>
      <c r="R56" s="2"/>
      <c r="S56" s="2" t="str">
        <f>Tabla13[[#This Row],[EC50 fish]]</f>
        <v>LC50 - 64.5 mg/L - 96h, zebrafish, OECD 203</v>
      </c>
      <c r="T56" s="2" t="str">
        <f>Tabla13[[#This Row],[EC50 daphnia]]</f>
        <v>EC50 - 0.64-0.94 mg/L - 48 h</v>
      </c>
      <c r="U56" s="2" t="e">
        <f>Tabla134[[#This Row],[Used amount of chemical for stocks (g)]]*1000/Tabla134[[#This Row],[Proposed stock concentration (g/L)]]</f>
        <v>#DIV/0!</v>
      </c>
      <c r="V56" s="100"/>
      <c r="W56" s="100">
        <f>Tabla134[[#This Row],[trials solubility (g  to be used)]]*1000/100</f>
        <v>0</v>
      </c>
      <c r="X56" s="100"/>
      <c r="Y56" s="100"/>
    </row>
    <row r="57" spans="1:25">
      <c r="A57" s="10" t="s">
        <v>577</v>
      </c>
      <c r="B57" s="10" t="str">
        <f>Tabla13[[#This Row],[Prec.Tox code]]</f>
        <v>PTX048</v>
      </c>
      <c r="C57" s="2" t="str">
        <f>Tabla1[[#This Row],[CAS number]]</f>
        <v>82258-36-4</v>
      </c>
      <c r="D57" s="2" t="s">
        <v>2399</v>
      </c>
      <c r="E57" s="2">
        <f>Tabla13[[#This Row],['[max.'] to reach 100% mortality (mg/L)]]/1000</f>
        <v>1.6037499999999999E-3</v>
      </c>
      <c r="F57" s="90">
        <f>Tabla13[[#This Row],[Needed amount of chemical (g); Stefan UFZ calculations]]/5</f>
        <v>2.8321309214709035E-2</v>
      </c>
      <c r="G57" s="2">
        <f>MAX(Tabla134[[#This Row],['[max.'] to reach 100% mortality (g/L) Leitat]:['[max.'] to reach baseline toxicity (g/L) UFZ]])*1000</f>
        <v>28.321309214709036</v>
      </c>
      <c r="H57" s="2" t="str">
        <f>Tabla1[[#This Row],[Solubility (DMSO)]]</f>
        <v>21 g/L</v>
      </c>
      <c r="I57" s="2" t="str">
        <f>Tabla1[[#This Row],[Solubility (H2O)]]</f>
        <v>32 g/L</v>
      </c>
      <c r="J57" s="2"/>
      <c r="K57" s="2"/>
      <c r="L57" s="21"/>
      <c r="M57" s="83">
        <f>Tabla1[[#This Row],[(exempted g or ml)]]</f>
        <v>30</v>
      </c>
      <c r="N57" s="74">
        <f>Tabla134[[#This Row],[Proposed stock volume (per partner; ml -or g-)]]*7</f>
        <v>0</v>
      </c>
      <c r="O57" s="70">
        <f>Tabla13[[#This Row],[Total amount to be purchased (g or ml)]]</f>
        <v>0</v>
      </c>
      <c r="P57" s="78">
        <f>Tabla13[[#This Row],[Needed amount of chemical (g); Ruben Leitat calculations]]</f>
        <v>9.6225000000000008E-3</v>
      </c>
      <c r="Q57" s="78">
        <f>Tabla13[[#This Row],[Needed amount of chemical (g); Stefan UFZ calculations]]</f>
        <v>0.14160654607354517</v>
      </c>
      <c r="R57" s="2"/>
      <c r="S57" s="2" t="str">
        <f>Tabla13[[#This Row],[EC50 fish]]</f>
        <v>?</v>
      </c>
      <c r="T57" s="2" t="str">
        <f>Tabla13[[#This Row],[EC50 daphnia]]</f>
        <v>?</v>
      </c>
      <c r="U57" s="2" t="e">
        <f>Tabla134[[#This Row],[Used amount of chemical for stocks (g)]]*1000/Tabla134[[#This Row],[Proposed stock concentration (g/L)]]</f>
        <v>#DIV/0!</v>
      </c>
      <c r="V57" s="100"/>
      <c r="W57" s="100">
        <f>Tabla134[[#This Row],[trials solubility (g  to be used)]]*1000/100</f>
        <v>0</v>
      </c>
      <c r="X57" s="100"/>
      <c r="Y57" s="100"/>
    </row>
    <row r="58" spans="1:25" ht="30">
      <c r="A58" s="10" t="s">
        <v>586</v>
      </c>
      <c r="B58" s="10" t="str">
        <f>Tabla13[[#This Row],[Prec.Tox code]]</f>
        <v>PTX049</v>
      </c>
      <c r="C58" s="2" t="str">
        <f>Tabla1[[#This Row],[CAS number]]</f>
        <v>157-03-9</v>
      </c>
      <c r="D58" s="2" t="s">
        <v>2450</v>
      </c>
      <c r="E58" s="2">
        <f>Tabla13[[#This Row],['[max.'] to reach 100% mortality (mg/L)]]/1000</f>
        <v>0.17115</v>
      </c>
      <c r="F58" s="90" t="e">
        <f>Tabla13[[#This Row],[Needed amount of chemical (g); Stefan UFZ calculations]]/5</f>
        <v>#VALUE!</v>
      </c>
      <c r="G58" s="2" t="e">
        <f>MAX(Tabla134[[#This Row],['[max.'] to reach 100% mortality (g/L) Leitat]:['[max.'] to reach baseline toxicity (g/L) UFZ]])*1000</f>
        <v>#VALUE!</v>
      </c>
      <c r="H58" s="2" t="str">
        <f>Tabla1[[#This Row],[Solubility (DMSO)]]</f>
        <v>7 g/L</v>
      </c>
      <c r="I58" s="2" t="str">
        <f>Tabla1[[#This Row],[Solubility (H2O)]]</f>
        <v>34 - 83.33 g/L</v>
      </c>
      <c r="J58" s="2"/>
      <c r="K58" s="2"/>
      <c r="L58" s="21"/>
      <c r="M58" s="83">
        <f>Tabla1[[#This Row],[(exempted g or ml)]]</f>
        <v>30</v>
      </c>
      <c r="N58" s="74">
        <f>Tabla134[[#This Row],[Proposed stock volume (per partner; ml -or g-)]]*7</f>
        <v>0</v>
      </c>
      <c r="O58" s="70">
        <f>Tabla13[[#This Row],[Total amount to be purchased (g or ml)]]</f>
        <v>0</v>
      </c>
      <c r="P58" s="78">
        <f>Tabla13[[#This Row],[Needed amount of chemical (g); Ruben Leitat calculations]]</f>
        <v>1.0269000000000001</v>
      </c>
      <c r="Q58" s="78" t="e">
        <f>Tabla13[[#This Row],[Needed amount of chemical (g); Stefan UFZ calculations]]</f>
        <v>#VALUE!</v>
      </c>
      <c r="R58" s="2"/>
      <c r="S58" s="2" t="str">
        <f>Tabla13[[#This Row],[EC50 fish]]</f>
        <v>?</v>
      </c>
      <c r="T58" s="2" t="str">
        <f>Tabla13[[#This Row],[EC50 daphnia]]</f>
        <v>?</v>
      </c>
      <c r="U58" s="2" t="e">
        <f>Tabla134[[#This Row],[Used amount of chemical for stocks (g)]]*1000/Tabla134[[#This Row],[Proposed stock concentration (g/L)]]</f>
        <v>#DIV/0!</v>
      </c>
      <c r="V58" s="100"/>
      <c r="W58" s="100">
        <f>Tabla134[[#This Row],[trials solubility (g  to be used)]]*1000/100</f>
        <v>0</v>
      </c>
      <c r="X58" s="100"/>
      <c r="Y58" s="100"/>
    </row>
    <row r="59" spans="1:25" ht="45">
      <c r="A59" s="10" t="s">
        <v>595</v>
      </c>
      <c r="B59" s="10" t="str">
        <f>Tabla13[[#This Row],[Prec.Tox code]]</f>
        <v>PTX050</v>
      </c>
      <c r="C59" s="2" t="str">
        <f>Tabla1[[#This Row],[CAS number]]</f>
        <v>869853-70-3</v>
      </c>
      <c r="D59" s="2" t="s">
        <v>2451</v>
      </c>
      <c r="E59" s="2">
        <f>Tabla13[[#This Row],['[max.'] to reach 100% mortality (mg/L)]]/1000</f>
        <v>6.2065999999999996E-3</v>
      </c>
      <c r="F59" s="90">
        <f>Tabla13[[#This Row],[Needed amount of chemical (g); Stefan UFZ calculations]]/5</f>
        <v>51.502624333272855</v>
      </c>
      <c r="G59" s="2">
        <f>MAX(Tabla134[[#This Row],['[max.'] to reach 100% mortality (g/L) Leitat]:['[max.'] to reach baseline toxicity (g/L) UFZ]])*1000</f>
        <v>51502.624333272855</v>
      </c>
      <c r="H59" s="2" t="str">
        <f>Tabla1[[#This Row],[Solubility (DMSO)]]</f>
        <v>"soluble"</v>
      </c>
      <c r="I59" s="2" t="str">
        <f>Tabla1[[#This Row],[Solubility (H2O)]]</f>
        <v>"soluble"?</v>
      </c>
      <c r="J59" s="2"/>
      <c r="K59" s="2"/>
      <c r="L59" s="21"/>
      <c r="M59" s="83" t="str">
        <f>Tabla1[[#This Row],[(exempted g or ml)]]</f>
        <v>Not regulated; any amount limit in internal packages</v>
      </c>
      <c r="N59" s="74">
        <f>Tabla134[[#This Row],[Proposed stock volume (per partner; ml -or g-)]]*7</f>
        <v>0</v>
      </c>
      <c r="O59" s="70">
        <f>Tabla13[[#This Row],[Total amount to be purchased (g or ml)]]</f>
        <v>0</v>
      </c>
      <c r="P59" s="78">
        <f>Tabla13[[#This Row],[Needed amount of chemical (g); Ruben Leitat calculations]]</f>
        <v>3.7239599999999998E-2</v>
      </c>
      <c r="Q59" s="78">
        <f>Tabla13[[#This Row],[Needed amount of chemical (g); Stefan UFZ calculations]]</f>
        <v>257.51312166636427</v>
      </c>
      <c r="R59" s="2"/>
      <c r="S59" s="2" t="str">
        <f>Tabla13[[#This Row],[EC50 fish]]</f>
        <v>?</v>
      </c>
      <c r="T59" s="2" t="str">
        <f>Tabla13[[#This Row],[EC50 daphnia]]</f>
        <v>?</v>
      </c>
      <c r="U59" s="2" t="e">
        <f>Tabla134[[#This Row],[Used amount of chemical for stocks (g)]]*1000/Tabla134[[#This Row],[Proposed stock concentration (g/L)]]</f>
        <v>#DIV/0!</v>
      </c>
      <c r="V59" s="100"/>
      <c r="W59" s="100">
        <f>Tabla134[[#This Row],[trials solubility (g  to be used)]]*1000/100</f>
        <v>0</v>
      </c>
      <c r="X59" s="100"/>
      <c r="Y59" s="100"/>
    </row>
    <row r="60" spans="1:25" ht="30">
      <c r="A60" s="10" t="s">
        <v>602</v>
      </c>
      <c r="B60" s="10" t="str">
        <f>Tabla13[[#This Row],[Prec.Tox code]]</f>
        <v>PTX051</v>
      </c>
      <c r="C60" s="2" t="str">
        <f>Tabla1[[#This Row],[CAS number]]</f>
        <v>78111-17-8
(209266-80-8)</v>
      </c>
      <c r="D60" s="2" t="s">
        <v>2389</v>
      </c>
      <c r="E60" s="2">
        <f>Tabla13[[#This Row],['[max.'] to reach 100% mortality (mg/L)]]/1000</f>
        <v>8.2699999999999994E-4</v>
      </c>
      <c r="F60" s="90">
        <f>Tabla13[[#This Row],[Needed amount of chemical (g); Stefan UFZ calculations]]/5</f>
        <v>0.25870429835890452</v>
      </c>
      <c r="G60" s="2">
        <f>MAX(Tabla134[[#This Row],['[max.'] to reach 100% mortality (g/L) Leitat]:['[max.'] to reach baseline toxicity (g/L) UFZ]])*1000</f>
        <v>258.70429835890451</v>
      </c>
      <c r="H60" s="2" t="str">
        <f>Tabla1[[#This Row],[Solubility (DMSO)]]</f>
        <v>40 g/L</v>
      </c>
      <c r="I60" s="2" t="str">
        <f>Tabla1[[#This Row],[Solubility (H2O)]]</f>
        <v>"soluble"</v>
      </c>
      <c r="J60" s="2"/>
      <c r="K60" s="2"/>
      <c r="L60" s="21"/>
      <c r="M60" s="83">
        <f>Tabla1[[#This Row],[(exempted g or ml)]]</f>
        <v>30</v>
      </c>
      <c r="N60" s="74">
        <f>Tabla134[[#This Row],[Proposed stock volume (per partner; ml -or g-)]]*7</f>
        <v>0</v>
      </c>
      <c r="O60" s="70">
        <f>Tabla13[[#This Row],[Total amount to be purchased (g or ml)]]</f>
        <v>0</v>
      </c>
      <c r="P60" s="78">
        <f>Tabla13[[#This Row],[Needed amount of chemical (g); Ruben Leitat calculations]]</f>
        <v>4.9619999999999994E-3</v>
      </c>
      <c r="Q60" s="78">
        <f>Tabla13[[#This Row],[Needed amount of chemical (g); Stefan UFZ calculations]]</f>
        <v>1.2935214917945226</v>
      </c>
      <c r="R60" s="2"/>
      <c r="S60" s="2" t="str">
        <f>Tabla13[[#This Row],[EC50 fish]]</f>
        <v>Medaka fish embryos - EC50  0.75 mg/L</v>
      </c>
      <c r="T60" s="2" t="str">
        <f>Tabla13[[#This Row],[EC50 daphnia]]</f>
        <v>15 ± 1.8 mg/l</v>
      </c>
      <c r="U60" s="2" t="e">
        <f>Tabla134[[#This Row],[Used amount of chemical for stocks (g)]]*1000/Tabla134[[#This Row],[Proposed stock concentration (g/L)]]</f>
        <v>#DIV/0!</v>
      </c>
      <c r="V60" s="100"/>
      <c r="W60" s="100">
        <f>Tabla134[[#This Row],[trials solubility (g  to be used)]]*1000/100</f>
        <v>0</v>
      </c>
      <c r="X60" s="100"/>
      <c r="Y60" s="100"/>
    </row>
    <row r="61" spans="1:25" ht="90">
      <c r="A61" s="10" t="s">
        <v>611</v>
      </c>
      <c r="B61" s="10" t="str">
        <f>Tabla13[[#This Row],[Prec.Tox code]]</f>
        <v>PTX052</v>
      </c>
      <c r="C61" s="2" t="str">
        <f>Tabla1[[#This Row],[CAS number]]</f>
        <v>485-49-4</v>
      </c>
      <c r="D61" s="2" t="s">
        <v>2451</v>
      </c>
      <c r="E61" s="2">
        <f>Tabla13[[#This Row],['[max.'] to reach 100% mortality (mg/L)]]/1000</f>
        <v>1.8367499999999998E-2</v>
      </c>
      <c r="F61" s="90">
        <f>Tabla13[[#This Row],[Needed amount of chemical (g); Stefan UFZ calculations]]/5</f>
        <v>1.0032373789445277</v>
      </c>
      <c r="G61" s="2">
        <f>MAX(Tabla134[[#This Row],['[max.'] to reach 100% mortality (g/L) Leitat]:['[max.'] to reach baseline toxicity (g/L) UFZ]])*1000</f>
        <v>1003.2373789445277</v>
      </c>
      <c r="H61" s="2" t="str">
        <f>Tabla1[[#This Row],[Solubility (DMSO)]]</f>
        <v>10 - 36.74 g/L</v>
      </c>
      <c r="I61" s="2" t="str">
        <f>Tabla1[[#This Row],[Solubility (H2O)]]</f>
        <v>10.19 g/L</v>
      </c>
      <c r="J61" s="2"/>
      <c r="K61" s="2"/>
      <c r="L61" s="21"/>
      <c r="M61" s="83">
        <f>Tabla1[[#This Row],[(exempted g or ml)]]</f>
        <v>1</v>
      </c>
      <c r="N61" s="74">
        <f>Tabla134[[#This Row],[Proposed stock volume (per partner; ml -or g-)]]*7</f>
        <v>0</v>
      </c>
      <c r="O61" s="70">
        <f>Tabla13[[#This Row],[Total amount to be purchased (g or ml)]]</f>
        <v>0</v>
      </c>
      <c r="P61" s="78">
        <f>Tabla13[[#This Row],[Needed amount of chemical (g); Ruben Leitat calculations]]</f>
        <v>0.11020500000000001</v>
      </c>
      <c r="Q61" s="78">
        <f>Tabla13[[#This Row],[Needed amount of chemical (g); Stefan UFZ calculations]]</f>
        <v>5.0161868947226385</v>
      </c>
      <c r="R61" s="2"/>
      <c r="S61" s="2" t="str">
        <f>Tabla13[[#This Row],[EC50 fish]]</f>
        <v>LC50 - Pimephales promelas (fathead minnow) - 0,039 mg/l - 96 h
48h LC50:1.03 mg/L (Gambusia affinis)</v>
      </c>
      <c r="T61" s="2" t="str">
        <f>Tabla13[[#This Row],[EC50 daphnia]]</f>
        <v>?</v>
      </c>
      <c r="U61" s="2" t="e">
        <f>Tabla134[[#This Row],[Used amount of chemical for stocks (g)]]*1000/Tabla134[[#This Row],[Proposed stock concentration (g/L)]]</f>
        <v>#DIV/0!</v>
      </c>
      <c r="V61" s="100"/>
      <c r="W61" s="100">
        <f>Tabla134[[#This Row],[trials solubility (g  to be used)]]*1000/100</f>
        <v>0</v>
      </c>
      <c r="X61" s="100"/>
      <c r="Y61" s="100"/>
    </row>
    <row r="62" spans="1:25" ht="30">
      <c r="A62" s="10" t="s">
        <v>621</v>
      </c>
      <c r="B62" s="10" t="str">
        <f>Tabla13[[#This Row],[Prec.Tox code]]</f>
        <v>PTX053</v>
      </c>
      <c r="C62" s="2" t="str">
        <f>Tabla1[[#This Row],[CAS number]]</f>
        <v>1229654-66-3</v>
      </c>
      <c r="D62" s="2" t="s">
        <v>2452</v>
      </c>
      <c r="E62" s="2">
        <f>Tabla13[[#This Row],['[max.'] to reach 100% mortality (mg/L)]]/1000</f>
        <v>0.90900000000000003</v>
      </c>
      <c r="F62" s="90">
        <f>Tabla13[[#This Row],[Needed amount of chemical (g); Stefan UFZ calculations]]/5</f>
        <v>5.8654436560262493</v>
      </c>
      <c r="G62" s="2">
        <f>MAX(Tabla134[[#This Row],['[max.'] to reach 100% mortality (g/L) Leitat]:['[max.'] to reach baseline toxicity (g/L) UFZ]])*1000</f>
        <v>5865.4436560262493</v>
      </c>
      <c r="H62" s="2" t="str">
        <f>Tabla1[[#This Row],[Solubility (DMSO)]]</f>
        <v>&gt;280 g/L</v>
      </c>
      <c r="I62" s="2" t="str">
        <f>Tabla1[[#This Row],[Solubility (H2O)]]</f>
        <v>0.0012 g/l</v>
      </c>
      <c r="J62" s="2"/>
      <c r="K62" s="2"/>
      <c r="L62" s="21"/>
      <c r="M62" s="83">
        <f>Tabla1[[#This Row],[(exempted g or ml)]]</f>
        <v>30</v>
      </c>
      <c r="N62" s="74">
        <f>Tabla134[[#This Row],[Proposed stock volume (per partner; ml -or g-)]]*7</f>
        <v>0</v>
      </c>
      <c r="O62" s="70">
        <f>Tabla13[[#This Row],[Total amount to be purchased (g or ml)]]</f>
        <v>0</v>
      </c>
      <c r="P62" s="78">
        <f>Tabla13[[#This Row],[Needed amount of chemical (g); Ruben Leitat calculations]]</f>
        <v>5.4540000000000006</v>
      </c>
      <c r="Q62" s="78">
        <f>Tabla13[[#This Row],[Needed amount of chemical (g); Stefan UFZ calculations]]</f>
        <v>29.327218280131245</v>
      </c>
      <c r="R62" s="2"/>
      <c r="S62" s="2" t="str">
        <f>Tabla13[[#This Row],[EC50 fish]]</f>
        <v>LC50/96h - 9.09 mg/l (fish)</v>
      </c>
      <c r="T62" s="2" t="str">
        <f>Tabla13[[#This Row],[EC50 daphnia]]</f>
        <v>0.173 - 0.247 mg/L</v>
      </c>
      <c r="U62" s="2" t="e">
        <f>Tabla134[[#This Row],[Used amount of chemical for stocks (g)]]*1000/Tabla134[[#This Row],[Proposed stock concentration (g/L)]]</f>
        <v>#DIV/0!</v>
      </c>
      <c r="V62" s="100"/>
      <c r="W62" s="100">
        <f>Tabla134[[#This Row],[trials solubility (g  to be used)]]*1000/100</f>
        <v>0</v>
      </c>
      <c r="X62" s="100"/>
      <c r="Y62" s="100"/>
    </row>
    <row r="63" spans="1:25" ht="45">
      <c r="A63" s="9" t="s">
        <v>632</v>
      </c>
      <c r="B63" s="10" t="str">
        <f>Tabla13[[#This Row],[Prec.Tox code]]</f>
        <v>PTX054</v>
      </c>
      <c r="C63" s="2" t="str">
        <f>Tabla1[[#This Row],[CAS number]]</f>
        <v>7683-59-2
(51-30-9)</v>
      </c>
      <c r="D63" s="2" t="s">
        <v>2399</v>
      </c>
      <c r="E63" s="2">
        <f>Tabla13[[#This Row],['[max.'] to reach 100% mortality (mg/L)]]/1000</f>
        <v>2.1126000000000002E-2</v>
      </c>
      <c r="F63" s="90">
        <f>Tabla13[[#This Row],[Needed amount of chemical (g); Stefan UFZ calculations]]/5</f>
        <v>45.837636088063512</v>
      </c>
      <c r="G63" s="2">
        <f>MAX(Tabla134[[#This Row],['[max.'] to reach 100% mortality (g/L) Leitat]:['[max.'] to reach baseline toxicity (g/L) UFZ]])*1000</f>
        <v>45837.636088063511</v>
      </c>
      <c r="H63" s="2" t="str">
        <f>Tabla1[[#This Row],[Solubility (DMSO)]]</f>
        <v>50 g/l</v>
      </c>
      <c r="I63" s="2" t="str">
        <f>Tabla1[[#This Row],[Solubility (H2O)]]</f>
        <v>5.86 g/L</v>
      </c>
      <c r="J63" s="2"/>
      <c r="K63" s="2"/>
      <c r="L63" s="21"/>
      <c r="M63" s="83" t="str">
        <f>Tabla1[[#This Row],[(exempted g or ml)]]</f>
        <v>Not regulated; any amount limit in internal packages</v>
      </c>
      <c r="N63" s="74">
        <f>Tabla134[[#This Row],[Proposed stock volume (per partner; ml -or g-)]]*7</f>
        <v>0</v>
      </c>
      <c r="O63" s="70">
        <f>Tabla13[[#This Row],[Total amount to be purchased (g or ml)]]</f>
        <v>0</v>
      </c>
      <c r="P63" s="78">
        <f>Tabla13[[#This Row],[Needed amount of chemical (g); Ruben Leitat calculations]]</f>
        <v>0.12675600000000001</v>
      </c>
      <c r="Q63" s="78">
        <f>Tabla13[[#This Row],[Needed amount of chemical (g); Stefan UFZ calculations]]</f>
        <v>229.18818044031755</v>
      </c>
      <c r="R63" s="2"/>
      <c r="S63" s="2" t="str">
        <f>Tabla13[[#This Row],[EC50 fish]]</f>
        <v>?</v>
      </c>
      <c r="T63" s="2" t="str">
        <f>Tabla13[[#This Row],[EC50 daphnia]]</f>
        <v>?</v>
      </c>
      <c r="U63" s="2" t="e">
        <f>Tabla134[[#This Row],[Used amount of chemical for stocks (g)]]*1000/Tabla134[[#This Row],[Proposed stock concentration (g/L)]]</f>
        <v>#DIV/0!</v>
      </c>
      <c r="V63" s="100"/>
      <c r="W63" s="100">
        <f>Tabla134[[#This Row],[trials solubility (g  to be used)]]*1000/100</f>
        <v>0</v>
      </c>
      <c r="X63" s="100"/>
      <c r="Y63" s="100"/>
    </row>
    <row r="64" spans="1:25" ht="93.6" customHeight="1">
      <c r="A64" s="10" t="s">
        <v>638</v>
      </c>
      <c r="B64" s="10" t="str">
        <f>Tabla13[[#This Row],[Prec.Tox code]]</f>
        <v>PTX055</v>
      </c>
      <c r="C64" s="2" t="str">
        <f>Tabla1[[#This Row],[CAS number]]</f>
        <v>72963-72-5</v>
      </c>
      <c r="D64" s="2" t="s">
        <v>2453</v>
      </c>
      <c r="E64" s="2">
        <f>Tabla13[[#This Row],['[max.'] to reach 100% mortality (mg/L)]]/1000</f>
        <v>5.0999999999999995E-3</v>
      </c>
      <c r="F64" s="90">
        <f>Tabla13[[#This Row],[Needed amount of chemical (g); Stefan UFZ calculations]]/5</f>
        <v>0.1013758696547485</v>
      </c>
      <c r="G64" s="2">
        <f>MAX(Tabla134[[#This Row],['[max.'] to reach 100% mortality (g/L) Leitat]:['[max.'] to reach baseline toxicity (g/L) UFZ]])*1000</f>
        <v>101.3758696547485</v>
      </c>
      <c r="H64" s="2" t="str">
        <f>Tabla1[[#This Row],[Solubility (DMSO)]]</f>
        <v>'soluble'</v>
      </c>
      <c r="I64" s="2" t="str">
        <f>Tabla1[[#This Row],[Solubility (H2O)]]</f>
        <v>0.09 g/l</v>
      </c>
      <c r="J64" s="2"/>
      <c r="K64" s="2"/>
      <c r="L64" s="21"/>
      <c r="M64" s="83">
        <f>Tabla1[[#This Row],[(exempted g or ml)]]</f>
        <v>30</v>
      </c>
      <c r="N64" s="74">
        <f>Tabla134[[#This Row],[Proposed stock volume (per partner; ml -or g-)]]*7</f>
        <v>0</v>
      </c>
      <c r="O64" s="70">
        <f>Tabla13[[#This Row],[Total amount to be purchased (g or ml)]]</f>
        <v>0</v>
      </c>
      <c r="P64" s="78">
        <f>Tabla13[[#This Row],[Needed amount of chemical (g); Ruben Leitat calculations]]</f>
        <v>3.0599999999999999E-2</v>
      </c>
      <c r="Q64" s="78">
        <f>Tabla13[[#This Row],[Needed amount of chemical (g); Stefan UFZ calculations]]</f>
        <v>0.50687934827374248</v>
      </c>
      <c r="R64" s="2"/>
      <c r="S64" s="2" t="str">
        <f>Tabla13[[#This Row],[EC50 fish]]</f>
        <v>LC50 - Oncorhynchus mykiss (rainbow trout) - 0,038 mg/l - 96,0 h</v>
      </c>
      <c r="T64" s="2" t="str">
        <f>Tabla13[[#This Row],[EC50 daphnia]]</f>
        <v>0,051 mg/l</v>
      </c>
      <c r="U64" s="2" t="e">
        <f>Tabla134[[#This Row],[Used amount of chemical for stocks (g)]]*1000/Tabla134[[#This Row],[Proposed stock concentration (g/L)]]</f>
        <v>#DIV/0!</v>
      </c>
      <c r="V64" s="100"/>
      <c r="W64" s="100">
        <f>Tabla134[[#This Row],[trials solubility (g  to be used)]]*1000/100</f>
        <v>0</v>
      </c>
      <c r="X64" s="100"/>
      <c r="Y64" s="100"/>
    </row>
    <row r="65" spans="1:25" ht="99.6" customHeight="1">
      <c r="A65" s="10" t="s">
        <v>646</v>
      </c>
      <c r="B65" s="10" t="str">
        <f>Tabla13[[#This Row],[Prec.Tox code]]</f>
        <v>PTX056</v>
      </c>
      <c r="C65" s="2" t="str">
        <f>Tabla1[[#This Row],[CAS number]]</f>
        <v>139340-56-0</v>
      </c>
      <c r="D65" s="2" t="s">
        <v>2454</v>
      </c>
      <c r="E65" s="2">
        <f>Tabla13[[#This Row],['[max.'] to reach 100% mortality (mg/L)]]/1000</f>
        <v>0.65</v>
      </c>
      <c r="F65" s="90">
        <f>Tabla13[[#This Row],[Needed amount of chemical (g); Stefan UFZ calculations]]/5</f>
        <v>15.432977502527333</v>
      </c>
      <c r="G65" s="2">
        <f>MAX(Tabla134[[#This Row],['[max.'] to reach 100% mortality (g/L) Leitat]:['[max.'] to reach baseline toxicity (g/L) UFZ]])*1000</f>
        <v>15432.977502527332</v>
      </c>
      <c r="H65" s="2" t="str">
        <f>Tabla1[[#This Row],[Solubility (DMSO)]]</f>
        <v>110 g/L</v>
      </c>
      <c r="I65" s="2" t="str">
        <f>Tabla1[[#This Row],[Solubility (H2O)]]</f>
        <v>'not soluble'</v>
      </c>
      <c r="J65" s="2"/>
      <c r="K65" s="2"/>
      <c r="L65" s="21"/>
      <c r="M65" s="83" t="str">
        <f>Tabla1[[#This Row],[(exempted g or ml)]]</f>
        <v>Not regulated; any amount limit in internal packages</v>
      </c>
      <c r="N65" s="74">
        <f>Tabla134[[#This Row],[Proposed stock volume (per partner; ml -or g-)]]*7</f>
        <v>0</v>
      </c>
      <c r="O65" s="70">
        <f>Tabla13[[#This Row],[Total amount to be purchased (g or ml)]]</f>
        <v>0</v>
      </c>
      <c r="P65" s="78">
        <f>Tabla13[[#This Row],[Needed amount of chemical (g); Ruben Leitat calculations]]</f>
        <v>3.9</v>
      </c>
      <c r="Q65" s="78">
        <f>Tabla13[[#This Row],[Needed amount of chemical (g); Stefan UFZ calculations]]</f>
        <v>77.164887512636668</v>
      </c>
      <c r="R65" s="2"/>
      <c r="S65" s="2" t="str">
        <f>Tabla13[[#This Row],[EC50 fish]]</f>
        <v>6,55 mg/L, EC50 120h zebrafish</v>
      </c>
      <c r="T65" s="2" t="str">
        <f>Tabla13[[#This Row],[EC50 daphnia]]</f>
        <v>?</v>
      </c>
      <c r="U65" s="2" t="e">
        <f>Tabla134[[#This Row],[Used amount of chemical for stocks (g)]]*1000/Tabla134[[#This Row],[Proposed stock concentration (g/L)]]</f>
        <v>#DIV/0!</v>
      </c>
      <c r="V65" s="100"/>
      <c r="W65" s="100">
        <f>Tabla134[[#This Row],[trials solubility (g  to be used)]]*1000/100</f>
        <v>0</v>
      </c>
      <c r="X65" s="100"/>
      <c r="Y65" s="100"/>
    </row>
    <row r="66" spans="1:25" ht="51.6" customHeight="1">
      <c r="A66" s="65" t="s">
        <v>657</v>
      </c>
      <c r="B66" s="10"/>
      <c r="C66" s="2"/>
      <c r="D66" s="2"/>
      <c r="E66" s="2"/>
      <c r="F66" s="2"/>
      <c r="G66" s="2"/>
      <c r="H66" s="2"/>
      <c r="I66" s="2"/>
      <c r="J66" s="2"/>
      <c r="K66" s="2"/>
      <c r="L66" s="21"/>
      <c r="M66" s="83"/>
      <c r="N66" s="74"/>
      <c r="O66" s="70"/>
      <c r="P66" s="78"/>
      <c r="Q66" s="78"/>
      <c r="R66" s="2"/>
      <c r="S66" s="2"/>
      <c r="T66" s="2"/>
      <c r="U66" s="2" t="e">
        <f>Tabla134[[#This Row],[Used amount of chemical for stocks (g)]]*1000/Tabla134[[#This Row],[Proposed stock concentration (g/L)]]</f>
        <v>#DIV/0!</v>
      </c>
      <c r="V66" s="100"/>
      <c r="W66" s="100">
        <f>Tabla134[[#This Row],[trials solubility (g  to be used)]]*1000/100</f>
        <v>0</v>
      </c>
      <c r="X66" s="100"/>
      <c r="Y66" s="100"/>
    </row>
    <row r="67" spans="1:25" ht="60">
      <c r="A67" s="10" t="s">
        <v>658</v>
      </c>
      <c r="B67" s="10">
        <f>Tabla13[[#This Row],[Prec.Tox code]]</f>
        <v>0</v>
      </c>
      <c r="C67" s="2" t="str">
        <f>Tabla1[[#This Row],[CAS number]]</f>
        <v>50-32-8</v>
      </c>
      <c r="D67" s="2"/>
      <c r="E67" s="2">
        <f>Tabla13[[#This Row],['[max.'] to reach 100% mortality (mg/L)]]/1000</f>
        <v>2.5000000000000001E-2</v>
      </c>
      <c r="F67" s="2">
        <f>Tabla13[[#This Row],[Needed amount of chemical (g); Stefan UFZ calculations]]/5</f>
        <v>5.0816652017440147E-3</v>
      </c>
      <c r="G67" s="2">
        <f>MAX(Tabla134[[#This Row],['[max.'] to reach 100% mortality (g/L) Leitat]:['[max.'] to reach baseline toxicity (g/L) UFZ]])*1000</f>
        <v>25</v>
      </c>
      <c r="H67" s="2" t="str">
        <f>Tabla1[[#This Row],[Solubility (DMSO)]]</f>
        <v xml:space="preserve"> 50 g/L</v>
      </c>
      <c r="I67" s="2" t="str">
        <f>Tabla1[[#This Row],[Solubility (H2O)]]</f>
        <v>0.2 to 6.2 μg/L</v>
      </c>
      <c r="J67" s="2"/>
      <c r="K67" s="2"/>
      <c r="L67" s="21"/>
      <c r="M67" s="83">
        <f>Tabla1[[#This Row],[(exempted g or ml)]]</f>
        <v>30</v>
      </c>
      <c r="N67" s="74">
        <f>Tabla134[[#This Row],[Proposed stock volume (per partner; ml -or g-)]]*7</f>
        <v>0</v>
      </c>
      <c r="O67" s="70">
        <f>Tabla13[[#This Row],[Total amount to be purchased (g or ml)]]</f>
        <v>0</v>
      </c>
      <c r="P67" s="78">
        <f>Tabla13[[#This Row],[Needed amount of chemical (g); Ruben Leitat calculations]]</f>
        <v>0.15</v>
      </c>
      <c r="Q67" s="78">
        <f>Tabla13[[#This Row],[Needed amount of chemical (g); Stefan UFZ calculations]]</f>
        <v>2.5408326008720075E-2</v>
      </c>
      <c r="R67" s="2"/>
      <c r="S67" s="2" t="str">
        <f>Tabla13[[#This Row],[EC50 fish]]</f>
        <v>?</v>
      </c>
      <c r="T67" s="2" t="str">
        <f>Tabla13[[#This Row],[EC50 daphnia]]</f>
        <v>EC50 - 0,25 mg/l - 48 h (above the solubility limit in the test medium)</v>
      </c>
      <c r="U67" s="2" t="e">
        <f>Tabla134[[#This Row],[Used amount of chemical for stocks (g)]]*1000/Tabla134[[#This Row],[Proposed stock concentration (g/L)]]</f>
        <v>#DIV/0!</v>
      </c>
      <c r="V67" s="100"/>
      <c r="W67" s="100">
        <f>Tabla134[[#This Row],[trials solubility (g  to be used)]]*1000/100</f>
        <v>0</v>
      </c>
      <c r="X67" s="100"/>
      <c r="Y67" s="100"/>
    </row>
    <row r="68" spans="1:25" ht="45">
      <c r="A68" s="10" t="s">
        <v>665</v>
      </c>
      <c r="B68" s="10">
        <f>Tabla13[[#This Row],[Prec.Tox code]]</f>
        <v>0</v>
      </c>
      <c r="C68" s="2" t="str">
        <f>Tabla1[[#This Row],[CAS number]]</f>
        <v xml:space="preserve">1334850-99-5 </v>
      </c>
      <c r="D68" s="2"/>
      <c r="E68" s="2">
        <f>Tabla13[[#This Row],['[max.'] to reach 100% mortality (mg/L)]]/1000</f>
        <v>0</v>
      </c>
      <c r="F68" s="2">
        <f>Tabla13[[#This Row],[Needed amount of chemical (g); Stefan UFZ calculations]]/5</f>
        <v>0</v>
      </c>
      <c r="G68" s="2">
        <f>MAX(Tabla134[[#This Row],['[max.'] to reach 100% mortality (g/L) Leitat]:['[max.'] to reach baseline toxicity (g/L) UFZ]])*1000</f>
        <v>0</v>
      </c>
      <c r="H68" s="2" t="str">
        <f>Tabla1[[#This Row],[Solubility (DMSO)]]</f>
        <v>25 g/L</v>
      </c>
      <c r="I68" s="2" t="str">
        <f>Tabla1[[#This Row],[Solubility (H2O)]]</f>
        <v>40 g/L</v>
      </c>
      <c r="J68" s="2"/>
      <c r="K68" s="2"/>
      <c r="L68" s="21"/>
      <c r="M68" s="83" t="str">
        <f>Tabla1[[#This Row],[(exempted g or ml)]]</f>
        <v>Not regulated; any amount limit in internal packages</v>
      </c>
      <c r="N68" s="74">
        <f>Tabla134[[#This Row],[Proposed stock volume (per partner; ml -or g-)]]*7</f>
        <v>0</v>
      </c>
      <c r="O68" s="70">
        <f>Tabla13[[#This Row],[Total amount to be purchased (g or ml)]]</f>
        <v>0</v>
      </c>
      <c r="P68" s="78" t="str">
        <f>Tabla13[[#This Row],[Needed amount of chemical (g); Ruben Leitat calculations]]</f>
        <v>unknown</v>
      </c>
      <c r="Q68" s="78">
        <f>Tabla13[[#This Row],[Needed amount of chemical (g); Stefan UFZ calculations]]</f>
        <v>0</v>
      </c>
      <c r="R68" s="2"/>
      <c r="S68" s="2" t="str">
        <f>Tabla13[[#This Row],[EC50 fish]]</f>
        <v>?</v>
      </c>
      <c r="T68" s="2" t="str">
        <f>Tabla13[[#This Row],[EC50 daphnia]]</f>
        <v>?</v>
      </c>
      <c r="U68" s="2" t="e">
        <f>Tabla134[[#This Row],[Used amount of chemical for stocks (g)]]*1000/Tabla134[[#This Row],[Proposed stock concentration (g/L)]]</f>
        <v>#DIV/0!</v>
      </c>
      <c r="V68" s="100"/>
      <c r="W68" s="100">
        <f>Tabla134[[#This Row],[trials solubility (g  to be used)]]*1000/100</f>
        <v>0</v>
      </c>
      <c r="X68" s="100"/>
      <c r="Y68" s="100"/>
    </row>
    <row r="69" spans="1:25">
      <c r="A69" s="10" t="s">
        <v>669</v>
      </c>
      <c r="B69" s="10">
        <f>Tabla13[[#This Row],[Prec.Tox code]]</f>
        <v>0</v>
      </c>
      <c r="C69" s="2" t="str">
        <f>Tabla1[[#This Row],[CAS number]]</f>
        <v>158681-13-1</v>
      </c>
      <c r="D69" s="2"/>
      <c r="E69" s="2">
        <f>Tabla13[[#This Row],['[max.'] to reach 100% mortality (mg/L)]]/1000</f>
        <v>0</v>
      </c>
      <c r="F69" s="2">
        <f>Tabla13[[#This Row],[Needed amount of chemical (g); Stefan UFZ calculations]]/5</f>
        <v>9.3205055765157203E-3</v>
      </c>
      <c r="G69" s="2">
        <f>MAX(Tabla134[[#This Row],['[max.'] to reach 100% mortality (g/L) Leitat]:['[max.'] to reach baseline toxicity (g/L) UFZ]])*1000</f>
        <v>9.3205055765157212</v>
      </c>
      <c r="H69" s="2" t="str">
        <f>Tabla1[[#This Row],[Solubility (DMSO)]]</f>
        <v>33.33 - 50.02 g/L</v>
      </c>
      <c r="I69" s="2" t="str">
        <f>Tabla1[[#This Row],[Solubility (H2O)]]</f>
        <v>0.002 g/L</v>
      </c>
      <c r="J69" s="2"/>
      <c r="K69" s="2"/>
      <c r="L69" s="21"/>
      <c r="M69" s="83">
        <f>Tabla1[[#This Row],[(exempted g or ml)]]</f>
        <v>30</v>
      </c>
      <c r="N69" s="74">
        <f>Tabla134[[#This Row],[Proposed stock volume (per partner; ml -or g-)]]*7</f>
        <v>0</v>
      </c>
      <c r="O69" s="70">
        <f>Tabla13[[#This Row],[Total amount to be purchased (g or ml)]]</f>
        <v>0</v>
      </c>
      <c r="P69" s="78" t="str">
        <f>Tabla13[[#This Row],[Needed amount of chemical (g); Ruben Leitat calculations]]</f>
        <v>unknown</v>
      </c>
      <c r="Q69" s="78">
        <f>Tabla13[[#This Row],[Needed amount of chemical (g); Stefan UFZ calculations]]</f>
        <v>4.6602527882578598E-2</v>
      </c>
      <c r="R69" s="2"/>
      <c r="S69" s="2" t="str">
        <f>Tabla13[[#This Row],[EC50 fish]]</f>
        <v>?</v>
      </c>
      <c r="T69" s="2" t="str">
        <f>Tabla13[[#This Row],[EC50 daphnia]]</f>
        <v>?</v>
      </c>
      <c r="U69" s="2" t="e">
        <f>Tabla134[[#This Row],[Used amount of chemical for stocks (g)]]*1000/Tabla134[[#This Row],[Proposed stock concentration (g/L)]]</f>
        <v>#DIV/0!</v>
      </c>
      <c r="V69" s="100"/>
      <c r="W69" s="100">
        <f>Tabla134[[#This Row],[trials solubility (g  to be used)]]*1000/100</f>
        <v>0</v>
      </c>
      <c r="X69" s="100"/>
      <c r="Y69" s="100"/>
    </row>
    <row r="70" spans="1:25" ht="50.45" customHeight="1">
      <c r="A70" s="10" t="s">
        <v>675</v>
      </c>
      <c r="B70" s="10">
        <f>Tabla13[[#This Row],[Prec.Tox code]]</f>
        <v>0</v>
      </c>
      <c r="C70" s="2" t="str">
        <f>Tabla1[[#This Row],[CAS number]]</f>
        <v>115-29-7</v>
      </c>
      <c r="D70" s="2"/>
      <c r="E70" s="2">
        <f>Tabla13[[#This Row],['[max.'] to reach 100% mortality (mg/L)]]/1000</f>
        <v>0.09</v>
      </c>
      <c r="F70" s="2">
        <f>Tabla13[[#This Row],[Needed amount of chemical (g); Stefan UFZ calculations]]/5</f>
        <v>2.92455104592808E-2</v>
      </c>
      <c r="G70" s="2">
        <f>MAX(Tabla134[[#This Row],['[max.'] to reach 100% mortality (g/L) Leitat]:['[max.'] to reach baseline toxicity (g/L) UFZ]])*1000</f>
        <v>90</v>
      </c>
      <c r="H70" s="2" t="str">
        <f>Tabla1[[#This Row],[Solubility (DMSO)]]</f>
        <v>'slightly soluble'</v>
      </c>
      <c r="I70" s="2" t="str">
        <f>Tabla1[[#This Row],[Solubility (H2O)]]</f>
        <v>0.53 mg/L</v>
      </c>
      <c r="J70" s="2"/>
      <c r="K70" s="2"/>
      <c r="L70" s="21"/>
      <c r="M70" s="83">
        <f>Tabla1[[#This Row],[(exempted g or ml)]]</f>
        <v>1</v>
      </c>
      <c r="N70" s="74">
        <f>Tabla134[[#This Row],[Proposed stock volume (per partner; ml -or g-)]]*7</f>
        <v>0</v>
      </c>
      <c r="O70" s="70">
        <f>Tabla13[[#This Row],[Total amount to be purchased (g or ml)]]</f>
        <v>0</v>
      </c>
      <c r="P70" s="78">
        <f>Tabla13[[#This Row],[Needed amount of chemical (g); Ruben Leitat calculations]]</f>
        <v>0.54</v>
      </c>
      <c r="Q70" s="78">
        <f>Tabla13[[#This Row],[Needed amount of chemical (g); Stefan UFZ calculations]]</f>
        <v>0.146227552296404</v>
      </c>
      <c r="R70" s="2"/>
      <c r="S70" s="2" t="str">
        <f>Tabla13[[#This Row],[EC50 fish]]</f>
        <v>LC50 - Cyprinus carpio (Carp) - &lt; 0,01 mg/l - 96,0 h</v>
      </c>
      <c r="T70" s="2" t="str">
        <f>Tabla13[[#This Row],[EC50 daphnia]]</f>
        <v>0,2 - 0,9 mg/l</v>
      </c>
      <c r="U70" s="2" t="e">
        <f>Tabla134[[#This Row],[Used amount of chemical for stocks (g)]]*1000/Tabla134[[#This Row],[Proposed stock concentration (g/L)]]</f>
        <v>#DIV/0!</v>
      </c>
      <c r="V70" s="100"/>
      <c r="W70" s="100">
        <f>Tabla134[[#This Row],[trials solubility (g  to be used)]]*1000/100</f>
        <v>0</v>
      </c>
      <c r="X70" s="100"/>
      <c r="Y70" s="100"/>
    </row>
    <row r="71" spans="1:25" ht="45">
      <c r="A71" s="10" t="s">
        <v>685</v>
      </c>
      <c r="B71" s="10">
        <f>Tabla13[[#This Row],[Prec.Tox code]]</f>
        <v>0</v>
      </c>
      <c r="C71" s="2" t="str">
        <f>Tabla1[[#This Row],[CAS number]]</f>
        <v>72619-32-0</v>
      </c>
      <c r="D71" s="2"/>
      <c r="E71" s="2">
        <f>Tabla13[[#This Row],['[max.'] to reach 100% mortality (mg/L)]]/1000</f>
        <v>0.62</v>
      </c>
      <c r="F71" s="2">
        <f>Tabla13[[#This Row],[Needed amount of chemical (g); Stefan UFZ calculations]]/5</f>
        <v>0.96933941555844871</v>
      </c>
      <c r="G71" s="2">
        <f>MAX(Tabla134[[#This Row],['[max.'] to reach 100% mortality (g/L) Leitat]:['[max.'] to reach baseline toxicity (g/L) UFZ]])*1000</f>
        <v>969.33941555844876</v>
      </c>
      <c r="H71" s="2" t="str">
        <f>Tabla1[[#This Row],[Solubility (DMSO)]]</f>
        <v>?</v>
      </c>
      <c r="I71" s="2" t="str">
        <f>Tabla1[[#This Row],[Solubility (H2O)]]</f>
        <v>8.74 mg/L</v>
      </c>
      <c r="J71" s="2"/>
      <c r="K71" s="2"/>
      <c r="L71" s="21"/>
      <c r="M71" s="83">
        <f>Tabla1[[#This Row],[(exempted g or ml)]]</f>
        <v>30</v>
      </c>
      <c r="N71" s="74">
        <f>Tabla134[[#This Row],[Proposed stock volume (per partner; ml -or g-)]]*7</f>
        <v>0</v>
      </c>
      <c r="O71" s="70">
        <f>Tabla13[[#This Row],[Total amount to be purchased (g or ml)]]</f>
        <v>0</v>
      </c>
      <c r="P71" s="78">
        <f>Tabla13[[#This Row],[Needed amount of chemical (g); Ruben Leitat calculations]]</f>
        <v>3.7200000000000006</v>
      </c>
      <c r="Q71" s="78">
        <f>Tabla13[[#This Row],[Needed amount of chemical (g); Stefan UFZ calculations]]</f>
        <v>4.8466970777922436</v>
      </c>
      <c r="R71" s="2"/>
      <c r="S71" s="2" t="str">
        <f>Tabla13[[#This Row],[EC50 fish]]</f>
        <v>LC50 - Lepomis macrochirus (Bluegill) - 0,3 mg/l - 96,0 h</v>
      </c>
      <c r="T71" s="2" t="str">
        <f>Tabla13[[#This Row],[EC50 daphnia]]</f>
        <v>6,2 mg/l</v>
      </c>
      <c r="U71" s="2" t="e">
        <f>Tabla134[[#This Row],[Used amount of chemical for stocks (g)]]*1000/Tabla134[[#This Row],[Proposed stock concentration (g/L)]]</f>
        <v>#DIV/0!</v>
      </c>
      <c r="V71" s="100"/>
      <c r="W71" s="100">
        <f>Tabla134[[#This Row],[trials solubility (g  to be used)]]*1000/100</f>
        <v>0</v>
      </c>
      <c r="X71" s="100"/>
      <c r="Y71" s="100"/>
    </row>
    <row r="72" spans="1:25" ht="45">
      <c r="A72" s="10" t="s">
        <v>692</v>
      </c>
      <c r="B72" s="10">
        <f>Tabla13[[#This Row],[Prec.Tox code]]</f>
        <v>0</v>
      </c>
      <c r="C72" s="2" t="str">
        <f>Tabla1[[#This Row],[CAS number]]</f>
        <v>6515-38-4</v>
      </c>
      <c r="D72" s="2"/>
      <c r="E72" s="2">
        <f>Tabla13[[#This Row],['[max.'] to reach 100% mortality (mg/L)]]/1000</f>
        <v>1.04</v>
      </c>
      <c r="F72" s="2">
        <f>Tabla13[[#This Row],[Needed amount of chemical (g); Stefan UFZ calculations]]/5</f>
        <v>0.13238222109581643</v>
      </c>
      <c r="G72" s="2">
        <f>MAX(Tabla134[[#This Row],['[max.'] to reach 100% mortality (g/L) Leitat]:['[max.'] to reach baseline toxicity (g/L) UFZ]])*1000</f>
        <v>1040</v>
      </c>
      <c r="H72" s="2" t="str">
        <f>Tabla1[[#This Row],[Solubility (DMSO)]]</f>
        <v>32.5 g/L</v>
      </c>
      <c r="I72" s="2" t="str">
        <f>Tabla1[[#This Row],[Solubility (H2O)]]</f>
        <v>80.9 mg/L</v>
      </c>
      <c r="J72" s="2"/>
      <c r="K72" s="2"/>
      <c r="L72" s="21"/>
      <c r="M72" s="83">
        <f>Tabla1[[#This Row],[(exempted g or ml)]]</f>
        <v>30</v>
      </c>
      <c r="N72" s="74">
        <f>Tabla134[[#This Row],[Proposed stock volume (per partner; ml -or g-)]]*7</f>
        <v>0</v>
      </c>
      <c r="O72" s="70">
        <f>Tabla13[[#This Row],[Total amount to be purchased (g or ml)]]</f>
        <v>0</v>
      </c>
      <c r="P72" s="78">
        <f>Tabla13[[#This Row],[Needed amount of chemical (g); Ruben Leitat calculations]]</f>
        <v>6.24</v>
      </c>
      <c r="Q72" s="78">
        <f>Tabla13[[#This Row],[Needed amount of chemical (g); Stefan UFZ calculations]]</f>
        <v>0.66191110547908216</v>
      </c>
      <c r="R72" s="2"/>
      <c r="S72" s="2" t="str">
        <f>Tabla13[[#This Row],[EC50 fish]]</f>
        <v>LC50 - Pimephales promelas (fathead minnow) - 1,5 mg/l - 48,0 h</v>
      </c>
      <c r="T72" s="2" t="str">
        <f>Tabla13[[#This Row],[EC50 daphnia]]</f>
        <v>0.20 mg/L?
3.1 - 10.4 mg/L?</v>
      </c>
      <c r="U72" s="2" t="e">
        <f>Tabla134[[#This Row],[Used amount of chemical for stocks (g)]]*1000/Tabla134[[#This Row],[Proposed stock concentration (g/L)]]</f>
        <v>#DIV/0!</v>
      </c>
      <c r="V72" s="100"/>
      <c r="W72" s="100">
        <f>Tabla134[[#This Row],[trials solubility (g  to be used)]]*1000/100</f>
        <v>0</v>
      </c>
      <c r="X72" s="100"/>
      <c r="Y72" s="100"/>
    </row>
    <row r="73" spans="1:25" ht="98.45" customHeight="1">
      <c r="A73" s="10" t="s">
        <v>700</v>
      </c>
      <c r="B73" s="10">
        <f>Tabla13[[#This Row],[Prec.Tox code]]</f>
        <v>0</v>
      </c>
      <c r="C73" s="2" t="str">
        <f>Tabla1[[#This Row],[CAS number]]</f>
        <v>78-42-2</v>
      </c>
      <c r="D73" s="2"/>
      <c r="E73" s="2">
        <f>Tabla13[[#This Row],['[max.'] to reach 100% mortality (mg/L)]]/1000</f>
        <v>100</v>
      </c>
      <c r="F73" s="2">
        <f>Tabla13[[#This Row],[Needed amount of chemical (g); Stefan UFZ calculations]]/5</f>
        <v>4.5991627344112596E-3</v>
      </c>
      <c r="G73" s="2">
        <f>MAX(Tabla134[[#This Row],['[max.'] to reach 100% mortality (g/L) Leitat]:['[max.'] to reach baseline toxicity (g/L) UFZ]])*1000</f>
        <v>100000</v>
      </c>
      <c r="H73" s="2" t="str">
        <f>Tabla1[[#This Row],[Solubility (DMSO)]]</f>
        <v>&lt; 1g/L</v>
      </c>
      <c r="I73" s="2" t="str">
        <f>Tabla1[[#This Row],[Solubility (H2O)]]</f>
        <v>0,0006 g/l</v>
      </c>
      <c r="J73" s="2"/>
      <c r="K73" s="2"/>
      <c r="L73" s="21"/>
      <c r="M73" s="83" t="str">
        <f>Tabla1[[#This Row],[(exempted g or ml)]]</f>
        <v>Not regulated; any amount limit in internal packages</v>
      </c>
      <c r="N73" s="74">
        <f>Tabla134[[#This Row],[Proposed stock volume (per partner; ml -or g-)]]*7</f>
        <v>0</v>
      </c>
      <c r="O73" s="70">
        <f>Tabla13[[#This Row],[Total amount to be purchased (g or ml)]]</f>
        <v>0</v>
      </c>
      <c r="P73" s="78">
        <f>Tabla13[[#This Row],[Needed amount of chemical (g); Ruben Leitat calculations]]</f>
        <v>600</v>
      </c>
      <c r="Q73" s="78">
        <f>Tabla13[[#This Row],[Needed amount of chemical (g); Stefan UFZ calculations]]</f>
        <v>2.29958136720563E-2</v>
      </c>
      <c r="R73" s="2"/>
      <c r="S73" s="2" t="str">
        <f>Tabla13[[#This Row],[EC50 fish]]</f>
        <v>LC50 - Danio rerio (zebra fish) - &gt; 100 mg/l - 96 h Remarks: (above the solubility limit in the test medium)</v>
      </c>
      <c r="T73" s="2" t="str">
        <f>Tabla13[[#This Row],[EC50 daphnia]]</f>
        <v>&gt; 0,08 mg/l
&gt; 100 mg/L</v>
      </c>
      <c r="U73" s="2" t="e">
        <f>Tabla134[[#This Row],[Used amount of chemical for stocks (g)]]*1000/Tabla134[[#This Row],[Proposed stock concentration (g/L)]]</f>
        <v>#DIV/0!</v>
      </c>
      <c r="V73" s="100"/>
      <c r="W73" s="100">
        <f>Tabla134[[#This Row],[trials solubility (g  to be used)]]*1000/100</f>
        <v>0</v>
      </c>
      <c r="X73" s="100"/>
      <c r="Y73" s="100"/>
    </row>
    <row r="74" spans="1:25" ht="49.9" customHeight="1">
      <c r="A74" s="10" t="s">
        <v>707</v>
      </c>
      <c r="B74" s="10">
        <f>Tabla13[[#This Row],[Prec.Tox code]]</f>
        <v>0</v>
      </c>
      <c r="C74" s="2" t="str">
        <f>Tabla1[[#This Row],[CAS number]]</f>
        <v>91-44-1</v>
      </c>
      <c r="D74" s="2"/>
      <c r="E74" s="2">
        <f>Tabla13[[#This Row],['[max.'] to reach 100% mortality (mg/L)]]/1000</f>
        <v>33</v>
      </c>
      <c r="F74" s="2">
        <f>Tabla13[[#This Row],[Needed amount of chemical (g); Stefan UFZ calculations]]/5</f>
        <v>9.4283583207790456E-2</v>
      </c>
      <c r="G74" s="2">
        <f>MAX(Tabla134[[#This Row],['[max.'] to reach 100% mortality (g/L) Leitat]:['[max.'] to reach baseline toxicity (g/L) UFZ]])*1000</f>
        <v>33000</v>
      </c>
      <c r="H74" s="2" t="str">
        <f>Tabla1[[#This Row],[Solubility (DMSO)]]</f>
        <v>'soluble'?</v>
      </c>
      <c r="I74" s="2" t="str">
        <f>Tabla1[[#This Row],[Solubility (H2O)]]</f>
        <v>53.28 mg/L</v>
      </c>
      <c r="J74" s="2"/>
      <c r="K74" s="2"/>
      <c r="L74" s="21"/>
      <c r="M74" s="83" t="str">
        <f>Tabla1[[#This Row],[(exempted g or ml)]]</f>
        <v>Not regulated; any amount limit in internal packages</v>
      </c>
      <c r="N74" s="74">
        <f>Tabla134[[#This Row],[Proposed stock volume (per partner; ml -or g-)]]*7</f>
        <v>0</v>
      </c>
      <c r="O74" s="70">
        <f>Tabla13[[#This Row],[Total amount to be purchased (g or ml)]]</f>
        <v>0</v>
      </c>
      <c r="P74" s="78">
        <f>Tabla13[[#This Row],[Needed amount of chemical (g); Ruben Leitat calculations]]</f>
        <v>198</v>
      </c>
      <c r="Q74" s="78">
        <f>Tabla13[[#This Row],[Needed amount of chemical (g); Stefan UFZ calculations]]</f>
        <v>0.47141791603895228</v>
      </c>
      <c r="R74" s="2"/>
      <c r="S74" s="2" t="str">
        <f>Tabla13[[#This Row],[EC50 fish]]</f>
        <v>330 mg/L based on baseline toxicity in zebrafish</v>
      </c>
      <c r="T74" s="2" t="str">
        <f>Tabla13[[#This Row],[EC50 daphnia]]</f>
        <v>10.9 mg/L</v>
      </c>
      <c r="U74" s="2" t="e">
        <f>Tabla134[[#This Row],[Used amount of chemical for stocks (g)]]*1000/Tabla134[[#This Row],[Proposed stock concentration (g/L)]]</f>
        <v>#DIV/0!</v>
      </c>
      <c r="V74" s="100"/>
      <c r="W74" s="100">
        <f>Tabla134[[#This Row],[trials solubility (g  to be used)]]*1000/100</f>
        <v>0</v>
      </c>
      <c r="X74" s="100"/>
      <c r="Y74" s="100"/>
    </row>
    <row r="75" spans="1:25" ht="105">
      <c r="A75" s="10" t="s">
        <v>714</v>
      </c>
      <c r="B75" s="10">
        <f>Tabla13[[#This Row],[Prec.Tox code]]</f>
        <v>0</v>
      </c>
      <c r="C75" s="2" t="str">
        <f>Tabla1[[#This Row],[CAS number]]</f>
        <v>Not yet available</v>
      </c>
      <c r="D75" s="2"/>
      <c r="E75" s="2">
        <f>Tabla13[[#This Row],['[max.'] to reach 100% mortality (mg/L)]]/1000</f>
        <v>8.2000000000000003E-2</v>
      </c>
      <c r="F75" s="2">
        <f>Tabla13[[#This Row],[Needed amount of chemical (g); Stefan UFZ calculations]]/5</f>
        <v>0</v>
      </c>
      <c r="G75" s="2">
        <f>MAX(Tabla134[[#This Row],['[max.'] to reach 100% mortality (g/L) Leitat]:['[max.'] to reach baseline toxicity (g/L) UFZ]])*1000</f>
        <v>82</v>
      </c>
      <c r="H75" s="2" t="str">
        <f>Tabla1[[#This Row],[Solubility (DMSO)]]</f>
        <v>?</v>
      </c>
      <c r="I75" s="2" t="str">
        <f>Tabla1[[#This Row],[Solubility (H2O)]]</f>
        <v>"relatively high soluble"</v>
      </c>
      <c r="J75" s="2"/>
      <c r="K75" s="2"/>
      <c r="L75" s="21"/>
      <c r="M75" s="83" t="str">
        <f>Tabla1[[#This Row],[(exempted g or ml)]]</f>
        <v>Not regulated; any amount limit in internal packages</v>
      </c>
      <c r="N75" s="74">
        <f>Tabla134[[#This Row],[Proposed stock volume (per partner; ml -or g-)]]*7</f>
        <v>0</v>
      </c>
      <c r="O75" s="70">
        <f>Tabla13[[#This Row],[Total amount to be purchased (g or ml)]]</f>
        <v>0</v>
      </c>
      <c r="P75" s="78">
        <f>Tabla13[[#This Row],[Needed amount of chemical (g); Ruben Leitat calculations]]</f>
        <v>0.49199999999999999</v>
      </c>
      <c r="Q75" s="78">
        <f>Tabla13[[#This Row],[Needed amount of chemical (g); Stefan UFZ calculations]]</f>
        <v>0</v>
      </c>
      <c r="R75" s="2"/>
      <c r="S75" s="2" t="str">
        <f>Tabla13[[#This Row],[EC50 fish]]</f>
        <v>96h-LC50 (Lepomis macrochirus): 0.4 mg/l. 96h                              LC50 (Oncorhynchus mykiss): 0.14 mg/l. 96h                    LC50 (Pimephales promelas): 0.45 mg/l.</v>
      </c>
      <c r="T75" s="2" t="str">
        <f>Tabla13[[#This Row],[EC50 daphnia]]</f>
        <v>48h-EC50 (Daphnia magna): 0.82 mg/l</v>
      </c>
      <c r="U75" s="2" t="e">
        <f>Tabla134[[#This Row],[Used amount of chemical for stocks (g)]]*1000/Tabla134[[#This Row],[Proposed stock concentration (g/L)]]</f>
        <v>#DIV/0!</v>
      </c>
      <c r="V75" s="100"/>
      <c r="W75" s="100">
        <f>Tabla134[[#This Row],[trials solubility (g  to be used)]]*1000/100</f>
        <v>0</v>
      </c>
      <c r="X75" s="100"/>
      <c r="Y75" s="100"/>
    </row>
    <row r="76" spans="1:25" ht="135">
      <c r="A76" s="10" t="s">
        <v>721</v>
      </c>
      <c r="B76" s="10">
        <f>Tabla13[[#This Row],[Prec.Tox code]]</f>
        <v>0</v>
      </c>
      <c r="C76" s="2" t="str">
        <f>Tabla1[[#This Row],[CAS number]]</f>
        <v>793-24-8</v>
      </c>
      <c r="D76" s="2"/>
      <c r="E76" s="2">
        <f>Tabla13[[#This Row],['[max.'] to reach 100% mortality (mg/L)]]/1000</f>
        <v>6.9000000000000006E-2</v>
      </c>
      <c r="F76" s="2">
        <f>Tabla13[[#This Row],[Needed amount of chemical (g); Stefan UFZ calculations]]/5</f>
        <v>9.1468479802591131E-3</v>
      </c>
      <c r="G76" s="2">
        <f>MAX(Tabla134[[#This Row],['[max.'] to reach 100% mortality (g/L) Leitat]:['[max.'] to reach baseline toxicity (g/L) UFZ]])*1000</f>
        <v>69</v>
      </c>
      <c r="H76" s="2" t="str">
        <f>Tabla1[[#This Row],[Solubility (DMSO)]]</f>
        <v>?</v>
      </c>
      <c r="I76" s="2" t="str">
        <f>Tabla1[[#This Row],[Solubility (H2O)]]</f>
        <v>1 mg/l (6PPD is not stable in water under environmental conditions. The half-life is less than 1 day under aerobic conditions)</v>
      </c>
      <c r="J76" s="2"/>
      <c r="K76" s="2"/>
      <c r="L76" s="21"/>
      <c r="M76" s="83" t="str">
        <f>Tabla1[[#This Row],[(exempted g or ml)]]</f>
        <v>Not regulated; any amount limit in internal packages</v>
      </c>
      <c r="N76" s="74">
        <f>Tabla134[[#This Row],[Proposed stock volume (per partner; ml -or g-)]]*7</f>
        <v>0</v>
      </c>
      <c r="O76" s="70">
        <f>Tabla13[[#This Row],[Total amount to be purchased (g or ml)]]</f>
        <v>0</v>
      </c>
      <c r="P76" s="78">
        <f>Tabla13[[#This Row],[Needed amount of chemical (g); Ruben Leitat calculations]]</f>
        <v>0.41399999999999992</v>
      </c>
      <c r="Q76" s="78">
        <f>Tabla13[[#This Row],[Needed amount of chemical (g); Stefan UFZ calculations]]</f>
        <v>4.5734239901295569E-2</v>
      </c>
      <c r="R76" s="2"/>
      <c r="S76" s="2" t="str">
        <f>Tabla13[[#This Row],[EC50 fish]]</f>
        <v>flow-through test LC50 - Oryzias latipes - 0,028 mg/l - 96 h</v>
      </c>
      <c r="T76" s="2" t="str">
        <f>Tabla13[[#This Row],[EC50 daphnia]]</f>
        <v xml:space="preserve">
0.13 -0.69 mg/L</v>
      </c>
      <c r="U76" s="2" t="e">
        <f>Tabla134[[#This Row],[Used amount of chemical for stocks (g)]]*1000/Tabla134[[#This Row],[Proposed stock concentration (g/L)]]</f>
        <v>#DIV/0!</v>
      </c>
      <c r="V76" s="100"/>
      <c r="W76" s="100">
        <f>Tabla134[[#This Row],[trials solubility (g  to be used)]]*1000/100</f>
        <v>0</v>
      </c>
      <c r="X76" s="100"/>
      <c r="Y76" s="100"/>
    </row>
    <row r="77" spans="1:25" ht="45">
      <c r="A77" s="10" t="s">
        <v>728</v>
      </c>
      <c r="B77" s="10">
        <f>Tabla13[[#This Row],[Prec.Tox code]]</f>
        <v>0</v>
      </c>
      <c r="C77" s="2" t="str">
        <f>Tabla1[[#This Row],[CAS number]]</f>
        <v>5508-58-7</v>
      </c>
      <c r="D77" s="2"/>
      <c r="E77" s="2">
        <f>Tabla13[[#This Row],['[max.'] to reach 100% mortality (mg/L)]]/1000</f>
        <v>0.35</v>
      </c>
      <c r="F77" s="2">
        <f>Tabla13[[#This Row],[Needed amount of chemical (g); Stefan UFZ calculations]]/5</f>
        <v>1.0988312988950928</v>
      </c>
      <c r="G77" s="2">
        <f>MAX(Tabla134[[#This Row],['[max.'] to reach 100% mortality (g/L) Leitat]:['[max.'] to reach baseline toxicity (g/L) UFZ]])*1000</f>
        <v>1098.8312988950927</v>
      </c>
      <c r="H77" s="2" t="str">
        <f>Tabla1[[#This Row],[Solubility (DMSO)]]</f>
        <v>2 - 25 g/l</v>
      </c>
      <c r="I77" s="2" t="str">
        <f>Tabla1[[#This Row],[Solubility (H2O)]]</f>
        <v>46.26 - 146.9 mg/L</v>
      </c>
      <c r="J77" s="2"/>
      <c r="K77" s="2"/>
      <c r="L77" s="21"/>
      <c r="M77" s="83" t="str">
        <f>Tabla1[[#This Row],[(exempted g or ml)]]</f>
        <v>Not regulated; any amount limit in internal packages</v>
      </c>
      <c r="N77" s="74">
        <f>Tabla134[[#This Row],[Proposed stock volume (per partner; ml -or g-)]]*7</f>
        <v>0</v>
      </c>
      <c r="O77" s="70">
        <f>Tabla13[[#This Row],[Total amount to be purchased (g or ml)]]</f>
        <v>0</v>
      </c>
      <c r="P77" s="78">
        <f>Tabla13[[#This Row],[Needed amount of chemical (g); Ruben Leitat calculations]]</f>
        <v>2.1</v>
      </c>
      <c r="Q77" s="78">
        <f>Tabla13[[#This Row],[Needed amount of chemical (g); Stefan UFZ calculations]]</f>
        <v>5.4941564944754644</v>
      </c>
      <c r="R77" s="2"/>
      <c r="S77" s="2" t="str">
        <f>Tabla13[[#This Row],[EC50 fish]]</f>
        <v>?</v>
      </c>
      <c r="T77" s="2" t="str">
        <f>Tabla13[[#This Row],[EC50 daphnia]]</f>
        <v>3.5 mg/L</v>
      </c>
      <c r="U77" s="2" t="e">
        <f>Tabla134[[#This Row],[Used amount of chemical for stocks (g)]]*1000/Tabla134[[#This Row],[Proposed stock concentration (g/L)]]</f>
        <v>#DIV/0!</v>
      </c>
      <c r="V77" s="100"/>
      <c r="W77" s="100">
        <f>Tabla134[[#This Row],[trials solubility (g  to be used)]]*1000/100</f>
        <v>0</v>
      </c>
      <c r="X77" s="100"/>
      <c r="Y77" s="100"/>
    </row>
    <row r="78" spans="1:25" ht="45">
      <c r="A78" s="10" t="s">
        <v>734</v>
      </c>
      <c r="B78" s="10">
        <f>Tabla13[[#This Row],[Prec.Tox code]]</f>
        <v>0</v>
      </c>
      <c r="C78" s="2" t="str">
        <f>Tabla1[[#This Row],[CAS number]]</f>
        <v>941-57-1</v>
      </c>
      <c r="D78" s="2"/>
      <c r="E78" s="2">
        <f>Tabla13[[#This Row],['[max.'] to reach 100% mortality (mg/L)]]/1000</f>
        <v>0</v>
      </c>
      <c r="F78" s="2">
        <f>Tabla13[[#This Row],[Needed amount of chemical (g); Stefan UFZ calculations]]/5</f>
        <v>3.1201740615262064</v>
      </c>
      <c r="G78" s="2">
        <f>MAX(Tabla134[[#This Row],['[max.'] to reach 100% mortality (g/L) Leitat]:['[max.'] to reach baseline toxicity (g/L) UFZ]])*1000</f>
        <v>3120.1740615262065</v>
      </c>
      <c r="H78" s="2" t="str">
        <f>Tabla1[[#This Row],[Solubility (DMSO)]]</f>
        <v>?</v>
      </c>
      <c r="I78" s="2" t="str">
        <f>Tabla1[[#This Row],[Solubility (H2O)]]</f>
        <v>?</v>
      </c>
      <c r="J78" s="2"/>
      <c r="K78" s="2"/>
      <c r="L78" s="21"/>
      <c r="M78" s="83" t="str">
        <f>Tabla1[[#This Row],[(exempted g or ml)]]</f>
        <v>Not regulated; any amount limit in internal packages</v>
      </c>
      <c r="N78" s="74">
        <f>Tabla134[[#This Row],[Proposed stock volume (per partner; ml -or g-)]]*7</f>
        <v>0</v>
      </c>
      <c r="O78" s="70">
        <f>Tabla13[[#This Row],[Total amount to be purchased (g or ml)]]</f>
        <v>0</v>
      </c>
      <c r="P78" s="78" t="str">
        <f>Tabla13[[#This Row],[Needed amount of chemical (g); Ruben Leitat calculations]]</f>
        <v>unknown</v>
      </c>
      <c r="Q78" s="78">
        <f>Tabla13[[#This Row],[Needed amount of chemical (g); Stefan UFZ calculations]]</f>
        <v>15.600870307631032</v>
      </c>
      <c r="R78" s="2"/>
      <c r="S78" s="2" t="str">
        <f>Tabla13[[#This Row],[EC50 fish]]</f>
        <v>?</v>
      </c>
      <c r="T78" s="2" t="str">
        <f>Tabla13[[#This Row],[EC50 daphnia]]</f>
        <v>?</v>
      </c>
      <c r="U78" s="2" t="e">
        <f>Tabla134[[#This Row],[Used amount of chemical for stocks (g)]]*1000/Tabla134[[#This Row],[Proposed stock concentration (g/L)]]</f>
        <v>#DIV/0!</v>
      </c>
      <c r="V78" s="100"/>
      <c r="W78" s="100">
        <f>Tabla134[[#This Row],[trials solubility (g  to be used)]]*1000/100</f>
        <v>0</v>
      </c>
      <c r="X78" s="100"/>
      <c r="Y78" s="100"/>
    </row>
    <row r="79" spans="1:25" ht="60">
      <c r="A79" s="10" t="s">
        <v>738</v>
      </c>
      <c r="B79" s="10">
        <f>Tabla13[[#This Row],[Prec.Tox code]]</f>
        <v>0</v>
      </c>
      <c r="C79" s="2" t="str">
        <f>Tabla1[[#This Row],[CAS number]]</f>
        <v>330-54-1</v>
      </c>
      <c r="D79" s="2"/>
      <c r="E79" s="2">
        <f>Tabla13[[#This Row],['[max.'] to reach 100% mortality (mg/L)]]/1000</f>
        <v>1.47</v>
      </c>
      <c r="F79" s="2">
        <f>Tabla13[[#This Row],[Needed amount of chemical (g); Stefan UFZ calculations]]/5</f>
        <v>6.327560575599038E-2</v>
      </c>
      <c r="G79" s="2">
        <f>MAX(Tabla134[[#This Row],['[max.'] to reach 100% mortality (g/L) Leitat]:['[max.'] to reach baseline toxicity (g/L) UFZ]])*1000</f>
        <v>1470</v>
      </c>
      <c r="H79" s="2" t="str">
        <f>Tabla1[[#This Row],[Solubility (DMSO)]]</f>
        <v>"Slightly Soluble"</v>
      </c>
      <c r="I79" s="2" t="str">
        <f>Tabla1[[#This Row],[Solubility (H2O)]]</f>
        <v>0,029 g/l</v>
      </c>
      <c r="J79" s="2"/>
      <c r="K79" s="2"/>
      <c r="L79" s="21"/>
      <c r="M79" s="83">
        <f>Tabla1[[#This Row],[(exempted g or ml)]]</f>
        <v>30</v>
      </c>
      <c r="N79" s="74">
        <f>Tabla134[[#This Row],[Proposed stock volume (per partner; ml -or g-)]]*7</f>
        <v>0</v>
      </c>
      <c r="O79" s="70">
        <f>Tabla13[[#This Row],[Total amount to be purchased (g or ml)]]</f>
        <v>0</v>
      </c>
      <c r="P79" s="78">
        <f>Tabla13[[#This Row],[Needed amount of chemical (g); Ruben Leitat calculations]]</f>
        <v>8.82</v>
      </c>
      <c r="Q79" s="78">
        <f>Tabla13[[#This Row],[Needed amount of chemical (g); Stefan UFZ calculations]]</f>
        <v>0.31637802877995191</v>
      </c>
      <c r="R79" s="2"/>
      <c r="S79" s="2" t="str">
        <f>Tabla13[[#This Row],[EC50 fish]]</f>
        <v>static test LC50 - Oncorhynchus mykiss (rainbow trout) - 14,7 mg/l - 96 h</v>
      </c>
      <c r="T79" s="2" t="str">
        <f>Tabla13[[#This Row],[EC50 daphnia]]</f>
        <v>1,4 mg/l</v>
      </c>
      <c r="U79" s="2" t="e">
        <f>Tabla134[[#This Row],[Used amount of chemical for stocks (g)]]*1000/Tabla134[[#This Row],[Proposed stock concentration (g/L)]]</f>
        <v>#DIV/0!</v>
      </c>
      <c r="V79" s="100"/>
      <c r="W79" s="100">
        <f>Tabla134[[#This Row],[trials solubility (g  to be used)]]*1000/100</f>
        <v>0</v>
      </c>
      <c r="X79" s="100"/>
      <c r="Y79" s="100"/>
    </row>
    <row r="80" spans="1:25" ht="60">
      <c r="A80" s="10" t="s">
        <v>746</v>
      </c>
      <c r="B80" s="10">
        <f>Tabla13[[#This Row],[Prec.Tox code]]</f>
        <v>0</v>
      </c>
      <c r="C80" s="2" t="str">
        <f>Tabla1[[#This Row],[CAS number]]</f>
        <v>133855-98-8</v>
      </c>
      <c r="D80" s="2"/>
      <c r="E80" s="2">
        <f>Tabla13[[#This Row],['[max.'] to reach 100% mortality (mg/L)]]/1000</f>
        <v>0.86899999999999999</v>
      </c>
      <c r="F80" s="2">
        <f>Tabla13[[#This Row],[Needed amount of chemical (g); Stefan UFZ calculations]]/5</f>
        <v>3.4071360567196021E-2</v>
      </c>
      <c r="G80" s="2">
        <f>MAX(Tabla134[[#This Row],['[max.'] to reach 100% mortality (g/L) Leitat]:['[max.'] to reach baseline toxicity (g/L) UFZ]])*1000</f>
        <v>869</v>
      </c>
      <c r="H80" s="2" t="str">
        <f>Tabla1[[#This Row],[Solubility (DMSO)]]</f>
        <v>&gt; 81 g/L</v>
      </c>
      <c r="I80" s="2" t="str">
        <f>Tabla1[[#This Row],[Solubility (H2O)]]</f>
        <v>9.457 mg/L</v>
      </c>
      <c r="J80" s="2"/>
      <c r="K80" s="2"/>
      <c r="L80" s="21"/>
      <c r="M80" s="83">
        <f>Tabla1[[#This Row],[(exempted g or ml)]]</f>
        <v>30</v>
      </c>
      <c r="N80" s="74">
        <f>Tabla134[[#This Row],[Proposed stock volume (per partner; ml -or g-)]]*7</f>
        <v>0</v>
      </c>
      <c r="O80" s="70">
        <f>Tabla13[[#This Row],[Total amount to be purchased (g or ml)]]</f>
        <v>0</v>
      </c>
      <c r="P80" s="78">
        <f>Tabla13[[#This Row],[Needed amount of chemical (g); Ruben Leitat calculations]]</f>
        <v>5.2140000000000004</v>
      </c>
      <c r="Q80" s="78">
        <f>Tabla13[[#This Row],[Needed amount of chemical (g); Stefan UFZ calculations]]</f>
        <v>0.17035680283598012</v>
      </c>
      <c r="R80" s="2"/>
      <c r="S80" s="2" t="str">
        <f>Tabla13[[#This Row],[EC50 fish]]</f>
        <v>static test LC50 - Oncorhynchus mykiss (rainbow trout) - 3,54 mg/l - 96 h</v>
      </c>
      <c r="T80" s="2" t="str">
        <f>Tabla13[[#This Row],[EC50 daphnia]]</f>
        <v>8,69 mg/l</v>
      </c>
      <c r="U80" s="2" t="e">
        <f>Tabla134[[#This Row],[Used amount of chemical for stocks (g)]]*1000/Tabla134[[#This Row],[Proposed stock concentration (g/L)]]</f>
        <v>#DIV/0!</v>
      </c>
      <c r="V80" s="100"/>
      <c r="W80" s="100">
        <f>Tabla134[[#This Row],[trials solubility (g  to be used)]]*1000/100</f>
        <v>0</v>
      </c>
      <c r="X80" s="100"/>
      <c r="Y80" s="100"/>
    </row>
    <row r="81" spans="1:25" ht="60">
      <c r="A81" s="10" t="s">
        <v>754</v>
      </c>
      <c r="B81" s="10">
        <f>Tabla13[[#This Row],[Prec.Tox code]]</f>
        <v>0</v>
      </c>
      <c r="C81" s="2" t="str">
        <f>Tabla1[[#This Row],[CAS number]]</f>
        <v>95-14-7</v>
      </c>
      <c r="D81" s="2"/>
      <c r="E81" s="2">
        <f>Tabla13[[#This Row],['[max.'] to reach 100% mortality (mg/L)]]/1000</f>
        <v>18</v>
      </c>
      <c r="F81" s="2">
        <f>Tabla13[[#This Row],[Needed amount of chemical (g); Stefan UFZ calculations]]/5</f>
        <v>0.68113407090751532</v>
      </c>
      <c r="G81" s="2">
        <f>MAX(Tabla134[[#This Row],['[max.'] to reach 100% mortality (g/L) Leitat]:['[max.'] to reach baseline toxicity (g/L) UFZ]])*1000</f>
        <v>18000</v>
      </c>
      <c r="H81" s="2" t="str">
        <f>Tabla1[[#This Row],[Solubility (DMSO)]]</f>
        <v xml:space="preserve"> &gt; 100 g/L</v>
      </c>
      <c r="I81" s="2" t="str">
        <f>Tabla1[[#This Row],[Solubility (H2O)]]</f>
        <v>19 g/l</v>
      </c>
      <c r="J81" s="2"/>
      <c r="K81" s="2"/>
      <c r="L81" s="21"/>
      <c r="M81" s="83">
        <f>Tabla1[[#This Row],[(exempted g or ml)]]</f>
        <v>30</v>
      </c>
      <c r="N81" s="74">
        <f>Tabla134[[#This Row],[Proposed stock volume (per partner; ml -or g-)]]*7</f>
        <v>0</v>
      </c>
      <c r="O81" s="70">
        <f>Tabla13[[#This Row],[Total amount to be purchased (g or ml)]]</f>
        <v>0</v>
      </c>
      <c r="P81" s="78">
        <f>Tabla13[[#This Row],[Needed amount of chemical (g); Ruben Leitat calculations]]</f>
        <v>108</v>
      </c>
      <c r="Q81" s="78">
        <f>Tabla13[[#This Row],[Needed amount of chemical (g); Stefan UFZ calculations]]</f>
        <v>3.4056703545375764</v>
      </c>
      <c r="R81" s="2"/>
      <c r="S81" s="2" t="str">
        <f>Tabla13[[#This Row],[EC50 fish]]</f>
        <v>semi-static test LC50 - Danio rerio (zebra fish) - 180 mg/l - 96 h (OECD Test Guideline 203)</v>
      </c>
      <c r="T81" s="2" t="str">
        <f>Tabla13[[#This Row],[EC50 daphnia]]</f>
        <v>8,58 mg/l</v>
      </c>
      <c r="U81" s="2" t="e">
        <f>Tabla134[[#This Row],[Used amount of chemical for stocks (g)]]*1000/Tabla134[[#This Row],[Proposed stock concentration (g/L)]]</f>
        <v>#DIV/0!</v>
      </c>
      <c r="V81" s="100"/>
      <c r="W81" s="100">
        <f>Tabla134[[#This Row],[trials solubility (g  to be used)]]*1000/100</f>
        <v>0</v>
      </c>
      <c r="X81" s="100"/>
      <c r="Y81" s="100"/>
    </row>
    <row r="82" spans="1:25" ht="45">
      <c r="A82" s="10" t="s">
        <v>762</v>
      </c>
      <c r="B82" s="10">
        <f>Tabla13[[#This Row],[Prec.Tox code]]</f>
        <v>0</v>
      </c>
      <c r="C82" s="2" t="str">
        <f>Tabla1[[#This Row],[CAS number]]</f>
        <v>94-13-3</v>
      </c>
      <c r="D82" s="2"/>
      <c r="E82" s="2">
        <f>Tabla13[[#This Row],['[max.'] to reach 100% mortality (mg/L)]]/1000</f>
        <v>1.54</v>
      </c>
      <c r="F82" s="2">
        <f>Tabla13[[#This Row],[Needed amount of chemical (g); Stefan UFZ calculations]]/5</f>
        <v>3.3574034594014354E-2</v>
      </c>
      <c r="G82" s="2">
        <f>MAX(Tabla134[[#This Row],['[max.'] to reach 100% mortality (g/L) Leitat]:['[max.'] to reach baseline toxicity (g/L) UFZ]])*1000</f>
        <v>1540</v>
      </c>
      <c r="H82" s="2" t="str">
        <f>Tabla1[[#This Row],[Solubility (DMSO)]]</f>
        <v>36 g/L</v>
      </c>
      <c r="I82" s="2" t="str">
        <f>Tabla1[[#This Row],[Solubility (H2O)]]</f>
        <v>0,4 g/l</v>
      </c>
      <c r="J82" s="2"/>
      <c r="K82" s="2"/>
      <c r="L82" s="21"/>
      <c r="M82" s="83" t="str">
        <f>Tabla1[[#This Row],[(exempted g or ml)]]</f>
        <v>Not regulated; any amount limit in internal packages</v>
      </c>
      <c r="N82" s="74">
        <f>Tabla134[[#This Row],[Proposed stock volume (per partner; ml -or g-)]]*7</f>
        <v>0</v>
      </c>
      <c r="O82" s="70">
        <f>Tabla13[[#This Row],[Total amount to be purchased (g or ml)]]</f>
        <v>0</v>
      </c>
      <c r="P82" s="78">
        <f>Tabla13[[#This Row],[Needed amount of chemical (g); Ruben Leitat calculations]]</f>
        <v>9.24</v>
      </c>
      <c r="Q82" s="78">
        <f>Tabla13[[#This Row],[Needed amount of chemical (g); Stefan UFZ calculations]]</f>
        <v>0.16787017297007178</v>
      </c>
      <c r="R82" s="2"/>
      <c r="S82" s="2" t="str">
        <f>Tabla13[[#This Row],[EC50 fish]]</f>
        <v>static test EC50 - Danio rerio (zebra fish) - 6,4 mg/l - 96 h</v>
      </c>
      <c r="T82" s="2" t="str">
        <f>Tabla13[[#This Row],[EC50 daphnia]]</f>
        <v>15,4 mg/l</v>
      </c>
      <c r="U82" s="2" t="e">
        <f>Tabla134[[#This Row],[Used amount of chemical for stocks (g)]]*1000/Tabla134[[#This Row],[Proposed stock concentration (g/L)]]</f>
        <v>#DIV/0!</v>
      </c>
      <c r="V82" s="100"/>
      <c r="W82" s="100">
        <f>Tabla134[[#This Row],[trials solubility (g  to be used)]]*1000/100</f>
        <v>0</v>
      </c>
      <c r="X82" s="100"/>
      <c r="Y82" s="100"/>
    </row>
    <row r="83" spans="1:25" ht="45">
      <c r="A83" s="10" t="s">
        <v>769</v>
      </c>
      <c r="B83" s="10">
        <f>Tabla13[[#This Row],[Prec.Tox code]]</f>
        <v>0</v>
      </c>
      <c r="C83" s="2" t="str">
        <f>Tabla1[[#This Row],[CAS number]]</f>
        <v>51218-45-2</v>
      </c>
      <c r="D83" s="2"/>
      <c r="E83" s="2">
        <f>Tabla13[[#This Row],['[max.'] to reach 100% mortality (mg/L)]]/1000</f>
        <v>2.5099999999999998</v>
      </c>
      <c r="F83" s="2">
        <f>Tabla13[[#This Row],[Needed amount of chemical (g); Stefan UFZ calculations]]/5</f>
        <v>0.15937061895647367</v>
      </c>
      <c r="G83" s="2">
        <f>MAX(Tabla134[[#This Row],['[max.'] to reach 100% mortality (g/L) Leitat]:['[max.'] to reach baseline toxicity (g/L) UFZ]])*1000</f>
        <v>2510</v>
      </c>
      <c r="H83" s="2" t="str">
        <f>Tabla1[[#This Row],[Solubility (DMSO)]]</f>
        <v>? (Soluble in most organic solvents)</v>
      </c>
      <c r="I83" s="2" t="str">
        <f>Tabla1[[#This Row],[Solubility (H2O)]]</f>
        <v>530 mg/L</v>
      </c>
      <c r="J83" s="2"/>
      <c r="K83" s="2"/>
      <c r="L83" s="21"/>
      <c r="M83" s="83" t="str">
        <f>Tabla1[[#This Row],[(exempted g or ml)]]</f>
        <v>Not regulated; any amount limit in internal packages</v>
      </c>
      <c r="N83" s="74">
        <f>Tabla134[[#This Row],[Proposed stock volume (per partner; ml -or g-)]]*7</f>
        <v>0</v>
      </c>
      <c r="O83" s="70">
        <f>Tabla13[[#This Row],[Total amount to be purchased (g or ml)]]</f>
        <v>0</v>
      </c>
      <c r="P83" s="78">
        <f>Tabla13[[#This Row],[Needed amount of chemical (g); Ruben Leitat calculations]]</f>
        <v>15.060000000000002</v>
      </c>
      <c r="Q83" s="78">
        <f>Tabla13[[#This Row],[Needed amount of chemical (g); Stefan UFZ calculations]]</f>
        <v>0.79685309478236832</v>
      </c>
      <c r="R83" s="2"/>
      <c r="S83" s="2" t="str">
        <f>Tabla13[[#This Row],[EC50 fish]]</f>
        <v>LC50 - Oncorhynchus mykiss (rainbow trout) - 3,9 mg/l - 96 h</v>
      </c>
      <c r="T83" s="2" t="str">
        <f>Tabla13[[#This Row],[EC50 daphnia]]</f>
        <v>25,1 mg/l</v>
      </c>
      <c r="U83" s="2" t="e">
        <f>Tabla134[[#This Row],[Used amount of chemical for stocks (g)]]*1000/Tabla134[[#This Row],[Proposed stock concentration (g/L)]]</f>
        <v>#DIV/0!</v>
      </c>
      <c r="V83" s="100"/>
      <c r="W83" s="100">
        <f>Tabla134[[#This Row],[trials solubility (g  to be used)]]*1000/100</f>
        <v>0</v>
      </c>
      <c r="X83" s="100"/>
      <c r="Y83" s="100"/>
    </row>
    <row r="84" spans="1:25" ht="120">
      <c r="A84" s="10" t="s">
        <v>777</v>
      </c>
      <c r="B84" s="10">
        <f>Tabla13[[#This Row],[Prec.Tox code]]</f>
        <v>0</v>
      </c>
      <c r="C84" s="2" t="str">
        <f>Tabla1[[#This Row],[CAS number]]</f>
        <v>115256-11-6</v>
      </c>
      <c r="D84" s="2"/>
      <c r="E84" s="2">
        <f>Tabla13[[#This Row],['[max.'] to reach 100% mortality (mg/L)]]/1000</f>
        <v>2.2999999999999998</v>
      </c>
      <c r="F84" s="2">
        <f>Tabla13[[#This Row],[Needed amount of chemical (g); Stefan UFZ calculations]]/5</f>
        <v>1.5688191660446011</v>
      </c>
      <c r="G84" s="2">
        <f>MAX(Tabla134[[#This Row],['[max.'] to reach 100% mortality (g/L) Leitat]:['[max.'] to reach baseline toxicity (g/L) UFZ]])*1000</f>
        <v>2300</v>
      </c>
      <c r="H84" s="2" t="str">
        <f>Tabla1[[#This Row],[Solubility (DMSO)]]</f>
        <v>≥ 100 g/L</v>
      </c>
      <c r="I84" s="2" t="str">
        <f>Tabla1[[#This Row],[Solubility (H2O)]]</f>
        <v>"Very slightly soluble" (We do not recommend storing the aqueous solution for more than one day)</v>
      </c>
      <c r="J84" s="2"/>
      <c r="K84" s="2"/>
      <c r="L84" s="21"/>
      <c r="M84" s="83" t="str">
        <f>Tabla1[[#This Row],[(exempted g or ml)]]</f>
        <v>Not regulated; any amount limit in internal packages</v>
      </c>
      <c r="N84" s="74">
        <f>Tabla134[[#This Row],[Proposed stock volume (per partner; ml -or g-)]]*7</f>
        <v>0</v>
      </c>
      <c r="O84" s="70">
        <f>Tabla13[[#This Row],[Total amount to be purchased (g or ml)]]</f>
        <v>0</v>
      </c>
      <c r="P84" s="78">
        <f>Tabla13[[#This Row],[Needed amount of chemical (g); Ruben Leitat calculations]]</f>
        <v>13.8</v>
      </c>
      <c r="Q84" s="78">
        <f>Tabla13[[#This Row],[Needed amount of chemical (g); Stefan UFZ calculations]]</f>
        <v>7.8440958302230053</v>
      </c>
      <c r="R84" s="2"/>
      <c r="S84" s="2" t="str">
        <f>Tabla13[[#This Row],[EC50 fish]]</f>
        <v>Cyprinodon variegatus (Sheepshead Minnow) LC50 &gt; 23 mg/L</v>
      </c>
      <c r="T84" s="2" t="str">
        <f>Tabla13[[#This Row],[EC50 daphnia]]</f>
        <v>1,7 mg/l</v>
      </c>
      <c r="U84" s="2" t="e">
        <f>Tabla134[[#This Row],[Used amount of chemical for stocks (g)]]*1000/Tabla134[[#This Row],[Proposed stock concentration (g/L)]]</f>
        <v>#DIV/0!</v>
      </c>
      <c r="V84" s="100"/>
      <c r="W84" s="100">
        <f>Tabla134[[#This Row],[trials solubility (g  to be used)]]*1000/100</f>
        <v>0</v>
      </c>
      <c r="X84" s="100"/>
      <c r="Y84" s="100"/>
    </row>
    <row r="85" spans="1:25">
      <c r="A85" s="10" t="s">
        <v>785</v>
      </c>
      <c r="B85" s="10">
        <f>Tabla13[[#This Row],[Prec.Tox code]]</f>
        <v>0</v>
      </c>
      <c r="C85" s="2" t="str">
        <f>Tabla1[[#This Row],[CAS number]]</f>
        <v>148-24-3</v>
      </c>
      <c r="D85" s="2"/>
      <c r="E85" s="2">
        <f>Tabla13[[#This Row],['[max.'] to reach 100% mortality (mg/L)]]/1000</f>
        <v>1.8</v>
      </c>
      <c r="F85" s="2">
        <f>Tabla13[[#This Row],[Needed amount of chemical (g); Stefan UFZ calculations]]/5</f>
        <v>0.24040757972356014</v>
      </c>
      <c r="G85" s="2">
        <f>MAX(Tabla134[[#This Row],['[max.'] to reach 100% mortality (g/L) Leitat]:['[max.'] to reach baseline toxicity (g/L) UFZ]])*1000</f>
        <v>1800</v>
      </c>
      <c r="H85" s="2" t="str">
        <f>Tabla1[[#This Row],[Solubility (DMSO)]]</f>
        <v>50 g/L</v>
      </c>
      <c r="I85" s="2" t="str">
        <f>Tabla1[[#This Row],[Solubility (H2O)]]</f>
        <v>0,555 g/l</v>
      </c>
      <c r="J85" s="2"/>
      <c r="K85" s="2"/>
      <c r="L85" s="21"/>
      <c r="M85" s="83">
        <f>Tabla1[[#This Row],[(exempted g or ml)]]</f>
        <v>30</v>
      </c>
      <c r="N85" s="74">
        <f>Tabla134[[#This Row],[Proposed stock volume (per partner; ml -or g-)]]*7</f>
        <v>0</v>
      </c>
      <c r="O85" s="70">
        <f>Tabla13[[#This Row],[Total amount to be purchased (g or ml)]]</f>
        <v>0</v>
      </c>
      <c r="P85" s="78">
        <f>Tabla13[[#This Row],[Needed amount of chemical (g); Ruben Leitat calculations]]</f>
        <v>10.8</v>
      </c>
      <c r="Q85" s="78">
        <f>Tabla13[[#This Row],[Needed amount of chemical (g); Stefan UFZ calculations]]</f>
        <v>1.2020378986178006</v>
      </c>
      <c r="R85" s="2"/>
      <c r="S85" s="2" t="str">
        <f>Tabla13[[#This Row],[EC50 fish]]</f>
        <v>LC50 - Fish - 18 mg/l - 96 h</v>
      </c>
      <c r="T85" s="2" t="str">
        <f>Tabla13[[#This Row],[EC50 daphnia]]</f>
        <v>2,4 mg/l</v>
      </c>
      <c r="U85" s="2" t="e">
        <f>Tabla134[[#This Row],[Used amount of chemical for stocks (g)]]*1000/Tabla134[[#This Row],[Proposed stock concentration (g/L)]]</f>
        <v>#DIV/0!</v>
      </c>
      <c r="V85" s="100"/>
      <c r="W85" s="100">
        <f>Tabla134[[#This Row],[trials solubility (g  to be used)]]*1000/100</f>
        <v>0</v>
      </c>
      <c r="X85" s="100"/>
      <c r="Y85" s="100"/>
    </row>
    <row r="86" spans="1:25" ht="45">
      <c r="A86" s="10" t="s">
        <v>793</v>
      </c>
      <c r="B86" s="10">
        <f>Tabla13[[#This Row],[Prec.Tox code]]</f>
        <v>0</v>
      </c>
      <c r="C86" s="2" t="str">
        <f>Tabla1[[#This Row],[CAS number]]</f>
        <v>1210-12-4</v>
      </c>
      <c r="D86" s="2"/>
      <c r="E86" s="2">
        <f>Tabla13[[#This Row],['[max.'] to reach 100% mortality (mg/L)]]/1000</f>
        <v>0</v>
      </c>
      <c r="F86" s="2">
        <f>Tabla13[[#This Row],[Needed amount of chemical (g); Stefan UFZ calculations]]/5</f>
        <v>33.729908991095087</v>
      </c>
      <c r="G86" s="2">
        <f>MAX(Tabla134[[#This Row],['[max.'] to reach 100% mortality (g/L) Leitat]:['[max.'] to reach baseline toxicity (g/L) UFZ]])*1000</f>
        <v>33729.908991095086</v>
      </c>
      <c r="H86" s="2" t="str">
        <f>Tabla1[[#This Row],[Solubility (DMSO)]]</f>
        <v>?</v>
      </c>
      <c r="I86" s="2" t="str">
        <f>Tabla1[[#This Row],[Solubility (H2O)]]</f>
        <v>0.4087 mg/L</v>
      </c>
      <c r="J86" s="2"/>
      <c r="K86" s="2"/>
      <c r="L86" s="21"/>
      <c r="M86" s="83" t="str">
        <f>Tabla1[[#This Row],[(exempted g or ml)]]</f>
        <v>Not regulated; any amount limit in internal packages</v>
      </c>
      <c r="N86" s="74">
        <f>Tabla134[[#This Row],[Proposed stock volume (per partner; ml -or g-)]]*7</f>
        <v>0</v>
      </c>
      <c r="O86" s="70">
        <f>Tabla13[[#This Row],[Total amount to be purchased (g or ml)]]</f>
        <v>0</v>
      </c>
      <c r="P86" s="78" t="str">
        <f>Tabla13[[#This Row],[Needed amount of chemical (g); Ruben Leitat calculations]]</f>
        <v>unknown</v>
      </c>
      <c r="Q86" s="78">
        <f>Tabla13[[#This Row],[Needed amount of chemical (g); Stefan UFZ calculations]]</f>
        <v>168.64954495547545</v>
      </c>
      <c r="R86" s="2"/>
      <c r="S86" s="2" t="str">
        <f>Tabla13[[#This Row],[EC50 fish]]</f>
        <v>?</v>
      </c>
      <c r="T86" s="2" t="str">
        <f>Tabla13[[#This Row],[EC50 daphnia]]</f>
        <v>?</v>
      </c>
      <c r="U86" s="2" t="e">
        <f>Tabla134[[#This Row],[Used amount of chemical for stocks (g)]]*1000/Tabla134[[#This Row],[Proposed stock concentration (g/L)]]</f>
        <v>#DIV/0!</v>
      </c>
      <c r="V86" s="100"/>
      <c r="W86" s="100">
        <f>Tabla134[[#This Row],[trials solubility (g  to be used)]]*1000/100</f>
        <v>0</v>
      </c>
      <c r="X86" s="100"/>
      <c r="Y86" s="100"/>
    </row>
    <row r="87" spans="1:25">
      <c r="A87" s="10" t="s">
        <v>797</v>
      </c>
      <c r="B87" s="10">
        <f>Tabla13[[#This Row],[Prec.Tox code]]</f>
        <v>0</v>
      </c>
      <c r="C87" s="2" t="str">
        <f>Tabla1[[#This Row],[CAS number]]</f>
        <v>256-96-2</v>
      </c>
      <c r="D87" s="2"/>
      <c r="E87" s="2">
        <f>Tabla13[[#This Row],['[max.'] to reach 100% mortality (mg/L)]]/1000</f>
        <v>0</v>
      </c>
      <c r="F87" s="2">
        <f>Tabla13[[#This Row],[Needed amount of chemical (g); Stefan UFZ calculations]]/5</f>
        <v>3.0454295347458159E-2</v>
      </c>
      <c r="G87" s="2">
        <f>MAX(Tabla134[[#This Row],['[max.'] to reach 100% mortality (g/L) Leitat]:['[max.'] to reach baseline toxicity (g/L) UFZ]])*1000</f>
        <v>30.45429534745816</v>
      </c>
      <c r="H87" s="2" t="str">
        <f>Tabla1[[#This Row],[Solubility (DMSO)]]</f>
        <v>38 g/L</v>
      </c>
      <c r="I87" s="2" t="str">
        <f>Tabla1[[#This Row],[Solubility (H2O)]]</f>
        <v>?</v>
      </c>
      <c r="J87" s="2"/>
      <c r="K87" s="2"/>
      <c r="L87" s="21"/>
      <c r="M87" s="83">
        <f>Tabla1[[#This Row],[(exempted g or ml)]]</f>
        <v>30</v>
      </c>
      <c r="N87" s="74">
        <f>Tabla134[[#This Row],[Proposed stock volume (per partner; ml -or g-)]]*7</f>
        <v>0</v>
      </c>
      <c r="O87" s="70">
        <f>Tabla13[[#This Row],[Total amount to be purchased (g or ml)]]</f>
        <v>0</v>
      </c>
      <c r="P87" s="78" t="str">
        <f>Tabla13[[#This Row],[Needed amount of chemical (g); Ruben Leitat calculations]]</f>
        <v>unknown</v>
      </c>
      <c r="Q87" s="78">
        <f>Tabla13[[#This Row],[Needed amount of chemical (g); Stefan UFZ calculations]]</f>
        <v>0.1522714767372908</v>
      </c>
      <c r="R87" s="2"/>
      <c r="S87" s="2" t="str">
        <f>Tabla13[[#This Row],[EC50 fish]]</f>
        <v>?</v>
      </c>
      <c r="T87" s="2" t="str">
        <f>Tabla13[[#This Row],[EC50 daphnia]]</f>
        <v>?</v>
      </c>
      <c r="U87" s="2" t="e">
        <f>Tabla134[[#This Row],[Used amount of chemical for stocks (g)]]*1000/Tabla134[[#This Row],[Proposed stock concentration (g/L)]]</f>
        <v>#DIV/0!</v>
      </c>
      <c r="V87" s="100"/>
      <c r="W87" s="100">
        <f>Tabla134[[#This Row],[trials solubility (g  to be used)]]*1000/100</f>
        <v>0</v>
      </c>
      <c r="X87" s="100"/>
      <c r="Y87" s="100"/>
    </row>
    <row r="88" spans="1:25" ht="45">
      <c r="A88" s="10" t="s">
        <v>804</v>
      </c>
      <c r="B88" s="10">
        <f>Tabla13[[#This Row],[Prec.Tox code]]</f>
        <v>0</v>
      </c>
      <c r="C88" s="2" t="str">
        <f>Tabla1[[#This Row],[CAS number]]</f>
        <v>155569-91-8</v>
      </c>
      <c r="D88" s="2"/>
      <c r="E88" s="2">
        <f>Tabla13[[#This Row],['[max.'] to reach 100% mortality (mg/L)]]/1000</f>
        <v>1.7000000000000001E-2</v>
      </c>
      <c r="F88" s="2">
        <f>Tabla13[[#This Row],[Needed amount of chemical (g); Stefan UFZ calculations]]/5</f>
        <v>3.7428176317253294E-2</v>
      </c>
      <c r="G88" s="2">
        <f>MAX(Tabla134[[#This Row],['[max.'] to reach 100% mortality (g/L) Leitat]:['[max.'] to reach baseline toxicity (g/L) UFZ]])*1000</f>
        <v>37.428176317253296</v>
      </c>
      <c r="H88" s="2" t="str">
        <f>Tabla1[[#This Row],[Solubility (DMSO)]]</f>
        <v>100 g/L</v>
      </c>
      <c r="I88" s="2" t="str">
        <f>Tabla1[[#This Row],[Solubility (H2O)]]</f>
        <v>24 mg/L</v>
      </c>
      <c r="J88" s="2"/>
      <c r="K88" s="2"/>
      <c r="L88" s="21"/>
      <c r="M88" s="83">
        <f>Tabla1[[#This Row],[(exempted g or ml)]]</f>
        <v>30</v>
      </c>
      <c r="N88" s="74">
        <f>Tabla134[[#This Row],[Proposed stock volume (per partner; ml -or g-)]]*7</f>
        <v>0</v>
      </c>
      <c r="O88" s="70">
        <f>Tabla13[[#This Row],[Total amount to be purchased (g or ml)]]</f>
        <v>0</v>
      </c>
      <c r="P88" s="78">
        <f>Tabla13[[#This Row],[Needed amount of chemical (g); Ruben Leitat calculations]]</f>
        <v>0.10199999999999999</v>
      </c>
      <c r="Q88" s="78">
        <f>Tabla13[[#This Row],[Needed amount of chemical (g); Stefan UFZ calculations]]</f>
        <v>0.18714088158626646</v>
      </c>
      <c r="R88" s="2"/>
      <c r="S88" s="2" t="str">
        <f>Tabla13[[#This Row],[EC50 fish]]</f>
        <v>LC50 - Oncorhynchus mykiss (rainbow trout) - 0,17 mg/l - 96,0 h</v>
      </c>
      <c r="T88" s="2" t="str">
        <f>Tabla13[[#This Row],[EC50 daphnia]]</f>
        <v>1 µg/L</v>
      </c>
      <c r="U88" s="2" t="e">
        <f>Tabla134[[#This Row],[Used amount of chemical for stocks (g)]]*1000/Tabla134[[#This Row],[Proposed stock concentration (g/L)]]</f>
        <v>#DIV/0!</v>
      </c>
      <c r="V88" s="100"/>
      <c r="W88" s="100">
        <f>Tabla134[[#This Row],[trials solubility (g  to be used)]]*1000/100</f>
        <v>0</v>
      </c>
      <c r="X88" s="100"/>
      <c r="Y88" s="100"/>
    </row>
    <row r="89" spans="1:25" ht="45">
      <c r="A89" s="10" t="s">
        <v>811</v>
      </c>
      <c r="B89" s="10">
        <f>Tabla13[[#This Row],[Prec.Tox code]]</f>
        <v>0</v>
      </c>
      <c r="C89" s="2" t="str">
        <f>Tabla1[[#This Row],[CAS number]]</f>
        <v>71751-41-2</v>
      </c>
      <c r="D89" s="2"/>
      <c r="E89" s="2">
        <f>Tabla13[[#This Row],['[max.'] to reach 100% mortality (mg/L)]]/1000</f>
        <v>4.0000000000000002E-4</v>
      </c>
      <c r="F89" s="2">
        <f>Tabla13[[#This Row],[Needed amount of chemical (g); Stefan UFZ calculations]]/5</f>
        <v>3.8874316911051879E-2</v>
      </c>
      <c r="G89" s="2">
        <f>MAX(Tabla134[[#This Row],['[max.'] to reach 100% mortality (g/L) Leitat]:['[max.'] to reach baseline toxicity (g/L) UFZ]])*1000</f>
        <v>38.874316911051878</v>
      </c>
      <c r="H89" s="2" t="str">
        <f>Tabla1[[#This Row],[Solubility (DMSO)]]</f>
        <v>100 g/L</v>
      </c>
      <c r="I89" s="2" t="str">
        <f>Tabla1[[#This Row],[Solubility (H2O)]]</f>
        <v>3.5 mg/L - 10g/L?</v>
      </c>
      <c r="J89" s="2"/>
      <c r="K89" s="2"/>
      <c r="L89" s="21"/>
      <c r="M89" s="83">
        <f>Tabla1[[#This Row],[(exempted g or ml)]]</f>
        <v>1</v>
      </c>
      <c r="N89" s="74">
        <f>Tabla134[[#This Row],[Proposed stock volume (per partner; ml -or g-)]]*7</f>
        <v>0</v>
      </c>
      <c r="O89" s="70">
        <f>Tabla13[[#This Row],[Total amount to be purchased (g or ml)]]</f>
        <v>0</v>
      </c>
      <c r="P89" s="78">
        <f>Tabla13[[#This Row],[Needed amount of chemical (g); Ruben Leitat calculations]]</f>
        <v>2.4000000000000002E-3</v>
      </c>
      <c r="Q89" s="78">
        <f>Tabla13[[#This Row],[Needed amount of chemical (g); Stefan UFZ calculations]]</f>
        <v>0.19437158455525941</v>
      </c>
      <c r="R89" s="2"/>
      <c r="S89" s="2" t="str">
        <f>Tabla13[[#This Row],[EC50 fish]]</f>
        <v>LC50 - Oncorhynchus mykiss (rainbow trout) - 0,004 mg/l - 96,0 h</v>
      </c>
      <c r="T89" s="2" t="str">
        <f>Tabla13[[#This Row],[EC50 daphnia]]</f>
        <v>&lt; 0,001 mg/l</v>
      </c>
      <c r="U89" s="2" t="e">
        <f>Tabla134[[#This Row],[Used amount of chemical for stocks (g)]]*1000/Tabla134[[#This Row],[Proposed stock concentration (g/L)]]</f>
        <v>#DIV/0!</v>
      </c>
      <c r="V89" s="100"/>
      <c r="W89" s="100">
        <f>Tabla134[[#This Row],[trials solubility (g  to be used)]]*1000/100</f>
        <v>0</v>
      </c>
      <c r="X89" s="100"/>
      <c r="Y89" s="100"/>
    </row>
    <row r="90" spans="1:25" ht="60">
      <c r="A90" s="10" t="s">
        <v>819</v>
      </c>
      <c r="B90" s="10">
        <f>Tabla13[[#This Row],[Prec.Tox code]]</f>
        <v>0</v>
      </c>
      <c r="C90" s="2" t="str">
        <f>Tabla1[[#This Row],[CAS number]]</f>
        <v>76-87-9</v>
      </c>
      <c r="D90" s="2"/>
      <c r="E90" s="2">
        <f>Tabla13[[#This Row],['[max.'] to reach 100% mortality (mg/L)]]/1000</f>
        <v>8.699999999999999E-4</v>
      </c>
      <c r="F90" s="2">
        <f>Tabla13[[#This Row],[Needed amount of chemical (g); Stefan UFZ calculations]]/5</f>
        <v>3.0710614278033749E-2</v>
      </c>
      <c r="G90" s="2">
        <f>MAX(Tabla134[[#This Row],['[max.'] to reach 100% mortality (g/L) Leitat]:['[max.'] to reach baseline toxicity (g/L) UFZ]])*1000</f>
        <v>30.710614278033749</v>
      </c>
      <c r="H90" s="2" t="str">
        <f>Tabla1[[#This Row],[Solubility (DMSO)]]</f>
        <v>'Moderately soluble in most organic solvents'?</v>
      </c>
      <c r="I90" s="2" t="str">
        <f>Tabla1[[#This Row],[Solubility (H2O)]]</f>
        <v>1 mg/l</v>
      </c>
      <c r="J90" s="2"/>
      <c r="K90" s="2"/>
      <c r="L90" s="21"/>
      <c r="M90" s="83">
        <f>Tabla1[[#This Row],[(exempted g or ml)]]</f>
        <v>1</v>
      </c>
      <c r="N90" s="74">
        <f>Tabla134[[#This Row],[Proposed stock volume (per partner; ml -or g-)]]*7</f>
        <v>0</v>
      </c>
      <c r="O90" s="70">
        <f>Tabla13[[#This Row],[Total amount to be purchased (g or ml)]]</f>
        <v>0</v>
      </c>
      <c r="P90" s="78">
        <f>Tabla13[[#This Row],[Needed amount of chemical (g); Ruben Leitat calculations]]</f>
        <v>5.2199999999999989E-3</v>
      </c>
      <c r="Q90" s="78">
        <f>Tabla13[[#This Row],[Needed amount of chemical (g); Stefan UFZ calculations]]</f>
        <v>0.15355307139016874</v>
      </c>
      <c r="R90" s="2"/>
      <c r="S90" s="2" t="str">
        <f>Tabla13[[#This Row],[EC50 fish]]</f>
        <v>LC50 - Pimephales promelas (fathead minnow) - 0,007 mg/l - 96,0 h</v>
      </c>
      <c r="T90" s="2" t="str">
        <f>Tabla13[[#This Row],[EC50 daphnia]]</f>
        <v>EC50 - Daphnia magna (Water flea) - 0,0087 mg/l - 48 h</v>
      </c>
      <c r="U90" s="2" t="e">
        <f>Tabla134[[#This Row],[Used amount of chemical for stocks (g)]]*1000/Tabla134[[#This Row],[Proposed stock concentration (g/L)]]</f>
        <v>#DIV/0!</v>
      </c>
      <c r="V90" s="100"/>
      <c r="W90" s="100">
        <f>Tabla134[[#This Row],[trials solubility (g  to be used)]]*1000/100</f>
        <v>0</v>
      </c>
      <c r="X90" s="100"/>
      <c r="Y90" s="100"/>
    </row>
    <row r="91" spans="1:25" ht="60">
      <c r="A91" s="10" t="s">
        <v>828</v>
      </c>
      <c r="B91" s="10">
        <f>Tabla13[[#This Row],[Prec.Tox code]]</f>
        <v>0</v>
      </c>
      <c r="C91" s="2" t="str">
        <f>Tabla1[[#This Row],[CAS number]]</f>
        <v>NOCAS</v>
      </c>
      <c r="D91" s="2"/>
      <c r="E91" s="2">
        <f>Tabla13[[#This Row],['[max.'] to reach 100% mortality (mg/L)]]/1000</f>
        <v>3.5000000000000005E-3</v>
      </c>
      <c r="F91" s="2" t="e">
        <f>Tabla13[[#This Row],[Needed amount of chemical (g); Stefan UFZ calculations]]/5</f>
        <v>#VALUE!</v>
      </c>
      <c r="G91" s="2" t="e">
        <f>MAX(Tabla134[[#This Row],['[max.'] to reach 100% mortality (g/L) Leitat]:['[max.'] to reach baseline toxicity (g/L) UFZ]])*1000</f>
        <v>#VALUE!</v>
      </c>
      <c r="H91" s="2" t="str">
        <f>Tabla1[[#This Row],[Solubility (DMSO)]]</f>
        <v>'soluble'</v>
      </c>
      <c r="I91" s="2" t="str">
        <f>Tabla1[[#This Row],[Solubility (H2O)]]</f>
        <v>Milbemectin A3: 7,2 mg /l
Milbemectin A4: 0,88 mg/l</v>
      </c>
      <c r="J91" s="2"/>
      <c r="K91" s="2"/>
      <c r="L91" s="21"/>
      <c r="M91" s="83" t="str">
        <f>Tabla1[[#This Row],[(exempted g or ml)]]</f>
        <v>Not regulated; any amount limit in internal packages</v>
      </c>
      <c r="N91" s="74">
        <f>Tabla134[[#This Row],[Proposed stock volume (per partner; ml -or g-)]]*7</f>
        <v>0</v>
      </c>
      <c r="O91" s="70">
        <f>Tabla13[[#This Row],[Total amount to be purchased (g or ml)]]</f>
        <v>0</v>
      </c>
      <c r="P91" s="78">
        <f>Tabla13[[#This Row],[Needed amount of chemical (g); Ruben Leitat calculations]]</f>
        <v>2.1000000000000005E-2</v>
      </c>
      <c r="Q91" s="78" t="e">
        <f>Tabla13[[#This Row],[Needed amount of chemical (g); Stefan UFZ calculations]]</f>
        <v>#VALUE!</v>
      </c>
      <c r="R91" s="2"/>
      <c r="S91" s="2" t="str">
        <f>Tabla13[[#This Row],[EC50 fish]]</f>
        <v>96h LC50: 4.4-35 µg/L</v>
      </c>
      <c r="T91" s="2" t="str">
        <f>Tabla13[[#This Row],[EC50 daphnia]]</f>
        <v>48h EC50: 11 µg/L</v>
      </c>
      <c r="U91" s="2" t="e">
        <f>Tabla134[[#This Row],[Used amount of chemical for stocks (g)]]*1000/Tabla134[[#This Row],[Proposed stock concentration (g/L)]]</f>
        <v>#DIV/0!</v>
      </c>
      <c r="V91" s="100"/>
      <c r="W91" s="100">
        <f>Tabla134[[#This Row],[trials solubility (g  to be used)]]*1000/100</f>
        <v>0</v>
      </c>
      <c r="X91" s="100"/>
      <c r="Y91" s="100"/>
    </row>
    <row r="92" spans="1:25" ht="45">
      <c r="A92" s="10" t="s">
        <v>834</v>
      </c>
      <c r="B92" s="10">
        <f>Tabla13[[#This Row],[Prec.Tox code]]</f>
        <v>0</v>
      </c>
      <c r="C92" s="2" t="str">
        <f>Tabla1[[#This Row],[CAS number]]</f>
        <v>2155-70-6</v>
      </c>
      <c r="D92" s="2"/>
      <c r="E92" s="2">
        <f>Tabla13[[#This Row],['[max.'] to reach 100% mortality (mg/L)]]/1000</f>
        <v>4.1000000000000002E-2</v>
      </c>
      <c r="F92" s="2" t="e">
        <f>Tabla13[[#This Row],[Needed amount of chemical (g); Stefan UFZ calculations]]/5</f>
        <v>#VALUE!</v>
      </c>
      <c r="G92" s="2" t="e">
        <f>MAX(Tabla134[[#This Row],['[max.'] to reach 100% mortality (g/L) Leitat]:['[max.'] to reach baseline toxicity (g/L) UFZ]])*1000</f>
        <v>#VALUE!</v>
      </c>
      <c r="H92" s="2" t="str">
        <f>Tabla1[[#This Row],[Solubility (DMSO)]]</f>
        <v>?</v>
      </c>
      <c r="I92" s="2" t="str">
        <f>Tabla1[[#This Row],[Solubility (H2O)]]</f>
        <v xml:space="preserve">0.274 mg/L </v>
      </c>
      <c r="J92" s="2"/>
      <c r="K92" s="2"/>
      <c r="L92" s="21"/>
      <c r="M92" s="83" t="str">
        <f>Tabla1[[#This Row],[(exempted g or ml)]]</f>
        <v>Not regulated; any amount limit in internal packages</v>
      </c>
      <c r="N92" s="74">
        <f>Tabla134[[#This Row],[Proposed stock volume (per partner; ml -or g-)]]*7</f>
        <v>0</v>
      </c>
      <c r="O92" s="70">
        <f>Tabla13[[#This Row],[Total amount to be purchased (g or ml)]]</f>
        <v>0</v>
      </c>
      <c r="P92" s="78">
        <f>Tabla13[[#This Row],[Needed amount of chemical (g); Ruben Leitat calculations]]</f>
        <v>0.24599999999999997</v>
      </c>
      <c r="Q92" s="78" t="e">
        <f>Tabla13[[#This Row],[Needed amount of chemical (g); Stefan UFZ calculations]]</f>
        <v>#VALUE!</v>
      </c>
      <c r="R92" s="2"/>
      <c r="S92" s="2" t="str">
        <f>Tabla13[[#This Row],[EC50 fish]]</f>
        <v>LC50 0,41 mg/L (zebrafish, 120h)</v>
      </c>
      <c r="T92" s="2" t="str">
        <f>Tabla13[[#This Row],[EC50 daphnia]]</f>
        <v>?</v>
      </c>
      <c r="U92" s="2" t="e">
        <f>Tabla134[[#This Row],[Used amount of chemical for stocks (g)]]*1000/Tabla134[[#This Row],[Proposed stock concentration (g/L)]]</f>
        <v>#DIV/0!</v>
      </c>
      <c r="V92" s="100"/>
      <c r="W92" s="100">
        <f>Tabla134[[#This Row],[trials solubility (g  to be used)]]*1000/100</f>
        <v>0</v>
      </c>
      <c r="X92" s="100"/>
      <c r="Y92" s="100"/>
    </row>
    <row r="93" spans="1:25" ht="45">
      <c r="A93" s="10" t="s">
        <v>840</v>
      </c>
      <c r="B93" s="10">
        <f>Tabla13[[#This Row],[Prec.Tox code]]</f>
        <v>0</v>
      </c>
      <c r="C93" s="2" t="str">
        <f>Tabla1[[#This Row],[CAS number]]</f>
        <v>96489-71-3</v>
      </c>
      <c r="D93" s="2"/>
      <c r="E93" s="2">
        <f>Tabla13[[#This Row],['[max.'] to reach 100% mortality (mg/L)]]/1000</f>
        <v>7.1999999999999988E-5</v>
      </c>
      <c r="F93" s="2">
        <f>Tabla13[[#This Row],[Needed amount of chemical (g); Stefan UFZ calculations]]/5</f>
        <v>8.6707881277829062E-3</v>
      </c>
      <c r="G93" s="2">
        <f>MAX(Tabla134[[#This Row],['[max.'] to reach 100% mortality (g/L) Leitat]:['[max.'] to reach baseline toxicity (g/L) UFZ]])*1000</f>
        <v>8.670788127782906</v>
      </c>
      <c r="H93" s="2" t="str">
        <f>Tabla1[[#This Row],[Solubility (DMSO)]]</f>
        <v>50 mg/mL</v>
      </c>
      <c r="I93" s="2" t="str">
        <f>Tabla1[[#This Row],[Solubility (H2O)]]</f>
        <v>0,022 mg/l</v>
      </c>
      <c r="J93" s="2"/>
      <c r="K93" s="2"/>
      <c r="L93" s="21"/>
      <c r="M93" s="83" t="str">
        <f>Tabla1[[#This Row],[(exempted g or ml)]]</f>
        <v>Not regulated; any amount limit in internal packages</v>
      </c>
      <c r="N93" s="74">
        <f>Tabla134[[#This Row],[Proposed stock volume (per partner; ml -or g-)]]*7</f>
        <v>0</v>
      </c>
      <c r="O93" s="70">
        <f>Tabla13[[#This Row],[Total amount to be purchased (g or ml)]]</f>
        <v>0</v>
      </c>
      <c r="P93" s="78">
        <f>Tabla13[[#This Row],[Needed amount of chemical (g); Ruben Leitat calculations]]</f>
        <v>4.3199999999999993E-4</v>
      </c>
      <c r="Q93" s="78">
        <f>Tabla13[[#This Row],[Needed amount of chemical (g); Stefan UFZ calculations]]</f>
        <v>4.3353940638914533E-2</v>
      </c>
      <c r="R93" s="2"/>
      <c r="S93" s="2" t="str">
        <f>Tabla13[[#This Row],[EC50 fish]]</f>
        <v>LC50 - Oncorhynchus mykiss (rainbow trout) - 0,72 µg/l - 96,0 h</v>
      </c>
      <c r="T93" s="2" t="str">
        <f>Tabla13[[#This Row],[EC50 daphnia]]</f>
        <v>EC50 - Daphnia magna (Water flea) - 0,53 µg/l - 48 h</v>
      </c>
      <c r="U93" s="2" t="e">
        <f>Tabla134[[#This Row],[Used amount of chemical for stocks (g)]]*1000/Tabla134[[#This Row],[Proposed stock concentration (g/L)]]</f>
        <v>#DIV/0!</v>
      </c>
      <c r="V93" s="100"/>
      <c r="W93" s="100">
        <f>Tabla134[[#This Row],[trials solubility (g  to be used)]]*1000/100</f>
        <v>0</v>
      </c>
      <c r="X93" s="100"/>
      <c r="Y93" s="100"/>
    </row>
    <row r="94" spans="1:25" ht="105">
      <c r="A94" s="10" t="s">
        <v>847</v>
      </c>
      <c r="B94" s="10">
        <f>Tabla13[[#This Row],[Prec.Tox code]]</f>
        <v>0</v>
      </c>
      <c r="C94" s="2" t="str">
        <f>Tabla1[[#This Row],[CAS number]]</f>
        <v>548-62-9</v>
      </c>
      <c r="D94" s="2"/>
      <c r="E94" s="2">
        <f>Tabla13[[#This Row],['[max.'] to reach 100% mortality (mg/L)]]/1000</f>
        <v>0.05</v>
      </c>
      <c r="F94" s="2" t="e">
        <f>Tabla13[[#This Row],[Needed amount of chemical (g); Stefan UFZ calculations]]/5</f>
        <v>#VALUE!</v>
      </c>
      <c r="G94" s="2" t="e">
        <f>MAX(Tabla134[[#This Row],['[max.'] to reach 100% mortality (g/L) Leitat]:['[max.'] to reach baseline toxicity (g/L) UFZ]])*1000</f>
        <v>#VALUE!</v>
      </c>
      <c r="H94" s="2" t="str">
        <f>Tabla1[[#This Row],[Solubility (DMSO)]]</f>
        <v>≥ 100 mg/mL</v>
      </c>
      <c r="I94" s="2" t="str">
        <f>Tabla1[[#This Row],[Solubility (H2O)]]</f>
        <v>10 g/l  - completely soluble</v>
      </c>
      <c r="J94" s="2"/>
      <c r="K94" s="2"/>
      <c r="L94" s="21"/>
      <c r="M94" s="83" t="str">
        <f>Tabla1[[#This Row],[(exempted g or ml)]]</f>
        <v>Not regulated; any amount limit in internal packages</v>
      </c>
      <c r="N94" s="74">
        <f>Tabla134[[#This Row],[Proposed stock volume (per partner; ml -or g-)]]*7</f>
        <v>0</v>
      </c>
      <c r="O94" s="70">
        <f>Tabla13[[#This Row],[Total amount to be purchased (g or ml)]]</f>
        <v>0</v>
      </c>
      <c r="P94" s="78">
        <f>Tabla13[[#This Row],[Needed amount of chemical (g); Ruben Leitat calculations]]</f>
        <v>0.3</v>
      </c>
      <c r="Q94" s="78" t="e">
        <f>Tabla13[[#This Row],[Needed amount of chemical (g); Stefan UFZ calculations]]</f>
        <v>#VALUE!</v>
      </c>
      <c r="R94" s="2"/>
      <c r="S94" s="2" t="str">
        <f>Tabla13[[#This Row],[EC50 fish]]</f>
        <v>static test LC50 - Pimephales promelas (fathead minnow) - 0,082 mg/l - 96 h Remarks: (ECHA)</v>
      </c>
      <c r="T94" s="2" t="str">
        <f>Tabla13[[#This Row],[EC50 daphnia]]</f>
        <v>static test EC50 - Daphnia magna (Water flea) - &gt; 0,24 - &lt; 0,5 mg/l
- 48 h
(OECD Test Guideline 202)</v>
      </c>
      <c r="U94" s="2" t="e">
        <f>Tabla134[[#This Row],[Used amount of chemical for stocks (g)]]*1000/Tabla134[[#This Row],[Proposed stock concentration (g/L)]]</f>
        <v>#DIV/0!</v>
      </c>
      <c r="V94" s="100"/>
      <c r="W94" s="100">
        <f>Tabla134[[#This Row],[trials solubility (g  to be used)]]*1000/100</f>
        <v>0</v>
      </c>
      <c r="X94" s="100"/>
      <c r="Y94" s="100"/>
    </row>
    <row r="95" spans="1:25" ht="45">
      <c r="A95" s="10" t="s">
        <v>854</v>
      </c>
      <c r="B95" s="10">
        <f>Tabla13[[#This Row],[Prec.Tox code]]</f>
        <v>0</v>
      </c>
      <c r="C95" s="2" t="str">
        <f>Tabla1[[#This Row],[CAS number]]</f>
        <v>42509-80-8</v>
      </c>
      <c r="D95" s="2"/>
      <c r="E95" s="2">
        <f>Tabla13[[#This Row],['[max.'] to reach 100% mortality (mg/L)]]/1000</f>
        <v>0.05</v>
      </c>
      <c r="F95" s="2">
        <f>Tabla13[[#This Row],[Needed amount of chemical (g); Stefan UFZ calculations]]/5</f>
        <v>3.5340881799900942E-2</v>
      </c>
      <c r="G95" s="2">
        <f>MAX(Tabla134[[#This Row],['[max.'] to reach 100% mortality (g/L) Leitat]:['[max.'] to reach baseline toxicity (g/L) UFZ]])*1000</f>
        <v>50</v>
      </c>
      <c r="H95" s="2" t="str">
        <f>Tabla1[[#This Row],[Solubility (DMSO)]]</f>
        <v>'Soluble'</v>
      </c>
      <c r="I95" s="2" t="str">
        <f>Tabla1[[#This Row],[Solubility (H2O)]]</f>
        <v>69 mg/l</v>
      </c>
      <c r="J95" s="2"/>
      <c r="K95" s="2"/>
      <c r="L95" s="21"/>
      <c r="M95" s="83" t="str">
        <f>Tabla1[[#This Row],[(exempted g or ml)]]</f>
        <v>Not regulated; any amount limit in internal packages</v>
      </c>
      <c r="N95" s="74">
        <f>Tabla134[[#This Row],[Proposed stock volume (per partner; ml -or g-)]]*7</f>
        <v>0</v>
      </c>
      <c r="O95" s="70">
        <f>Tabla13[[#This Row],[Total amount to be purchased (g or ml)]]</f>
        <v>0</v>
      </c>
      <c r="P95" s="78">
        <f>Tabla13[[#This Row],[Needed amount of chemical (g); Ruben Leitat calculations]]</f>
        <v>0.3</v>
      </c>
      <c r="Q95" s="78">
        <f>Tabla13[[#This Row],[Needed amount of chemical (g); Stefan UFZ calculations]]</f>
        <v>0.17670440899950471</v>
      </c>
      <c r="R95" s="2"/>
      <c r="S95" s="2" t="str">
        <f>Tabla13[[#This Row],[EC50 fish]]</f>
        <v>LC50/96 h - 0.006 mg/l (fish)</v>
      </c>
      <c r="T95" s="2" t="str">
        <f>Tabla13[[#This Row],[EC50 daphnia]]</f>
        <v>EC50/48 h - 0.5 mg/l (daphnia)</v>
      </c>
      <c r="U95" s="2" t="e">
        <f>Tabla134[[#This Row],[Used amount of chemical for stocks (g)]]*1000/Tabla134[[#This Row],[Proposed stock concentration (g/L)]]</f>
        <v>#DIV/0!</v>
      </c>
      <c r="V95" s="100"/>
      <c r="W95" s="100">
        <f>Tabla134[[#This Row],[trials solubility (g  to be used)]]*1000/100</f>
        <v>0</v>
      </c>
      <c r="X95" s="100"/>
      <c r="Y95" s="100"/>
    </row>
    <row r="96" spans="1:25" ht="60">
      <c r="A96" s="10" t="s">
        <v>861</v>
      </c>
      <c r="B96" s="10">
        <f>Tabla13[[#This Row],[Prec.Tox code]]</f>
        <v>0</v>
      </c>
      <c r="C96" s="2" t="str">
        <f>Tabla1[[#This Row],[CAS number]]</f>
        <v>124495-18-7</v>
      </c>
      <c r="D96" s="2"/>
      <c r="E96" s="2">
        <f>Tabla13[[#This Row],['[max.'] to reach 100% mortality (mg/L)]]/1000</f>
        <v>4.2000000000000003E-2</v>
      </c>
      <c r="F96" s="2">
        <f>Tabla13[[#This Row],[Needed amount of chemical (g); Stefan UFZ calculations]]/5</f>
        <v>1.3429353095430382E-2</v>
      </c>
      <c r="G96" s="2">
        <f>MAX(Tabla134[[#This Row],['[max.'] to reach 100% mortality (g/L) Leitat]:['[max.'] to reach baseline toxicity (g/L) UFZ]])*1000</f>
        <v>42</v>
      </c>
      <c r="H96" s="2" t="str">
        <f>Tabla1[[#This Row],[Solubility (DMSO)]]</f>
        <v>Soluble</v>
      </c>
      <c r="I96" s="2" t="str">
        <f>Tabla1[[#This Row],[Solubility (H2O)]]</f>
        <v>0,047 mg/l</v>
      </c>
      <c r="J96" s="2"/>
      <c r="K96" s="2"/>
      <c r="L96" s="21"/>
      <c r="M96" s="83" t="str">
        <f>Tabla1[[#This Row],[(exempted g or ml)]]</f>
        <v>Not regulated; any amount limit in internal packages</v>
      </c>
      <c r="N96" s="74">
        <f>Tabla134[[#This Row],[Proposed stock volume (per partner; ml -or g-)]]*7</f>
        <v>0</v>
      </c>
      <c r="O96" s="70">
        <f>Tabla13[[#This Row],[Total amount to be purchased (g or ml)]]</f>
        <v>0</v>
      </c>
      <c r="P96" s="78">
        <f>Tabla13[[#This Row],[Needed amount of chemical (g); Ruben Leitat calculations]]</f>
        <v>0.252</v>
      </c>
      <c r="Q96" s="78">
        <f>Tabla13[[#This Row],[Needed amount of chemical (g); Stefan UFZ calculations]]</f>
        <v>6.7146765477151912E-2</v>
      </c>
      <c r="R96" s="2"/>
      <c r="S96" s="2" t="str">
        <f>Tabla13[[#This Row],[EC50 fish]]</f>
        <v>96 -hour LC50 (Rainbow trout): 0.27 mg./L
96 -hour LC50 (Common carp): 0.42 mg/L</v>
      </c>
      <c r="T96" s="2" t="str">
        <f>Tabla13[[#This Row],[EC50 daphnia]]</f>
        <v>48-hour EC50 (Daphnia magna): 0.08 mg/L;</v>
      </c>
      <c r="U96" s="2" t="e">
        <f>Tabla134[[#This Row],[Used amount of chemical for stocks (g)]]*1000/Tabla134[[#This Row],[Proposed stock concentration (g/L)]]</f>
        <v>#DIV/0!</v>
      </c>
      <c r="V96" s="100"/>
      <c r="W96" s="100">
        <f>Tabla134[[#This Row],[trials solubility (g  to be used)]]*1000/100</f>
        <v>0</v>
      </c>
      <c r="X96" s="100"/>
      <c r="Y96" s="100"/>
    </row>
    <row r="97" spans="1:25" ht="45">
      <c r="A97" s="10" t="s">
        <v>868</v>
      </c>
      <c r="B97" s="10">
        <f>Tabla13[[#This Row],[Prec.Tox code]]</f>
        <v>0</v>
      </c>
      <c r="C97" s="2" t="str">
        <f>Tabla1[[#This Row],[CAS number]]</f>
        <v>119168-77-3</v>
      </c>
      <c r="D97" s="2"/>
      <c r="E97" s="2">
        <f>Tabla13[[#This Row],['[max.'] to reach 100% mortality (mg/L)]]/1000</f>
        <v>4.5999999999999999E-3</v>
      </c>
      <c r="F97" s="2">
        <f>Tabla13[[#This Row],[Needed amount of chemical (g); Stefan UFZ calculations]]/5</f>
        <v>2.0487111720200402E-2</v>
      </c>
      <c r="G97" s="2">
        <f>MAX(Tabla134[[#This Row],['[max.'] to reach 100% mortality (g/L) Leitat]:['[max.'] to reach baseline toxicity (g/L) UFZ]])*1000</f>
        <v>20.487111720200403</v>
      </c>
      <c r="H97" s="2" t="str">
        <f>Tabla1[[#This Row],[Solubility (DMSO)]]</f>
        <v>from 'slightly soluble' to 'soluble'</v>
      </c>
      <c r="I97" s="2" t="str">
        <f>Tabla1[[#This Row],[Solubility (H2O)]]</f>
        <v>2,39 mg/l</v>
      </c>
      <c r="J97" s="2"/>
      <c r="K97" s="2"/>
      <c r="L97" s="21"/>
      <c r="M97" s="83" t="str">
        <f>Tabla1[[#This Row],[(exempted g or ml)]]</f>
        <v>Not regulated; any amount limit in internal packages</v>
      </c>
      <c r="N97" s="74">
        <f>Tabla134[[#This Row],[Proposed stock volume (per partner; ml -or g-)]]*7</f>
        <v>0</v>
      </c>
      <c r="O97" s="70">
        <f>Tabla13[[#This Row],[Total amount to be purchased (g or ml)]]</f>
        <v>0</v>
      </c>
      <c r="P97" s="78">
        <f>Tabla13[[#This Row],[Needed amount of chemical (g); Ruben Leitat calculations]]</f>
        <v>2.76E-2</v>
      </c>
      <c r="Q97" s="78">
        <f>Tabla13[[#This Row],[Needed amount of chemical (g); Stefan UFZ calculations]]</f>
        <v>0.10243555860100201</v>
      </c>
      <c r="R97" s="2"/>
      <c r="S97" s="2" t="str">
        <f>Tabla13[[#This Row],[EC50 fish]]</f>
        <v>96 -hour LC50 (Rainbow trout): 0.023 mg./L</v>
      </c>
      <c r="T97" s="2" t="str">
        <f>Tabla13[[#This Row],[EC50 daphnia]]</f>
        <v>EC50 - Daphnia magna (Water flea) - 0,046 mg/l - 48 h</v>
      </c>
      <c r="U97" s="2" t="e">
        <f>Tabla134[[#This Row],[Used amount of chemical for stocks (g)]]*1000/Tabla134[[#This Row],[Proposed stock concentration (g/L)]]</f>
        <v>#DIV/0!</v>
      </c>
      <c r="V97" s="100"/>
      <c r="W97" s="100">
        <f>Tabla134[[#This Row],[trials solubility (g  to be used)]]*1000/100</f>
        <v>0</v>
      </c>
      <c r="X97" s="100"/>
      <c r="Y97" s="100"/>
    </row>
    <row r="98" spans="1:25" ht="45">
      <c r="A98" s="10" t="s">
        <v>875</v>
      </c>
      <c r="B98" s="10">
        <f>Tabla13[[#This Row],[Prec.Tox code]]</f>
        <v>0</v>
      </c>
      <c r="C98" s="2" t="str">
        <f>Tabla1[[#This Row],[CAS number]]</f>
        <v>111812-58-9</v>
      </c>
      <c r="D98" s="2"/>
      <c r="E98" s="2">
        <f>Tabla13[[#This Row],['[max.'] to reach 100% mortality (mg/L)]]/1000</f>
        <v>0.02</v>
      </c>
      <c r="F98" s="2">
        <f>Tabla13[[#This Row],[Needed amount of chemical (g); Stefan UFZ calculations]]/5</f>
        <v>1.9978605382951369E-2</v>
      </c>
      <c r="G98" s="2">
        <f>MAX(Tabla134[[#This Row],['[max.'] to reach 100% mortality (g/L) Leitat]:['[max.'] to reach baseline toxicity (g/L) UFZ]])*1000</f>
        <v>20</v>
      </c>
      <c r="H98" s="2" t="str">
        <f>Tabla1[[#This Row],[Solubility (DMSO)]]</f>
        <v>100 mg/mL</v>
      </c>
      <c r="I98" s="2" t="str">
        <f>Tabla1[[#This Row],[Solubility (H2O)]]</f>
        <v>insoluble</v>
      </c>
      <c r="J98" s="2"/>
      <c r="K98" s="2"/>
      <c r="L98" s="21"/>
      <c r="M98" s="83" t="str">
        <f>Tabla1[[#This Row],[(exempted g or ml)]]</f>
        <v>Not regulated; any amount limit in internal packages</v>
      </c>
      <c r="N98" s="74">
        <f>Tabla134[[#This Row],[Proposed stock volume (per partner; ml -or g-)]]*7</f>
        <v>0</v>
      </c>
      <c r="O98" s="70">
        <f>Tabla13[[#This Row],[Total amount to be purchased (g or ml)]]</f>
        <v>0</v>
      </c>
      <c r="P98" s="78">
        <f>Tabla13[[#This Row],[Needed amount of chemical (g); Ruben Leitat calculations]]</f>
        <v>0.12</v>
      </c>
      <c r="Q98" s="78">
        <f>Tabla13[[#This Row],[Needed amount of chemical (g); Stefan UFZ calculations]]</f>
        <v>9.9893026914756836E-2</v>
      </c>
      <c r="R98" s="2"/>
      <c r="S98" s="2" t="str">
        <f>Tabla13[[#This Row],[EC50 fish]]</f>
        <v>LC50 - Oncorhynchus mykiss (rainbow trout) - 0.08 mg/l - 96.0 h</v>
      </c>
      <c r="T98" s="2" t="str">
        <f>Tabla13[[#This Row],[EC50 daphnia]]</f>
        <v>EC50 - Daphnia - 0.2 mg/l - 24 h</v>
      </c>
      <c r="U98" s="2" t="e">
        <f>Tabla134[[#This Row],[Used amount of chemical for stocks (g)]]*1000/Tabla134[[#This Row],[Proposed stock concentration (g/L)]]</f>
        <v>#DIV/0!</v>
      </c>
      <c r="V98" s="100"/>
      <c r="W98" s="100">
        <f>Tabla134[[#This Row],[trials solubility (g  to be used)]]*1000/100</f>
        <v>0</v>
      </c>
      <c r="X98" s="100"/>
      <c r="Y98" s="100"/>
    </row>
    <row r="99" spans="1:25" ht="105">
      <c r="A99" s="10" t="s">
        <v>881</v>
      </c>
      <c r="B99" s="10">
        <f>Tabla13[[#This Row],[Prec.Tox code]]</f>
        <v>0</v>
      </c>
      <c r="C99" s="2" t="str">
        <f>Tabla1[[#This Row],[CAS number]]</f>
        <v>205-99-2</v>
      </c>
      <c r="D99" s="2"/>
      <c r="E99" s="2">
        <f>Tabla13[[#This Row],['[max.'] to reach 100% mortality (mg/L)]]/1000</f>
        <v>0.1024</v>
      </c>
      <c r="F99" s="2">
        <f>Tabla13[[#This Row],[Needed amount of chemical (g); Stefan UFZ calculations]]/5</f>
        <v>5.1951343005881643E-3</v>
      </c>
      <c r="G99" s="2">
        <f>MAX(Tabla134[[#This Row],['[max.'] to reach 100% mortality (g/L) Leitat]:['[max.'] to reach baseline toxicity (g/L) UFZ]])*1000</f>
        <v>102.4</v>
      </c>
      <c r="H99" s="2" t="str">
        <f>Tabla1[[#This Row],[Solubility (DMSO)]]</f>
        <v>?</v>
      </c>
      <c r="I99" s="2" t="str">
        <f>Tabla1[[#This Row],[Solubility (H2O)]]</f>
        <v>1.2 μg/L</v>
      </c>
      <c r="J99" s="2"/>
      <c r="K99" s="2"/>
      <c r="L99" s="21"/>
      <c r="M99" s="83">
        <f>Tabla1[[#This Row],[(exempted g or ml)]]</f>
        <v>30</v>
      </c>
      <c r="N99" s="74">
        <f>Tabla134[[#This Row],[Proposed stock volume (per partner; ml -or g-)]]*7</f>
        <v>0</v>
      </c>
      <c r="O99" s="70">
        <f>Tabla13[[#This Row],[Total amount to be purchased (g or ml)]]</f>
        <v>0</v>
      </c>
      <c r="P99" s="78">
        <f>Tabla13[[#This Row],[Needed amount of chemical (g); Ruben Leitat calculations]]</f>
        <v>0.61439999999999995</v>
      </c>
      <c r="Q99" s="78">
        <f>Tabla13[[#This Row],[Needed amount of chemical (g); Stefan UFZ calculations]]</f>
        <v>2.597567150294082E-2</v>
      </c>
      <c r="R99" s="2"/>
      <c r="S99" s="2" t="str">
        <f>Tabla13[[#This Row],[EC50 fish]]</f>
        <v>No toxicity has been observed up to the water solubility limit of the substance?
0,0422 mg/L predicted based on baseline toxicity 96h, zebrafish</v>
      </c>
      <c r="T99" s="2" t="str">
        <f>Tabla13[[#This Row],[EC50 daphnia]]</f>
        <v>Immobilization EC50 - Daphnia magna (Water flea) - &gt; 1,024 ug/l -
24 h</v>
      </c>
      <c r="U99" s="2" t="e">
        <f>Tabla134[[#This Row],[Used amount of chemical for stocks (g)]]*1000/Tabla134[[#This Row],[Proposed stock concentration (g/L)]]</f>
        <v>#DIV/0!</v>
      </c>
      <c r="V99" s="100"/>
      <c r="W99" s="100">
        <f>Tabla134[[#This Row],[trials solubility (g  to be used)]]*1000/100</f>
        <v>0</v>
      </c>
      <c r="X99" s="100"/>
      <c r="Y99" s="100"/>
    </row>
    <row r="100" spans="1:25" ht="45">
      <c r="A100" s="10" t="s">
        <v>887</v>
      </c>
      <c r="B100" s="10">
        <f>Tabla13[[#This Row],[Prec.Tox code]]</f>
        <v>0</v>
      </c>
      <c r="C100" s="2" t="str">
        <f>Tabla1[[#This Row],[CAS number]]</f>
        <v>2104-64-5</v>
      </c>
      <c r="D100" s="2"/>
      <c r="E100" s="2">
        <f>Tabla13[[#This Row],['[max.'] to reach 100% mortality (mg/L)]]/1000</f>
        <v>1.0999999999999999E-2</v>
      </c>
      <c r="F100" s="2">
        <f>Tabla13[[#This Row],[Needed amount of chemical (g); Stefan UFZ calculations]]/5</f>
        <v>1.7747452011210155E-2</v>
      </c>
      <c r="G100" s="2">
        <f>MAX(Tabla134[[#This Row],['[max.'] to reach 100% mortality (g/L) Leitat]:['[max.'] to reach baseline toxicity (g/L) UFZ]])*1000</f>
        <v>17.747452011210154</v>
      </c>
      <c r="H100" s="2" t="str">
        <f>Tabla1[[#This Row],[Solubility (DMSO)]]</f>
        <v>''Slightly Soluble''</v>
      </c>
      <c r="I100" s="2" t="str">
        <f>Tabla1[[#This Row],[Solubility (H2O)]]</f>
        <v>6,6 mg/l</v>
      </c>
      <c r="J100" s="2"/>
      <c r="K100" s="2"/>
      <c r="L100" s="21"/>
      <c r="M100" s="83" t="str">
        <f>Tabla1[[#This Row],[(exempted g or ml)]]</f>
        <v>Not regulated; any amount limit in internal packages</v>
      </c>
      <c r="N100" s="74">
        <f>Tabla134[[#This Row],[Proposed stock volume (per partner; ml -or g-)]]*7</f>
        <v>0</v>
      </c>
      <c r="O100" s="70">
        <f>Tabla13[[#This Row],[Total amount to be purchased (g or ml)]]</f>
        <v>0</v>
      </c>
      <c r="P100" s="78">
        <f>Tabla13[[#This Row],[Needed amount of chemical (g); Ruben Leitat calculations]]</f>
        <v>6.6000000000000003E-2</v>
      </c>
      <c r="Q100" s="78">
        <f>Tabla13[[#This Row],[Needed amount of chemical (g); Stefan UFZ calculations]]</f>
        <v>8.8737260056050773E-2</v>
      </c>
      <c r="R100" s="2"/>
      <c r="S100" s="2" t="str">
        <f>Tabla13[[#This Row],[EC50 fish]]</f>
        <v>LC50 - Lepomis macrochirus (Bluegill) - 0,11 mg/l - 96,0 h</v>
      </c>
      <c r="T100" s="2" t="str">
        <f>Tabla13[[#This Row],[EC50 daphnia]]</f>
        <v>EC50 - Daphnia magna (Water flea) - 0,06 µg/l - 26 h</v>
      </c>
      <c r="U100" s="2" t="e">
        <f>Tabla134[[#This Row],[Used amount of chemical for stocks (g)]]*1000/Tabla134[[#This Row],[Proposed stock concentration (g/L)]]</f>
        <v>#DIV/0!</v>
      </c>
      <c r="V100" s="100"/>
      <c r="W100" s="100">
        <f>Tabla134[[#This Row],[trials solubility (g  to be used)]]*1000/100</f>
        <v>0</v>
      </c>
      <c r="X100" s="100"/>
      <c r="Y100" s="100"/>
    </row>
    <row r="101" spans="1:25" ht="45">
      <c r="A101" s="10" t="s">
        <v>894</v>
      </c>
      <c r="B101" s="10">
        <f>Tabla13[[#This Row],[Prec.Tox code]]</f>
        <v>0</v>
      </c>
      <c r="C101" s="2" t="str">
        <f>Tabla1[[#This Row],[CAS number]]</f>
        <v>56-72-4</v>
      </c>
      <c r="D101" s="2"/>
      <c r="E101" s="2">
        <f>Tabla13[[#This Row],['[max.'] to reach 100% mortality (mg/L)]]/1000</f>
        <v>1.7999999999999999E-2</v>
      </c>
      <c r="F101" s="2">
        <f>Tabla13[[#This Row],[Needed amount of chemical (g); Stefan UFZ calculations]]/5</f>
        <v>3.1687913648093771E-2</v>
      </c>
      <c r="G101" s="2">
        <f>MAX(Tabla134[[#This Row],['[max.'] to reach 100% mortality (g/L) Leitat]:['[max.'] to reach baseline toxicity (g/L) UFZ]])*1000</f>
        <v>31.687913648093772</v>
      </c>
      <c r="H101" s="2" t="str">
        <f>Tabla1[[#This Row],[Solubility (DMSO)]]</f>
        <v>''Slightly Soluble''</v>
      </c>
      <c r="I101" s="2" t="str">
        <f>Tabla1[[#This Row],[Solubility (H2O)]]</f>
        <v>insoluble</v>
      </c>
      <c r="J101" s="2"/>
      <c r="K101" s="2"/>
      <c r="L101" s="21"/>
      <c r="M101" s="83" t="str">
        <f>Tabla1[[#This Row],[(exempted g or ml)]]</f>
        <v>Not regulated; any amount limit in internal packages</v>
      </c>
      <c r="N101" s="74">
        <f>Tabla134[[#This Row],[Proposed stock volume (per partner; ml -or g-)]]*7</f>
        <v>0</v>
      </c>
      <c r="O101" s="70">
        <f>Tabla13[[#This Row],[Total amount to be purchased (g or ml)]]</f>
        <v>0</v>
      </c>
      <c r="P101" s="78">
        <f>Tabla13[[#This Row],[Needed amount of chemical (g); Ruben Leitat calculations]]</f>
        <v>0.108</v>
      </c>
      <c r="Q101" s="78">
        <f>Tabla13[[#This Row],[Needed amount of chemical (g); Stefan UFZ calculations]]</f>
        <v>0.15843956824046887</v>
      </c>
      <c r="R101" s="2"/>
      <c r="S101" s="2" t="str">
        <f>Tabla13[[#This Row],[EC50 fish]]</f>
        <v>LC50 - Lepomis macrochirus (Bluegill) - 0,18 mg/l - 96,0 h</v>
      </c>
      <c r="T101" s="2" t="str">
        <f>Tabla13[[#This Row],[EC50 daphnia]]</f>
        <v>EC50 - Daphnia magna (Water flea) - &lt; 0,001 mg/l - 48 h</v>
      </c>
      <c r="U101" s="2" t="e">
        <f>Tabla134[[#This Row],[Used amount of chemical for stocks (g)]]*1000/Tabla134[[#This Row],[Proposed stock concentration (g/L)]]</f>
        <v>#DIV/0!</v>
      </c>
      <c r="V101" s="100"/>
      <c r="W101" s="100">
        <f>Tabla134[[#This Row],[trials solubility (g  to be used)]]*1000/100</f>
        <v>0</v>
      </c>
      <c r="X101" s="100"/>
      <c r="Y101" s="100"/>
    </row>
    <row r="102" spans="1:25" ht="54" customHeight="1">
      <c r="A102" s="10" t="s">
        <v>899</v>
      </c>
      <c r="B102" s="10">
        <f>Tabla13[[#This Row],[Prec.Tox code]]</f>
        <v>0</v>
      </c>
      <c r="C102" s="2" t="str">
        <f>Tabla1[[#This Row],[CAS number]]</f>
        <v>6317-18-6</v>
      </c>
      <c r="D102" s="2"/>
      <c r="E102" s="2">
        <f>Tabla13[[#This Row],['[max.'] to reach 100% mortality (mg/L)]]/1000</f>
        <v>0.151</v>
      </c>
      <c r="F102" s="2">
        <f>Tabla13[[#This Row],[Needed amount of chemical (g); Stefan UFZ calculations]]/5</f>
        <v>0.17797632980264094</v>
      </c>
      <c r="G102" s="2">
        <f>MAX(Tabla134[[#This Row],['[max.'] to reach 100% mortality (g/L) Leitat]:['[max.'] to reach baseline toxicity (g/L) UFZ]])*1000</f>
        <v>177.97632980264095</v>
      </c>
      <c r="H102" s="2" t="str">
        <f>Tabla1[[#This Row],[Solubility (DMSO)]]</f>
        <v>&gt; 100 g/l</v>
      </c>
      <c r="I102" s="2" t="str">
        <f>Tabla1[[#This Row],[Solubility (H2O)]]</f>
        <v>5 mg/l</v>
      </c>
      <c r="J102" s="2"/>
      <c r="K102" s="2"/>
      <c r="L102" s="21"/>
      <c r="M102" s="83" t="str">
        <f>Tabla1[[#This Row],[(exempted g or ml)]]</f>
        <v>Not regulated; any amount limit in internal packages</v>
      </c>
      <c r="N102" s="74">
        <f>Tabla134[[#This Row],[Proposed stock volume (per partner; ml -or g-)]]*7</f>
        <v>0</v>
      </c>
      <c r="O102" s="70">
        <f>Tabla13[[#This Row],[Total amount to be purchased (g or ml)]]</f>
        <v>0</v>
      </c>
      <c r="P102" s="78">
        <f>Tabla13[[#This Row],[Needed amount of chemical (g); Ruben Leitat calculations]]</f>
        <v>0.90600000000000003</v>
      </c>
      <c r="Q102" s="78">
        <f>Tabla13[[#This Row],[Needed amount of chemical (g); Stefan UFZ calculations]]</f>
        <v>0.88988164901320477</v>
      </c>
      <c r="R102" s="2"/>
      <c r="S102" s="2" t="str">
        <f>Tabla13[[#This Row],[EC50 fish]]</f>
        <v>0,67 - 1,51 mg/L zebrafish 120h
0,24 mg/L rainbow trout 96h</v>
      </c>
      <c r="T102" s="2" t="str">
        <f>Tabla13[[#This Row],[EC50 daphnia]]</f>
        <v>EC50 (Daphnia magna (Water flea)): 0.07 mg/l
Exposure time: 48 h</v>
      </c>
      <c r="U102" s="2" t="e">
        <f>Tabla134[[#This Row],[Used amount of chemical for stocks (g)]]*1000/Tabla134[[#This Row],[Proposed stock concentration (g/L)]]</f>
        <v>#DIV/0!</v>
      </c>
      <c r="V102" s="100"/>
      <c r="W102" s="100">
        <f>Tabla134[[#This Row],[trials solubility (g  to be used)]]*1000/100</f>
        <v>0</v>
      </c>
      <c r="X102" s="100"/>
      <c r="Y102" s="100"/>
    </row>
    <row r="103" spans="1:25" ht="60">
      <c r="A103" s="10" t="s">
        <v>906</v>
      </c>
      <c r="B103" s="10">
        <f>Tabla13[[#This Row],[Prec.Tox code]]</f>
        <v>0</v>
      </c>
      <c r="C103" s="2" t="str">
        <f>Tabla1[[#This Row],[CAS number]]</f>
        <v>2212-67-1</v>
      </c>
      <c r="D103" s="2"/>
      <c r="E103" s="2">
        <f>Tabla13[[#This Row],['[max.'] to reach 100% mortality (mg/L)]]/1000</f>
        <v>3.2</v>
      </c>
      <c r="F103" s="2">
        <f>Tabla13[[#This Row],[Needed amount of chemical (g); Stefan UFZ calculations]]/5</f>
        <v>3.7533521767795938E-2</v>
      </c>
      <c r="G103" s="2">
        <f>MAX(Tabla134[[#This Row],['[max.'] to reach 100% mortality (g/L) Leitat]:['[max.'] to reach baseline toxicity (g/L) UFZ]])*1000</f>
        <v>3200</v>
      </c>
      <c r="H103" s="2" t="str">
        <f>Tabla1[[#This Row],[Solubility (DMSO)]]</f>
        <v>'Miscible with most common organic solvents'?</v>
      </c>
      <c r="I103" s="2" t="str">
        <f>Tabla1[[#This Row],[Solubility (H2O)]]</f>
        <v>1100 mg/l</v>
      </c>
      <c r="J103" s="2"/>
      <c r="K103" s="2"/>
      <c r="L103" s="21"/>
      <c r="M103" s="83" t="str">
        <f>Tabla1[[#This Row],[(exempted g or ml)]]</f>
        <v>Not regulated; any amount limit in internal packages</v>
      </c>
      <c r="N103" s="74">
        <f>Tabla134[[#This Row],[Proposed stock volume (per partner; ml -or g-)]]*7</f>
        <v>0</v>
      </c>
      <c r="O103" s="70">
        <f>Tabla13[[#This Row],[Total amount to be purchased (g or ml)]]</f>
        <v>0</v>
      </c>
      <c r="P103" s="78">
        <f>Tabla13[[#This Row],[Needed amount of chemical (g); Ruben Leitat calculations]]</f>
        <v>19.2</v>
      </c>
      <c r="Q103" s="78">
        <f>Tabla13[[#This Row],[Needed amount of chemical (g); Stefan UFZ calculations]]</f>
        <v>0.18766760883897968</v>
      </c>
      <c r="R103" s="2"/>
      <c r="S103" s="2" t="str">
        <f>Tabla13[[#This Row],[EC50 fish]]</f>
        <v>LC50 - Cyprinodon variegatus (sheepshead minnow) - 12 - 17 mg/l - 96,0 h</v>
      </c>
      <c r="T103" s="2" t="str">
        <f>Tabla13[[#This Row],[EC50 daphnia]]</f>
        <v>EC50 - Daphnia magna (Water flea) - 3,2 - 32,0 mg/l - 48 h</v>
      </c>
      <c r="U103" s="2" t="e">
        <f>Tabla134[[#This Row],[Used amount of chemical for stocks (g)]]*1000/Tabla134[[#This Row],[Proposed stock concentration (g/L)]]</f>
        <v>#DIV/0!</v>
      </c>
      <c r="V103" s="100"/>
      <c r="W103" s="100">
        <f>Tabla134[[#This Row],[trials solubility (g  to be used)]]*1000/100</f>
        <v>0</v>
      </c>
      <c r="X103" s="100"/>
      <c r="Y103" s="100"/>
    </row>
    <row r="104" spans="1:25" ht="60">
      <c r="A104" s="10" t="s">
        <v>913</v>
      </c>
      <c r="B104" s="10">
        <f>Tabla13[[#This Row],[Prec.Tox code]]</f>
        <v>0</v>
      </c>
      <c r="C104" s="2" t="str">
        <f>Tabla1[[#This Row],[CAS number]]</f>
        <v>2687-96-9</v>
      </c>
      <c r="D104" s="2"/>
      <c r="E104" s="2">
        <f>Tabla13[[#This Row],['[max.'] to reach 100% mortality (mg/L)]]/1000</f>
        <v>5.8999999999999997E-2</v>
      </c>
      <c r="F104" s="2">
        <f>Tabla13[[#This Row],[Needed amount of chemical (g); Stefan UFZ calculations]]/5</f>
        <v>2.0885703478516503E-2</v>
      </c>
      <c r="G104" s="2">
        <f>MAX(Tabla134[[#This Row],['[max.'] to reach 100% mortality (g/L) Leitat]:['[max.'] to reach baseline toxicity (g/L) UFZ]])*1000</f>
        <v>59</v>
      </c>
      <c r="H104" s="2" t="str">
        <f>Tabla1[[#This Row],[Solubility (DMSO)]]</f>
        <v>'soluble with organic solvents'?</v>
      </c>
      <c r="I104" s="2" t="str">
        <f>Tabla1[[#This Row],[Solubility (H2O)]]</f>
        <v>0.052 g/L</v>
      </c>
      <c r="J104" s="2"/>
      <c r="K104" s="2"/>
      <c r="L104" s="21"/>
      <c r="M104" s="83" t="str">
        <f>Tabla1[[#This Row],[(exempted g or ml)]]</f>
        <v>Not regulated; any amount limit in internal packages</v>
      </c>
      <c r="N104" s="74">
        <f>Tabla134[[#This Row],[Proposed stock volume (per partner; ml -or g-)]]*7</f>
        <v>0</v>
      </c>
      <c r="O104" s="70">
        <f>Tabla13[[#This Row],[Total amount to be purchased (g or ml)]]</f>
        <v>0</v>
      </c>
      <c r="P104" s="78">
        <f>Tabla13[[#This Row],[Needed amount of chemical (g); Ruben Leitat calculations]]</f>
        <v>0.35399999999999998</v>
      </c>
      <c r="Q104" s="78">
        <f>Tabla13[[#This Row],[Needed amount of chemical (g); Stefan UFZ calculations]]</f>
        <v>0.10442851739258252</v>
      </c>
      <c r="R104" s="2"/>
      <c r="S104" s="2" t="str">
        <f>Tabla13[[#This Row],[EC50 fish]]</f>
        <v>LC50 (Oncorhynchus mykiss (rainbow trout)): 0.59 mg/l
Exposure time: 96 h</v>
      </c>
      <c r="T104" s="2" t="str">
        <f>Tabla13[[#This Row],[EC50 daphnia]]</f>
        <v>EC50 (Daphnia magna (Water flea)): 0.27 mg/l
Exposure time: 48 h</v>
      </c>
      <c r="U104" s="2" t="e">
        <f>Tabla134[[#This Row],[Used amount of chemical for stocks (g)]]*1000/Tabla134[[#This Row],[Proposed stock concentration (g/L)]]</f>
        <v>#DIV/0!</v>
      </c>
      <c r="V104" s="100"/>
      <c r="W104" s="100">
        <f>Tabla134[[#This Row],[trials solubility (g  to be used)]]*1000/100</f>
        <v>0</v>
      </c>
      <c r="X104" s="100"/>
      <c r="Y104" s="100"/>
    </row>
    <row r="105" spans="1:25" ht="45">
      <c r="A105" s="10" t="s">
        <v>920</v>
      </c>
      <c r="B105" s="10">
        <f>Tabla13[[#This Row],[Prec.Tox code]]</f>
        <v>0</v>
      </c>
      <c r="C105" s="2" t="str">
        <f>Tabla1[[#This Row],[CAS number]]</f>
        <v>62-38-4</v>
      </c>
      <c r="D105" s="2"/>
      <c r="E105" s="2">
        <f>Tabla13[[#This Row],['[max.'] to reach 100% mortality (mg/L)]]/1000</f>
        <v>8.9999999999999987E-4</v>
      </c>
      <c r="F105" s="2" t="e">
        <f>Tabla13[[#This Row],[Needed amount of chemical (g); Stefan UFZ calculations]]/5</f>
        <v>#REF!</v>
      </c>
      <c r="G105" s="2" t="e">
        <f>MAX(Tabla134[[#This Row],['[max.'] to reach 100% mortality (g/L) Leitat]:['[max.'] to reach baseline toxicity (g/L) UFZ]])*1000</f>
        <v>#REF!</v>
      </c>
      <c r="H105" s="2" t="str">
        <f>Tabla1[[#This Row],[Solubility (DMSO)]]</f>
        <v>?</v>
      </c>
      <c r="I105" s="2" t="str">
        <f>Tabla1[[#This Row],[Solubility (H2O)]]</f>
        <v>4370 mg/l</v>
      </c>
      <c r="J105" s="2"/>
      <c r="K105" s="2"/>
      <c r="L105" s="21"/>
      <c r="M105" s="83" t="str">
        <f>Tabla1[[#This Row],[(exempted g or ml)]]</f>
        <v>Not regulated; any amount limit in internal packages</v>
      </c>
      <c r="N105" s="74">
        <f>Tabla134[[#This Row],[Proposed stock volume (per partner; ml -or g-)]]*7</f>
        <v>0</v>
      </c>
      <c r="O105" s="70">
        <f>Tabla13[[#This Row],[Total amount to be purchased (g or ml)]]</f>
        <v>0</v>
      </c>
      <c r="P105" s="78">
        <f>Tabla13[[#This Row],[Needed amount of chemical (g); Ruben Leitat calculations]]</f>
        <v>5.3999999999999994E-3</v>
      </c>
      <c r="Q105" s="78" t="e">
        <f>Tabla13[[#This Row],[Needed amount of chemical (g); Stefan UFZ calculations]]</f>
        <v>#REF!</v>
      </c>
      <c r="R105" s="2"/>
      <c r="S105" s="2" t="str">
        <f>Tabla13[[#This Row],[EC50 fish]]</f>
        <v>LC50 - Oncorhynchus mykiss (rainbow trout) - 0,0090 mg/l - 96,0 h</v>
      </c>
      <c r="T105" s="2" t="str">
        <f>Tabla13[[#This Row],[EC50 daphnia]]</f>
        <v>LC50 - Daphnia pulex (Water flea) - 0,005 mg/l - 3 h</v>
      </c>
      <c r="U105" s="2" t="e">
        <f>Tabla134[[#This Row],[Used amount of chemical for stocks (g)]]*1000/Tabla134[[#This Row],[Proposed stock concentration (g/L)]]</f>
        <v>#DIV/0!</v>
      </c>
      <c r="V105" s="100"/>
      <c r="W105" s="100">
        <f>Tabla134[[#This Row],[trials solubility (g  to be used)]]*1000/100</f>
        <v>0</v>
      </c>
      <c r="X105" s="100"/>
      <c r="Y105" s="100"/>
    </row>
    <row r="106" spans="1:25" ht="75">
      <c r="A106" s="10" t="s">
        <v>927</v>
      </c>
      <c r="B106" s="10">
        <f>Tabla13[[#This Row],[Prec.Tox code]]</f>
        <v>0</v>
      </c>
      <c r="C106" s="2" t="str">
        <f>Tabla1[[#This Row],[CAS number]]</f>
        <v>27176-87-0</v>
      </c>
      <c r="D106" s="2"/>
      <c r="E106" s="2">
        <f>Tabla13[[#This Row],['[max.'] to reach 100% mortality (mg/L)]]/1000</f>
        <v>1.08</v>
      </c>
      <c r="F106" s="2">
        <f>Tabla13[[#This Row],[Needed amount of chemical (g); Stefan UFZ calculations]]/5</f>
        <v>1.823977627076585E-2</v>
      </c>
      <c r="G106" s="2">
        <f>MAX(Tabla134[[#This Row],['[max.'] to reach 100% mortality (g/L) Leitat]:['[max.'] to reach baseline toxicity (g/L) UFZ]])*1000</f>
        <v>1080</v>
      </c>
      <c r="H106" s="2">
        <f>Tabla1[[#This Row],[Solubility (DMSO)]]</f>
        <v>0</v>
      </c>
      <c r="I106" s="2" t="str">
        <f>Tabla1[[#This Row],[Solubility (H2O)]]</f>
        <v>0,00027 g/l</v>
      </c>
      <c r="J106" s="2"/>
      <c r="K106" s="2"/>
      <c r="L106" s="21"/>
      <c r="M106" s="83" t="str">
        <f>Tabla1[[#This Row],[(exempted g or ml)]]</f>
        <v>Not regulated; any amount limit in internal packages</v>
      </c>
      <c r="N106" s="74">
        <f>Tabla134[[#This Row],[Proposed stock volume (per partner; ml -or g-)]]*7</f>
        <v>0</v>
      </c>
      <c r="O106" s="70">
        <f>Tabla13[[#This Row],[Total amount to be purchased (g or ml)]]</f>
        <v>0</v>
      </c>
      <c r="P106" s="78">
        <f>Tabla13[[#This Row],[Needed amount of chemical (g); Ruben Leitat calculations]]</f>
        <v>6.4800000000000013</v>
      </c>
      <c r="Q106" s="78">
        <f>Tabla13[[#This Row],[Needed amount of chemical (g); Stefan UFZ calculations]]</f>
        <v>9.1198881353829253E-2</v>
      </c>
      <c r="R106" s="2"/>
      <c r="S106" s="2" t="str">
        <f>Tabla13[[#This Row],[EC50 fish]]</f>
        <v>10.8 mg/L LC50 Oncorhynchus mykiss 96 h static 1 3.5 - 10 mg/L LC50
Brachydanio rerio 96 h static 1</v>
      </c>
      <c r="T106" s="2" t="str">
        <f>Tabla13[[#This Row],[EC50 daphnia]]</f>
        <v>5.88 mg/L EC50 Daphnia magna 48 h</v>
      </c>
      <c r="U106" s="2" t="e">
        <f>Tabla134[[#This Row],[Used amount of chemical for stocks (g)]]*1000/Tabla134[[#This Row],[Proposed stock concentration (g/L)]]</f>
        <v>#DIV/0!</v>
      </c>
      <c r="V106" s="100"/>
      <c r="W106" s="100">
        <f>Tabla134[[#This Row],[trials solubility (g  to be used)]]*1000/100</f>
        <v>0</v>
      </c>
      <c r="X106" s="100"/>
      <c r="Y106" s="100"/>
    </row>
    <row r="107" spans="1:25" ht="60">
      <c r="A107" s="10" t="s">
        <v>934</v>
      </c>
      <c r="B107" s="10">
        <f>Tabla13[[#This Row],[Prec.Tox code]]</f>
        <v>0</v>
      </c>
      <c r="C107" s="2" t="str">
        <f>Tabla1[[#This Row],[CAS number]]</f>
        <v>3147-75-9</v>
      </c>
      <c r="D107" s="2"/>
      <c r="E107" s="2">
        <f>Tabla13[[#This Row],['[max.'] to reach 100% mortality (mg/L)]]/1000</f>
        <v>100</v>
      </c>
      <c r="F107" s="2">
        <f>Tabla13[[#This Row],[Needed amount of chemical (g); Stefan UFZ calculations]]/5</f>
        <v>3.0856487003777459E-2</v>
      </c>
      <c r="G107" s="2">
        <f>MAX(Tabla134[[#This Row],['[max.'] to reach 100% mortality (g/L) Leitat]:['[max.'] to reach baseline toxicity (g/L) UFZ]])*1000</f>
        <v>100000</v>
      </c>
      <c r="H107" s="2">
        <f>Tabla1[[#This Row],[Solubility (DMSO)]]</f>
        <v>0</v>
      </c>
      <c r="I107" s="2" t="str">
        <f>Tabla1[[#This Row],[Solubility (H2O)]]</f>
        <v>0,1678 mg/l</v>
      </c>
      <c r="J107" s="2"/>
      <c r="K107" s="2"/>
      <c r="L107" s="21"/>
      <c r="M107" s="83" t="str">
        <f>Tabla1[[#This Row],[(exempted g or ml)]]</f>
        <v>Not regulated; any amount limit in internal packages</v>
      </c>
      <c r="N107" s="74">
        <f>Tabla134[[#This Row],[Proposed stock volume (per partner; ml -or g-)]]*7</f>
        <v>0</v>
      </c>
      <c r="O107" s="70">
        <f>Tabla13[[#This Row],[Total amount to be purchased (g or ml)]]</f>
        <v>0</v>
      </c>
      <c r="P107" s="78">
        <f>Tabla13[[#This Row],[Needed amount of chemical (g); Ruben Leitat calculations]]</f>
        <v>600</v>
      </c>
      <c r="Q107" s="78">
        <f>Tabla13[[#This Row],[Needed amount of chemical (g); Stefan UFZ calculations]]</f>
        <v>0.1542824350188873</v>
      </c>
      <c r="R107" s="2"/>
      <c r="S107" s="2" t="str">
        <f>Tabla13[[#This Row],[EC50 fish]]</f>
        <v>0,044 mg/L based on baseline toxicity 96h zebrafish
&gt; 100 mg/L zebrafish 96h</v>
      </c>
      <c r="T107" s="2" t="str">
        <f>Tabla13[[#This Row],[EC50 daphnia]]</f>
        <v>&gt; 100 mg/L daphnia magna 48h</v>
      </c>
      <c r="U107" s="2" t="e">
        <f>Tabla134[[#This Row],[Used amount of chemical for stocks (g)]]*1000/Tabla134[[#This Row],[Proposed stock concentration (g/L)]]</f>
        <v>#DIV/0!</v>
      </c>
      <c r="V107" s="100"/>
      <c r="W107" s="100">
        <f>Tabla134[[#This Row],[trials solubility (g  to be used)]]*1000/100</f>
        <v>0</v>
      </c>
      <c r="X107" s="100"/>
      <c r="Y107" s="100"/>
    </row>
    <row r="108" spans="1:25" ht="60">
      <c r="A108" s="10" t="s">
        <v>940</v>
      </c>
      <c r="B108" s="10">
        <f>Tabla13[[#This Row],[Prec.Tox code]]</f>
        <v>0</v>
      </c>
      <c r="C108" s="2" t="str">
        <f>Tabla1[[#This Row],[CAS number]]</f>
        <v>2795-39-3</v>
      </c>
      <c r="D108" s="2"/>
      <c r="E108" s="2">
        <f>Tabla13[[#This Row],['[max.'] to reach 100% mortality (mg/L)]]/1000</f>
        <v>9.1</v>
      </c>
      <c r="F108" s="2">
        <f>Tabla13[[#This Row],[Needed amount of chemical (g); Stefan UFZ calculations]]/5</f>
        <v>3.060322866021762E-2</v>
      </c>
      <c r="G108" s="2">
        <f>MAX(Tabla134[[#This Row],['[max.'] to reach 100% mortality (g/L) Leitat]:['[max.'] to reach baseline toxicity (g/L) UFZ]])*1000</f>
        <v>9100</v>
      </c>
      <c r="H108" s="2">
        <f>Tabla1[[#This Row],[Solubility (DMSO)]]</f>
        <v>0</v>
      </c>
      <c r="I108" s="2" t="str">
        <f>Tabla1[[#This Row],[Solubility (H2O)]]</f>
        <v>519 mg/L</v>
      </c>
      <c r="J108" s="2"/>
      <c r="K108" s="2"/>
      <c r="L108" s="21"/>
      <c r="M108" s="83" t="str">
        <f>Tabla1[[#This Row],[(exempted g or ml)]]</f>
        <v>Not regulated; any amount limit in internal packages</v>
      </c>
      <c r="N108" s="74">
        <f>Tabla134[[#This Row],[Proposed stock volume (per partner; ml -or g-)]]*7</f>
        <v>0</v>
      </c>
      <c r="O108" s="70">
        <f>Tabla13[[#This Row],[Total amount to be purchased (g or ml)]]</f>
        <v>0</v>
      </c>
      <c r="P108" s="78">
        <f>Tabla13[[#This Row],[Needed amount of chemical (g); Ruben Leitat calculations]]</f>
        <v>54.6</v>
      </c>
      <c r="Q108" s="78">
        <f>Tabla13[[#This Row],[Needed amount of chemical (g); Stefan UFZ calculations]]</f>
        <v>0.15301614330108809</v>
      </c>
      <c r="R108" s="2"/>
      <c r="S108" s="2" t="str">
        <f>Tabla13[[#This Row],[EC50 fish]]</f>
        <v>LC50 - Pimephales promelas (fathead minnow) - 8 - 11 mg/l - 96,0 h</v>
      </c>
      <c r="T108" s="2" t="str">
        <f>Tabla13[[#This Row],[EC50 daphnia]]</f>
        <v>EC50 - Daphnia magna (Water flea) - 33 - 91 mg/l - 48 h</v>
      </c>
      <c r="U108" s="2" t="e">
        <f>Tabla134[[#This Row],[Used amount of chemical for stocks (g)]]*1000/Tabla134[[#This Row],[Proposed stock concentration (g/L)]]</f>
        <v>#DIV/0!</v>
      </c>
      <c r="V108" s="100"/>
      <c r="W108" s="100">
        <f>Tabla134[[#This Row],[trials solubility (g  to be used)]]*1000/100</f>
        <v>0</v>
      </c>
      <c r="X108" s="100"/>
      <c r="Y108" s="100"/>
    </row>
    <row r="109" spans="1:25" ht="60">
      <c r="A109" s="10" t="s">
        <v>946</v>
      </c>
      <c r="B109" s="10">
        <f>Tabla13[[#This Row],[Prec.Tox code]]</f>
        <v>0</v>
      </c>
      <c r="C109" s="2" t="str">
        <f>Tabla1[[#This Row],[CAS number]]</f>
        <v>26530-20-1</v>
      </c>
      <c r="D109" s="2"/>
      <c r="E109" s="2">
        <f>Tabla13[[#This Row],['[max.'] to reach 100% mortality (mg/L)]]/1000</f>
        <v>1.7999999999999999E-2</v>
      </c>
      <c r="F109" s="2">
        <f>Tabla13[[#This Row],[Needed amount of chemical (g); Stefan UFZ calculations]]/5</f>
        <v>0.55038500190263218</v>
      </c>
      <c r="G109" s="2">
        <f>MAX(Tabla134[[#This Row],['[max.'] to reach 100% mortality (g/L) Leitat]:['[max.'] to reach baseline toxicity (g/L) UFZ]])*1000</f>
        <v>550.38500190263221</v>
      </c>
      <c r="H109" s="2">
        <f>Tabla1[[#This Row],[Solubility (DMSO)]]</f>
        <v>0</v>
      </c>
      <c r="I109" s="2" t="str">
        <f>Tabla1[[#This Row],[Solubility (H2O)]]</f>
        <v>500 mg/l</v>
      </c>
      <c r="J109" s="2"/>
      <c r="K109" s="2"/>
      <c r="L109" s="21"/>
      <c r="M109" s="83" t="str">
        <f>Tabla1[[#This Row],[(exempted g or ml)]]</f>
        <v>Not regulated; any amount limit in internal packages</v>
      </c>
      <c r="N109" s="74">
        <f>Tabla134[[#This Row],[Proposed stock volume (per partner; ml -or g-)]]*7</f>
        <v>0</v>
      </c>
      <c r="O109" s="70">
        <f>Tabla13[[#This Row],[Total amount to be purchased (g or ml)]]</f>
        <v>0</v>
      </c>
      <c r="P109" s="78">
        <f>Tabla13[[#This Row],[Needed amount of chemical (g); Ruben Leitat calculations]]</f>
        <v>0.108</v>
      </c>
      <c r="Q109" s="78">
        <f>Tabla13[[#This Row],[Needed amount of chemical (g); Stefan UFZ calculations]]</f>
        <v>2.7519250095131609</v>
      </c>
      <c r="R109" s="2"/>
      <c r="S109" s="2" t="str">
        <f>Tabla13[[#This Row],[EC50 fish]]</f>
        <v>LC50 - Pimephales promelas (fathead minnow) - 0,14 mg/l - 96,0 h</v>
      </c>
      <c r="T109" s="2" t="str">
        <f>Tabla13[[#This Row],[EC50 daphnia]]</f>
        <v>EC50 - Daphnia magna (Water flea) - 0,18 mg/l - 48 h</v>
      </c>
      <c r="U109" s="2" t="e">
        <f>Tabla134[[#This Row],[Used amount of chemical for stocks (g)]]*1000/Tabla134[[#This Row],[Proposed stock concentration (g/L)]]</f>
        <v>#DIV/0!</v>
      </c>
      <c r="V109" s="100"/>
      <c r="W109" s="100">
        <f>Tabla134[[#This Row],[trials solubility (g  to be used)]]*1000/100</f>
        <v>0</v>
      </c>
      <c r="X109" s="100"/>
      <c r="Y109" s="100"/>
    </row>
    <row r="110" spans="1:25" ht="45">
      <c r="A110" s="10" t="s">
        <v>952</v>
      </c>
      <c r="B110" s="10">
        <f>Tabla13[[#This Row],[Prec.Tox code]]</f>
        <v>0</v>
      </c>
      <c r="C110" s="2" t="str">
        <f>Tabla1[[#This Row],[CAS number]]</f>
        <v>135080-03-4</v>
      </c>
      <c r="D110" s="2"/>
      <c r="E110" s="2">
        <f>Tabla13[[#This Row],['[max.'] to reach 100% mortality (mg/L)]]/1000</f>
        <v>0</v>
      </c>
      <c r="F110" s="2">
        <f>Tabla13[[#This Row],[Needed amount of chemical (g); Stefan UFZ calculations]]/5</f>
        <v>0</v>
      </c>
      <c r="G110" s="2">
        <f>MAX(Tabla134[[#This Row],['[max.'] to reach 100% mortality (g/L) Leitat]:['[max.'] to reach baseline toxicity (g/L) UFZ]])*1000</f>
        <v>0</v>
      </c>
      <c r="H110" s="2">
        <f>Tabla1[[#This Row],[Solubility (DMSO)]]</f>
        <v>0</v>
      </c>
      <c r="I110" s="2" t="str">
        <f>Tabla1[[#This Row],[Solubility (H2O)]]</f>
        <v>?</v>
      </c>
      <c r="J110" s="2"/>
      <c r="K110" s="2"/>
      <c r="L110" s="21"/>
      <c r="M110" s="83" t="str">
        <f>Tabla1[[#This Row],[(exempted g or ml)]]</f>
        <v>Not regulated; any amount limit in internal packages</v>
      </c>
      <c r="N110" s="74">
        <f>Tabla134[[#This Row],[Proposed stock volume (per partner; ml -or g-)]]*7</f>
        <v>0</v>
      </c>
      <c r="O110" s="70">
        <f>Tabla13[[#This Row],[Total amount to be purchased (g or ml)]]</f>
        <v>0</v>
      </c>
      <c r="P110" s="78" t="str">
        <f>Tabla13[[#This Row],[Needed amount of chemical (g); Ruben Leitat calculations]]</f>
        <v>unknown</v>
      </c>
      <c r="Q110" s="78">
        <f>Tabla13[[#This Row],[Needed amount of chemical (g); Stefan UFZ calculations]]</f>
        <v>0</v>
      </c>
      <c r="R110" s="2"/>
      <c r="S110" s="2" t="str">
        <f>Tabla13[[#This Row],[EC50 fish]]</f>
        <v>?</v>
      </c>
      <c r="T110" s="2" t="str">
        <f>Tabla13[[#This Row],[EC50 daphnia]]</f>
        <v>?</v>
      </c>
      <c r="U110" s="2" t="e">
        <f>Tabla134[[#This Row],[Used amount of chemical for stocks (g)]]*1000/Tabla134[[#This Row],[Proposed stock concentration (g/L)]]</f>
        <v>#DIV/0!</v>
      </c>
      <c r="V110" s="100"/>
      <c r="W110" s="100">
        <f>Tabla134[[#This Row],[trials solubility (g  to be used)]]*1000/100</f>
        <v>0</v>
      </c>
      <c r="X110" s="100"/>
      <c r="Y110" s="100"/>
    </row>
    <row r="111" spans="1:25" ht="45">
      <c r="A111" s="10" t="s">
        <v>954</v>
      </c>
      <c r="B111" s="10">
        <f>Tabla13[[#This Row],[Prec.Tox code]]</f>
        <v>0</v>
      </c>
      <c r="C111" s="2" t="str">
        <f>Tabla1[[#This Row],[CAS number]]</f>
        <v>101-20-2</v>
      </c>
      <c r="D111" s="2"/>
      <c r="E111" s="2">
        <f>Tabla13[[#This Row],['[max.'] to reach 100% mortality (mg/L)]]/1000</f>
        <v>8.5000000000000006E-3</v>
      </c>
      <c r="F111" s="2">
        <f>Tabla13[[#This Row],[Needed amount of chemical (g); Stefan UFZ calculations]]/5</f>
        <v>8.3920767752846525E-3</v>
      </c>
      <c r="G111" s="2">
        <f>MAX(Tabla134[[#This Row],['[max.'] to reach 100% mortality (g/L) Leitat]:['[max.'] to reach baseline toxicity (g/L) UFZ]])*1000</f>
        <v>8.5</v>
      </c>
      <c r="H111" s="2" t="str">
        <f>Tabla1[[#This Row],[Solubility (DMSO)]]</f>
        <v>'Slightly Soluble''</v>
      </c>
      <c r="I111" s="2" t="str">
        <f>Tabla1[[#This Row],[Solubility (H2O)]]</f>
        <v>&lt;1 g/L</v>
      </c>
      <c r="J111" s="2"/>
      <c r="K111" s="2"/>
      <c r="L111" s="21"/>
      <c r="M111" s="83" t="str">
        <f>Tabla1[[#This Row],[(exempted g or ml)]]</f>
        <v>Not regulated; any amount limit in internal packages</v>
      </c>
      <c r="N111" s="74">
        <f>Tabla134[[#This Row],[Proposed stock volume (per partner; ml -or g-)]]*7</f>
        <v>0</v>
      </c>
      <c r="O111" s="70">
        <f>Tabla13[[#This Row],[Total amount to be purchased (g or ml)]]</f>
        <v>0</v>
      </c>
      <c r="P111" s="78">
        <f>Tabla13[[#This Row],[Needed amount of chemical (g); Ruben Leitat calculations]]</f>
        <v>5.0999999999999997E-2</v>
      </c>
      <c r="Q111" s="78">
        <f>Tabla13[[#This Row],[Needed amount of chemical (g); Stefan UFZ calculations]]</f>
        <v>4.1960383876423264E-2</v>
      </c>
      <c r="R111" s="2"/>
      <c r="S111" s="2" t="str">
        <f>Tabla13[[#This Row],[EC50 fish]]</f>
        <v>0.085 mg/L (fish, 96h)</v>
      </c>
      <c r="T111" s="2" t="str">
        <f>Tabla13[[#This Row],[EC50 daphnia]]</f>
        <v>0.005 mg/L daphnia magna, 48 or 72h?</v>
      </c>
      <c r="U111" s="2" t="e">
        <f>Tabla134[[#This Row],[Used amount of chemical for stocks (g)]]*1000/Tabla134[[#This Row],[Proposed stock concentration (g/L)]]</f>
        <v>#DIV/0!</v>
      </c>
      <c r="V111" s="100"/>
      <c r="W111" s="100">
        <f>Tabla134[[#This Row],[trials solubility (g  to be used)]]*1000/100</f>
        <v>0</v>
      </c>
      <c r="X111" s="100"/>
      <c r="Y111" s="100"/>
    </row>
    <row r="112" spans="1:25" ht="44.45" customHeight="1">
      <c r="A112" s="10" t="s">
        <v>961</v>
      </c>
      <c r="B112" s="10">
        <f>Tabla13[[#This Row],[Prec.Tox code]]</f>
        <v>0</v>
      </c>
      <c r="C112" s="2" t="str">
        <f>Tabla1[[#This Row],[CAS number]]</f>
        <v>22224-92-6</v>
      </c>
      <c r="D112" s="2"/>
      <c r="E112" s="2">
        <f>Tabla13[[#This Row],['[max.'] to reach 100% mortality (mg/L)]]/1000</f>
        <v>0.06</v>
      </c>
      <c r="F112" s="2">
        <f>Tabla13[[#This Row],[Needed amount of chemical (g); Stefan UFZ calculations]]/5</f>
        <v>5.9184828310456385E-2</v>
      </c>
      <c r="G112" s="2">
        <f>MAX(Tabla134[[#This Row],['[max.'] to reach 100% mortality (g/L) Leitat]:['[max.'] to reach baseline toxicity (g/L) UFZ]])*1000</f>
        <v>60</v>
      </c>
      <c r="H112" s="2">
        <f>Tabla1[[#This Row],[Solubility (DMSO)]]</f>
        <v>0</v>
      </c>
      <c r="I112" s="2" t="str">
        <f>Tabla1[[#This Row],[Solubility (H2O)]]</f>
        <v>0,3 g/l</v>
      </c>
      <c r="J112" s="2"/>
      <c r="K112" s="2"/>
      <c r="L112" s="21"/>
      <c r="M112" s="83" t="str">
        <f>Tabla1[[#This Row],[(exempted g or ml)]]</f>
        <v>Not regulated; any amount limit in internal packages</v>
      </c>
      <c r="N112" s="74">
        <f>Tabla134[[#This Row],[Proposed stock volume (per partner; ml -or g-)]]*7</f>
        <v>0</v>
      </c>
      <c r="O112" s="70">
        <f>Tabla13[[#This Row],[Total amount to be purchased (g or ml)]]</f>
        <v>0</v>
      </c>
      <c r="P112" s="78">
        <f>Tabla13[[#This Row],[Needed amount of chemical (g); Ruben Leitat calculations]]</f>
        <v>0.36</v>
      </c>
      <c r="Q112" s="78">
        <f>Tabla13[[#This Row],[Needed amount of chemical (g); Stefan UFZ calculations]]</f>
        <v>0.29592414155228192</v>
      </c>
      <c r="R112" s="2"/>
      <c r="S112" s="2" t="str">
        <f>Tabla13[[#This Row],[EC50 fish]]</f>
        <v>LC50 - Cyprinodon variegatus (sheepshead minnow) - 0,02 mg/l - 96,0 h
LC50 - Oncorhynchus mykiss (rainbow trout) - 0,07 - 0,6 mg/l - 96,0 h</v>
      </c>
      <c r="T112" s="2" t="str">
        <f>Tabla13[[#This Row],[EC50 daphnia]]</f>
        <v>EC50 - Daphnia magna (Water flea) - 0,002 mg/l - 48 h</v>
      </c>
      <c r="U112" s="2" t="e">
        <f>Tabla134[[#This Row],[Used amount of chemical for stocks (g)]]*1000/Tabla134[[#This Row],[Proposed stock concentration (g/L)]]</f>
        <v>#DIV/0!</v>
      </c>
      <c r="V112" s="100"/>
      <c r="W112" s="100">
        <f>Tabla134[[#This Row],[trials solubility (g  to be used)]]*1000/100</f>
        <v>0</v>
      </c>
      <c r="X112" s="100"/>
      <c r="Y112" s="100"/>
    </row>
    <row r="113" spans="1:25" ht="45">
      <c r="A113" s="10" t="s">
        <v>968</v>
      </c>
      <c r="B113" s="10">
        <f>Tabla13[[#This Row],[Prec.Tox code]]</f>
        <v>0</v>
      </c>
      <c r="C113" s="2" t="str">
        <f>Tabla1[[#This Row],[CAS number]]</f>
        <v>95737-68-1</v>
      </c>
      <c r="D113" s="2"/>
      <c r="E113" s="2">
        <f>Tabla13[[#This Row],['[max.'] to reach 100% mortality (mg/L)]]/1000</f>
        <v>4.4999999999999998E-2</v>
      </c>
      <c r="F113" s="2">
        <f>Tabla13[[#This Row],[Needed amount of chemical (g); Stefan UFZ calculations]]/5</f>
        <v>2.6568937297403387E-2</v>
      </c>
      <c r="G113" s="2">
        <f>MAX(Tabla134[[#This Row],['[max.'] to reach 100% mortality (g/L) Leitat]:['[max.'] to reach baseline toxicity (g/L) UFZ]])*1000</f>
        <v>45</v>
      </c>
      <c r="H113" s="2" t="str">
        <f>Tabla1[[#This Row],[Solubility (DMSO)]]</f>
        <v>64 mg/mL</v>
      </c>
      <c r="I113" s="2" t="str">
        <f>Tabla1[[#This Row],[Solubility (H2O)]]</f>
        <v>0,37 mg/l</v>
      </c>
      <c r="J113" s="2"/>
      <c r="K113" s="2"/>
      <c r="L113" s="21"/>
      <c r="M113" s="83" t="str">
        <f>Tabla1[[#This Row],[(exempted g or ml)]]</f>
        <v>Not regulated; any amount limit in internal packages</v>
      </c>
      <c r="N113" s="74">
        <f>Tabla134[[#This Row],[Proposed stock volume (per partner; ml -or g-)]]*7</f>
        <v>0</v>
      </c>
      <c r="O113" s="70">
        <f>Tabla13[[#This Row],[Total amount to be purchased (g or ml)]]</f>
        <v>0</v>
      </c>
      <c r="P113" s="78">
        <f>Tabla13[[#This Row],[Needed amount of chemical (g); Ruben Leitat calculations]]</f>
        <v>0.27</v>
      </c>
      <c r="Q113" s="78">
        <f>Tabla13[[#This Row],[Needed amount of chemical (g); Stefan UFZ calculations]]</f>
        <v>0.13284468648701694</v>
      </c>
      <c r="R113" s="2"/>
      <c r="S113" s="2" t="str">
        <f>Tabla13[[#This Row],[EC50 fish]]</f>
        <v>LC50 - Oncorhynchus mykiss (rainbow trout) - 0,45 mg/l - 96,0 h</v>
      </c>
      <c r="T113" s="2" t="str">
        <f>Tabla13[[#This Row],[EC50 daphnia]]</f>
        <v>EC50 - Daphnia magna (Water flea) - 0,4 mg/l - 48 h</v>
      </c>
      <c r="U113" s="2" t="e">
        <f>Tabla134[[#This Row],[Used amount of chemical for stocks (g)]]*1000/Tabla134[[#This Row],[Proposed stock concentration (g/L)]]</f>
        <v>#DIV/0!</v>
      </c>
      <c r="V113" s="100"/>
      <c r="W113" s="100">
        <f>Tabla134[[#This Row],[trials solubility (g  to be used)]]*1000/100</f>
        <v>0</v>
      </c>
      <c r="X113" s="100"/>
      <c r="Y113" s="100"/>
    </row>
    <row r="114" spans="1:25" ht="75">
      <c r="A114" s="10" t="s">
        <v>975</v>
      </c>
      <c r="B114" s="10">
        <f>Tabla13[[#This Row],[Prec.Tox code]]</f>
        <v>0</v>
      </c>
      <c r="C114" s="2" t="str">
        <f>Tabla1[[#This Row],[CAS number]]</f>
        <v>42874-03-3</v>
      </c>
      <c r="D114" s="2"/>
      <c r="E114" s="2">
        <f>Tabla13[[#This Row],['[max.'] to reach 100% mortality (mg/L)]]/1000</f>
        <v>0.05</v>
      </c>
      <c r="F114" s="2">
        <f>Tabla13[[#This Row],[Needed amount of chemical (g); Stefan UFZ calculations]]/5</f>
        <v>2.047179577399005E-2</v>
      </c>
      <c r="G114" s="2">
        <f>MAX(Tabla134[[#This Row],['[max.'] to reach 100% mortality (g/L) Leitat]:['[max.'] to reach baseline toxicity (g/L) UFZ]])*1000</f>
        <v>50</v>
      </c>
      <c r="H114" s="2" t="str">
        <f>Tabla1[[#This Row],[Solubility (DMSO)]]</f>
        <v>Soluble ( &lt; 1 mg/ml refers to the product slightly soluble or insoluble )</v>
      </c>
      <c r="I114" s="2" t="str">
        <f>Tabla1[[#This Row],[Solubility (H2O)]]</f>
        <v>0,116 mg/l</v>
      </c>
      <c r="J114" s="2"/>
      <c r="K114" s="2"/>
      <c r="L114" s="21"/>
      <c r="M114" s="83" t="str">
        <f>Tabla1[[#This Row],[(exempted g or ml)]]</f>
        <v>Not regulated; any amount limit in internal packages</v>
      </c>
      <c r="N114" s="74">
        <f>Tabla134[[#This Row],[Proposed stock volume (per partner; ml -or g-)]]*7</f>
        <v>0</v>
      </c>
      <c r="O114" s="70">
        <f>Tabla13[[#This Row],[Total amount to be purchased (g or ml)]]</f>
        <v>0</v>
      </c>
      <c r="P114" s="78">
        <f>Tabla13[[#This Row],[Needed amount of chemical (g); Ruben Leitat calculations]]</f>
        <v>0.3</v>
      </c>
      <c r="Q114" s="78">
        <f>Tabla13[[#This Row],[Needed amount of chemical (g); Stefan UFZ calculations]]</f>
        <v>0.10235897886995025</v>
      </c>
      <c r="R114" s="2"/>
      <c r="S114" s="2" t="str">
        <f>Tabla13[[#This Row],[EC50 fish]]</f>
        <v>LC50 - Pimephales promelas (fathead minnow) - 0,15 mg/l - 96,0 h</v>
      </c>
      <c r="T114" s="2" t="str">
        <f>Tabla13[[#This Row],[EC50 daphnia]]</f>
        <v>EC50 - Daphnia magna (Water flea) - 0,5 mg/l - 48 h</v>
      </c>
      <c r="U114" s="2" t="e">
        <f>Tabla134[[#This Row],[Used amount of chemical for stocks (g)]]*1000/Tabla134[[#This Row],[Proposed stock concentration (g/L)]]</f>
        <v>#DIV/0!</v>
      </c>
      <c r="V114" s="100"/>
      <c r="W114" s="100">
        <f>Tabla134[[#This Row],[trials solubility (g  to be used)]]*1000/100</f>
        <v>0</v>
      </c>
      <c r="X114" s="100"/>
      <c r="Y114" s="100"/>
    </row>
    <row r="115" spans="1:25" ht="45">
      <c r="A115" s="10" t="s">
        <v>982</v>
      </c>
      <c r="B115" s="10">
        <f>Tabla13[[#This Row],[Prec.Tox code]]</f>
        <v>0</v>
      </c>
      <c r="C115" s="2" t="str">
        <f>Tabla1[[#This Row],[CAS number]]</f>
        <v>56-38-2</v>
      </c>
      <c r="D115" s="2"/>
      <c r="E115" s="2">
        <f>Tabla13[[#This Row],['[max.'] to reach 100% mortality (mg/L)]]/1000</f>
        <v>3.0000000000000001E-3</v>
      </c>
      <c r="F115" s="2">
        <f>Tabla13[[#This Row],[Needed amount of chemical (g); Stefan UFZ calculations]]/5</f>
        <v>3.2488402716117373E-2</v>
      </c>
      <c r="G115" s="2">
        <f>MAX(Tabla134[[#This Row],['[max.'] to reach 100% mortality (g/L) Leitat]:['[max.'] to reach baseline toxicity (g/L) UFZ]])*1000</f>
        <v>32.488402716117371</v>
      </c>
      <c r="H115" s="2">
        <f>Tabla1[[#This Row],[Solubility (DMSO)]]</f>
        <v>0</v>
      </c>
      <c r="I115" s="2" t="str">
        <f>Tabla1[[#This Row],[Solubility (H2O)]]</f>
        <v xml:space="preserve">24 mg/l </v>
      </c>
      <c r="J115" s="2"/>
      <c r="K115" s="2"/>
      <c r="L115" s="21"/>
      <c r="M115" s="83">
        <f>Tabla1[[#This Row],[(exempted g or ml)]]</f>
        <v>1</v>
      </c>
      <c r="N115" s="74">
        <f>Tabla134[[#This Row],[Proposed stock volume (per partner; ml -or g-)]]*7</f>
        <v>0</v>
      </c>
      <c r="O115" s="70">
        <f>Tabla13[[#This Row],[Total amount to be purchased (g or ml)]]</f>
        <v>0</v>
      </c>
      <c r="P115" s="78">
        <f>Tabla13[[#This Row],[Needed amount of chemical (g); Ruben Leitat calculations]]</f>
        <v>1.7999999999999999E-2</v>
      </c>
      <c r="Q115" s="78">
        <f>Tabla13[[#This Row],[Needed amount of chemical (g); Stefan UFZ calculations]]</f>
        <v>0.16244201358058688</v>
      </c>
      <c r="R115" s="2"/>
      <c r="S115" s="2" t="str">
        <f>Tabla13[[#This Row],[EC50 fish]]</f>
        <v>LC50 - Lepomis macrochirus (Bluegill) - 0,03 mg/l - 96,0 h</v>
      </c>
      <c r="T115" s="2" t="str">
        <f>Tabla13[[#This Row],[EC50 daphnia]]</f>
        <v>EC50 - Daphnia magna (Water flea) - 0,002 mg/l - 48 h</v>
      </c>
      <c r="U115" s="2" t="e">
        <f>Tabla134[[#This Row],[Used amount of chemical for stocks (g)]]*1000/Tabla134[[#This Row],[Proposed stock concentration (g/L)]]</f>
        <v>#DIV/0!</v>
      </c>
      <c r="V115" s="100"/>
      <c r="W115" s="100">
        <f>Tabla134[[#This Row],[trials solubility (g  to be used)]]*1000/100</f>
        <v>0</v>
      </c>
      <c r="X115" s="100"/>
      <c r="Y115" s="100"/>
    </row>
    <row r="116" spans="1:25" ht="114" customHeight="1">
      <c r="A116" s="10" t="s">
        <v>988</v>
      </c>
      <c r="B116" s="10">
        <f>Tabla13[[#This Row],[Prec.Tox code]]</f>
        <v>0</v>
      </c>
      <c r="C116" s="2" t="str">
        <f>Tabla1[[#This Row],[CAS number]]</f>
        <v>72-54-8</v>
      </c>
      <c r="D116" s="2"/>
      <c r="E116" s="2">
        <f>Tabla13[[#This Row],['[max.'] to reach 100% mortality (mg/L)]]/1000</f>
        <v>0.5</v>
      </c>
      <c r="F116" s="2">
        <f>Tabla13[[#This Row],[Needed amount of chemical (g); Stefan UFZ calculations]]/5</f>
        <v>7.8408438133768694E-3</v>
      </c>
      <c r="G116" s="2">
        <f>MAX(Tabla134[[#This Row],['[max.'] to reach 100% mortality (g/L) Leitat]:['[max.'] to reach baseline toxicity (g/L) UFZ]])*1000</f>
        <v>500</v>
      </c>
      <c r="H116" s="2">
        <f>Tabla1[[#This Row],[Solubility (DMSO)]]</f>
        <v>0</v>
      </c>
      <c r="I116" s="2" t="str">
        <f>Tabla1[[#This Row],[Solubility (H2O)]]</f>
        <v>90 μg/L</v>
      </c>
      <c r="J116" s="2"/>
      <c r="K116" s="2"/>
      <c r="L116" s="21"/>
      <c r="M116" s="83" t="str">
        <f>Tabla1[[#This Row],[(exempted g or ml)]]</f>
        <v>Not regulated; any amount limit in internal packages</v>
      </c>
      <c r="N116" s="74">
        <f>Tabla134[[#This Row],[Proposed stock volume (per partner; ml -or g-)]]*7</f>
        <v>0</v>
      </c>
      <c r="O116" s="70">
        <f>Tabla13[[#This Row],[Total amount to be purchased (g or ml)]]</f>
        <v>0</v>
      </c>
      <c r="P116" s="78">
        <f>Tabla13[[#This Row],[Needed amount of chemical (g); Ruben Leitat calculations]]</f>
        <v>3</v>
      </c>
      <c r="Q116" s="78">
        <f>Tabla13[[#This Row],[Needed amount of chemical (g); Stefan UFZ calculations]]</f>
        <v>3.9204219066884344E-2</v>
      </c>
      <c r="R116" s="2"/>
      <c r="S116" s="2" t="str">
        <f>Tabla13[[#This Row],[EC50 fish]]</f>
        <v>LC50 - other fish - 1,18 - 9 mg/l - 96,0 h
LC50 - Lepomis macrochirus (Bluegill) - 0,04 - 0,05 mg/l - 96,0 h
LC50 - Oncorhynchus mykiss (rainbow trout) - 0,06 - 0,09 mg/l - 96,0 h
LC50 - Pimephales promelas (fathead minnow) - 3,47 - 5,58 mg/l - 96,0 h</v>
      </c>
      <c r="T116" s="2" t="str">
        <f>Tabla13[[#This Row],[EC50 daphnia]]</f>
        <v>EC50 - Daphnia pulex (Water flea) - 0,01 mg/l - 48 h</v>
      </c>
      <c r="U116" s="2" t="e">
        <f>Tabla134[[#This Row],[Used amount of chemical for stocks (g)]]*1000/Tabla134[[#This Row],[Proposed stock concentration (g/L)]]</f>
        <v>#DIV/0!</v>
      </c>
      <c r="V116" s="100"/>
      <c r="W116" s="100">
        <f>Tabla134[[#This Row],[trials solubility (g  to be used)]]*1000/100</f>
        <v>0</v>
      </c>
      <c r="X116" s="100"/>
      <c r="Y116" s="100"/>
    </row>
    <row r="117" spans="1:25" ht="45">
      <c r="A117" s="10" t="s">
        <v>994</v>
      </c>
      <c r="B117" s="10">
        <f>Tabla13[[#This Row],[Prec.Tox code]]</f>
        <v>0</v>
      </c>
      <c r="C117" s="2" t="str">
        <f>Tabla1[[#This Row],[CAS number]]</f>
        <v>72-43-5</v>
      </c>
      <c r="D117" s="2"/>
      <c r="E117" s="2">
        <f>Tabla13[[#This Row],['[max.'] to reach 100% mortality (mg/L)]]/1000</f>
        <v>5.1999999999999998E-3</v>
      </c>
      <c r="F117" s="2">
        <f>Tabla13[[#This Row],[Needed amount of chemical (g); Stefan UFZ calculations]]/5</f>
        <v>1.5512177559595285E-2</v>
      </c>
      <c r="G117" s="2">
        <f>MAX(Tabla134[[#This Row],['[max.'] to reach 100% mortality (g/L) Leitat]:['[max.'] to reach baseline toxicity (g/L) UFZ]])*1000</f>
        <v>15.512177559595285</v>
      </c>
      <c r="H117" s="2">
        <f>Tabla1[[#This Row],[Solubility (DMSO)]]</f>
        <v>0</v>
      </c>
      <c r="I117" s="2" t="str">
        <f>Tabla1[[#This Row],[Solubility (H2O)]]</f>
        <v>0,1 mg/l</v>
      </c>
      <c r="J117" s="2"/>
      <c r="K117" s="2"/>
      <c r="L117" s="21"/>
      <c r="M117" s="83" t="str">
        <f>Tabla1[[#This Row],[(exempted g or ml)]]</f>
        <v>Not regulated; any amount limit in internal packages</v>
      </c>
      <c r="N117" s="74">
        <f>Tabla134[[#This Row],[Proposed stock volume (per partner; ml -or g-)]]*7</f>
        <v>0</v>
      </c>
      <c r="O117" s="70">
        <f>Tabla13[[#This Row],[Total amount to be purchased (g or ml)]]</f>
        <v>0</v>
      </c>
      <c r="P117" s="78">
        <f>Tabla13[[#This Row],[Needed amount of chemical (g); Ruben Leitat calculations]]</f>
        <v>3.1200000000000002E-2</v>
      </c>
      <c r="Q117" s="78">
        <f>Tabla13[[#This Row],[Needed amount of chemical (g); Stefan UFZ calculations]]</f>
        <v>7.756088779797643E-2</v>
      </c>
      <c r="R117" s="2"/>
      <c r="S117" s="2" t="str">
        <f>Tabla13[[#This Row],[EC50 fish]]</f>
        <v>LC50 - Oncorhynchus mykiss (rainbow trout) - 0,052 mg/l - 96 h</v>
      </c>
      <c r="T117" s="2" t="str">
        <f>Tabla13[[#This Row],[EC50 daphnia]]</f>
        <v>EC50 - Daphnia magna (Water flea) - 0,00078 mg/l - 48 h</v>
      </c>
      <c r="U117" s="2" t="e">
        <f>Tabla134[[#This Row],[Used amount of chemical for stocks (g)]]*1000/Tabla134[[#This Row],[Proposed stock concentration (g/L)]]</f>
        <v>#DIV/0!</v>
      </c>
      <c r="V117" s="100"/>
      <c r="W117" s="100">
        <f>Tabla134[[#This Row],[trials solubility (g  to be used)]]*1000/100</f>
        <v>0</v>
      </c>
      <c r="X117" s="100"/>
      <c r="Y117" s="100"/>
    </row>
    <row r="118" spans="1:25" ht="45">
      <c r="A118" s="10" t="s">
        <v>1000</v>
      </c>
      <c r="B118" s="10">
        <f>Tabla13[[#This Row],[Prec.Tox code]]</f>
        <v>0</v>
      </c>
      <c r="C118" s="2" t="str">
        <f>Tabla1[[#This Row],[CAS number]]</f>
        <v>115-32-2</v>
      </c>
      <c r="D118" s="2"/>
      <c r="E118" s="2">
        <f>Tabla13[[#This Row],['[max.'] to reach 100% mortality (mg/L)]]/1000</f>
        <v>2.1000000000000001E-2</v>
      </c>
      <c r="F118" s="2">
        <f>Tabla13[[#This Row],[Needed amount of chemical (g); Stefan UFZ calculations]]/5</f>
        <v>1.7435108259913502E-2</v>
      </c>
      <c r="G118" s="2">
        <f>MAX(Tabla134[[#This Row],['[max.'] to reach 100% mortality (g/L) Leitat]:['[max.'] to reach baseline toxicity (g/L) UFZ]])*1000</f>
        <v>21</v>
      </c>
      <c r="H118" s="2" t="str">
        <f>Tabla1[[#This Row],[Solubility (DMSO)]]</f>
        <v>''Slightly Soluble''</v>
      </c>
      <c r="I118" s="2" t="str">
        <f>Tabla1[[#This Row],[Solubility (H2O)]]</f>
        <v>0,8 mg/l</v>
      </c>
      <c r="J118" s="2"/>
      <c r="K118" s="2"/>
      <c r="L118" s="21"/>
      <c r="M118" s="83" t="str">
        <f>Tabla1[[#This Row],[(exempted g or ml)]]</f>
        <v>Not regulated; any amount limit in internal packages</v>
      </c>
      <c r="N118" s="74">
        <f>Tabla134[[#This Row],[Proposed stock volume (per partner; ml -or g-)]]*7</f>
        <v>0</v>
      </c>
      <c r="O118" s="70">
        <f>Tabla13[[#This Row],[Total amount to be purchased (g or ml)]]</f>
        <v>0</v>
      </c>
      <c r="P118" s="78">
        <f>Tabla13[[#This Row],[Needed amount of chemical (g); Ruben Leitat calculations]]</f>
        <v>0.126</v>
      </c>
      <c r="Q118" s="78">
        <f>Tabla13[[#This Row],[Needed amount of chemical (g); Stefan UFZ calculations]]</f>
        <v>8.7175541299567505E-2</v>
      </c>
      <c r="R118" s="2"/>
      <c r="S118" s="2" t="str">
        <f>Tabla13[[#This Row],[EC50 fish]]</f>
        <v>LC50 - Oncorhynchus mykiss (rainbow trout) - 0,21 mg/l - 96,0 h</v>
      </c>
      <c r="T118" s="2" t="str">
        <f>Tabla13[[#This Row],[EC50 daphnia]]</f>
        <v>EC50 - Daphnia magna (Water flea) - 0,08 mg/l - 24 h</v>
      </c>
      <c r="U118" s="2" t="e">
        <f>Tabla134[[#This Row],[Used amount of chemical for stocks (g)]]*1000/Tabla134[[#This Row],[Proposed stock concentration (g/L)]]</f>
        <v>#DIV/0!</v>
      </c>
      <c r="V118" s="100"/>
      <c r="W118" s="100">
        <f>Tabla134[[#This Row],[trials solubility (g  to be used)]]*1000/100</f>
        <v>0</v>
      </c>
      <c r="X118" s="100"/>
      <c r="Y118" s="100"/>
    </row>
    <row r="119" spans="1:25" ht="60">
      <c r="A119" s="10" t="s">
        <v>1006</v>
      </c>
      <c r="B119" s="10">
        <f>Tabla13[[#This Row],[Prec.Tox code]]</f>
        <v>0</v>
      </c>
      <c r="C119" s="2" t="str">
        <f>Tabla1[[#This Row],[CAS number]]</f>
        <v>144550-36-7</v>
      </c>
      <c r="D119" s="2"/>
      <c r="E119" s="2">
        <f>Tabla13[[#This Row],['[max.'] to reach 100% mortality (mg/L)]]/1000</f>
        <v>100</v>
      </c>
      <c r="F119" s="2">
        <f>Tabla13[[#This Row],[Needed amount of chemical (g); Stefan UFZ calculations]]/5</f>
        <v>10.690844219235661</v>
      </c>
      <c r="G119" s="2">
        <f>MAX(Tabla134[[#This Row],['[max.'] to reach 100% mortality (g/L) Leitat]:['[max.'] to reach baseline toxicity (g/L) UFZ]])*1000</f>
        <v>100000</v>
      </c>
      <c r="H119" s="2" t="str">
        <f>Tabla1[[#This Row],[Solubility (DMSO)]]</f>
        <v>'Slightly Soluble''</v>
      </c>
      <c r="I119" s="2" t="str">
        <f>Tabla1[[#This Row],[Solubility (H2O)]]</f>
        <v xml:space="preserve">0,16 g/l </v>
      </c>
      <c r="J119" s="2"/>
      <c r="K119" s="2"/>
      <c r="L119" s="21"/>
      <c r="M119" s="83" t="str">
        <f>Tabla1[[#This Row],[(exempted g or ml)]]</f>
        <v>Not regulated; any amount limit in internal packages</v>
      </c>
      <c r="N119" s="74">
        <f>Tabla134[[#This Row],[Proposed stock volume (per partner; ml -or g-)]]*7</f>
        <v>0</v>
      </c>
      <c r="O119" s="70">
        <f>Tabla13[[#This Row],[Total amount to be purchased (g or ml)]]</f>
        <v>0</v>
      </c>
      <c r="P119" s="78">
        <f>Tabla13[[#This Row],[Needed amount of chemical (g); Ruben Leitat calculations]]</f>
        <v>600</v>
      </c>
      <c r="Q119" s="78">
        <f>Tabla13[[#This Row],[Needed amount of chemical (g); Stefan UFZ calculations]]</f>
        <v>53.454221096178301</v>
      </c>
      <c r="R119" s="2"/>
      <c r="S119" s="2" t="str">
        <f>Tabla13[[#This Row],[EC50 fish]]</f>
        <v>Species: Oncorhynchus mykiss (rainbow trout)
Value: &gt; 100 mg/l
Exposure time: 96 h</v>
      </c>
      <c r="T119" s="2" t="str">
        <f>Tabla13[[#This Row],[EC50 daphnia]]</f>
        <v>Species: Daphnia magna (Water flea)
Value: &gt; 100 mg/l
Exposure time: 48 h</v>
      </c>
      <c r="U119" s="2" t="e">
        <f>Tabla134[[#This Row],[Used amount of chemical for stocks (g)]]*1000/Tabla134[[#This Row],[Proposed stock concentration (g/L)]]</f>
        <v>#DIV/0!</v>
      </c>
      <c r="V119" s="100"/>
      <c r="W119" s="100">
        <f>Tabla134[[#This Row],[trials solubility (g  to be used)]]*1000/100</f>
        <v>0</v>
      </c>
      <c r="X119" s="100"/>
      <c r="Y119" s="100"/>
    </row>
    <row r="120" spans="1:25" ht="90">
      <c r="A120" s="10" t="s">
        <v>1012</v>
      </c>
      <c r="B120" s="10">
        <f>Tabla13[[#This Row],[Prec.Tox code]]</f>
        <v>0</v>
      </c>
      <c r="C120" s="2" t="str">
        <f>Tabla1[[#This Row],[CAS number]]</f>
        <v>96-48-0</v>
      </c>
      <c r="D120" s="2"/>
      <c r="E120" s="2">
        <f>Tabla13[[#This Row],['[max.'] to reach 100% mortality (mg/L)]]/1000</f>
        <v>100</v>
      </c>
      <c r="F120" s="2">
        <f>Tabla13[[#This Row],[Needed amount of chemical (g); Stefan UFZ calculations]]/5</f>
        <v>47.263064067456675</v>
      </c>
      <c r="G120" s="2">
        <f>MAX(Tabla134[[#This Row],['[max.'] to reach 100% mortality (g/L) Leitat]:['[max.'] to reach baseline toxicity (g/L) UFZ]])*1000</f>
        <v>100000</v>
      </c>
      <c r="H120" s="2">
        <f>Tabla1[[#This Row],[Solubility (DMSO)]]</f>
        <v>0</v>
      </c>
      <c r="I120" s="2" t="str">
        <f>Tabla1[[#This Row],[Solubility (H2O)]]</f>
        <v>1.000 g/l - miscible in all proportions</v>
      </c>
      <c r="J120" s="2"/>
      <c r="K120" s="2"/>
      <c r="L120" s="21"/>
      <c r="M120" s="83" t="str">
        <f>Tabla1[[#This Row],[(exempted g or ml)]]</f>
        <v>Not regulated; any amount limit in internal packages</v>
      </c>
      <c r="N120" s="74">
        <f>Tabla134[[#This Row],[Proposed stock volume (per partner; ml -or g-)]]*7</f>
        <v>0</v>
      </c>
      <c r="O120" s="70">
        <f>Tabla13[[#This Row],[Total amount to be purchased (g or ml)]]</f>
        <v>0</v>
      </c>
      <c r="P120" s="78">
        <f>Tabla13[[#This Row],[Needed amount of chemical (g); Ruben Leitat calculations]]</f>
        <v>600</v>
      </c>
      <c r="Q120" s="78">
        <f>Tabla13[[#This Row],[Needed amount of chemical (g); Stefan UFZ calculations]]</f>
        <v>236.31532033728337</v>
      </c>
      <c r="R120" s="2"/>
      <c r="S120" s="2" t="str">
        <f>Tabla13[[#This Row],[EC50 fish]]</f>
        <v>static test LC50 - Lepomis macrochirus (Bluegill sunfish) - 56 mg/l - 96 h (OECD Test Guideline 203)</v>
      </c>
      <c r="T120" s="2" t="str">
        <f>Tabla13[[#This Row],[EC50 daphnia]]</f>
        <v>static test EC50 - Daphnia magna (Water flea) - &gt; 500 mg/l - 48 h
(Directive 67/548/EEC, Annex V, C.2.)</v>
      </c>
      <c r="U120" s="2" t="e">
        <f>Tabla134[[#This Row],[Used amount of chemical for stocks (g)]]*1000/Tabla134[[#This Row],[Proposed stock concentration (g/L)]]</f>
        <v>#DIV/0!</v>
      </c>
      <c r="V120" s="100"/>
      <c r="W120" s="100">
        <f>Tabla134[[#This Row],[trials solubility (g  to be used)]]*1000/100</f>
        <v>0</v>
      </c>
      <c r="X120" s="100"/>
      <c r="Y120" s="100"/>
    </row>
    <row r="121" spans="1:25" ht="60">
      <c r="A121" s="10" t="s">
        <v>1019</v>
      </c>
      <c r="B121" s="10">
        <f>Tabla13[[#This Row],[Prec.Tox code]]</f>
        <v>0</v>
      </c>
      <c r="C121" s="2" t="str">
        <f>Tabla1[[#This Row],[CAS number]]</f>
        <v>111-15-9</v>
      </c>
      <c r="D121" s="2"/>
      <c r="E121" s="2">
        <f>Tabla13[[#This Row],['[max.'] to reach 100% mortality (mg/L)]]/1000</f>
        <v>19.36</v>
      </c>
      <c r="F121" s="2">
        <f>Tabla13[[#This Row],[Needed amount of chemical (g); Stefan UFZ calculations]]/5</f>
        <v>4.2675631996795156</v>
      </c>
      <c r="G121" s="2">
        <f>MAX(Tabla134[[#This Row],['[max.'] to reach 100% mortality (g/L) Leitat]:['[max.'] to reach baseline toxicity (g/L) UFZ]])*1000</f>
        <v>19360</v>
      </c>
      <c r="H121" s="2">
        <f>Tabla1[[#This Row],[Solubility (DMSO)]]</f>
        <v>0</v>
      </c>
      <c r="I121" s="2" t="str">
        <f>Tabla1[[#This Row],[Solubility (H2O)]]</f>
        <v xml:space="preserve">247 g/l </v>
      </c>
      <c r="J121" s="2"/>
      <c r="K121" s="2"/>
      <c r="L121" s="21"/>
      <c r="M121" s="83" t="str">
        <f>Tabla1[[#This Row],[(exempted g or ml)]]</f>
        <v>Not regulated; any amount limit in internal packages</v>
      </c>
      <c r="N121" s="74">
        <f>Tabla134[[#This Row],[Proposed stock volume (per partner; ml -or g-)]]*7</f>
        <v>0</v>
      </c>
      <c r="O121" s="70">
        <f>Tabla13[[#This Row],[Total amount to be purchased (g or ml)]]</f>
        <v>0</v>
      </c>
      <c r="P121" s="78">
        <f>Tabla13[[#This Row],[Needed amount of chemical (g); Ruben Leitat calculations]]</f>
        <v>116.15999999999998</v>
      </c>
      <c r="Q121" s="78">
        <f>Tabla13[[#This Row],[Needed amount of chemical (g); Stefan UFZ calculations]]</f>
        <v>21.337815998397577</v>
      </c>
      <c r="R121" s="2"/>
      <c r="S121" s="2" t="str">
        <f>Tabla13[[#This Row],[EC50 fish]]</f>
        <v>LC50 - Pimephales promelas (fathead minnow) - 40,7 - 43,6 mg/l - 96 h</v>
      </c>
      <c r="T121" s="2" t="str">
        <f>Tabla13[[#This Row],[EC50 daphnia]]</f>
        <v>EC50 - Daphnia magna (Water flea) - 193,6 mg/l - 48 h</v>
      </c>
      <c r="U121" s="2" t="e">
        <f>Tabla134[[#This Row],[Used amount of chemical for stocks (g)]]*1000/Tabla134[[#This Row],[Proposed stock concentration (g/L)]]</f>
        <v>#DIV/0!</v>
      </c>
      <c r="V121" s="100"/>
      <c r="W121" s="100">
        <f>Tabla134[[#This Row],[trials solubility (g  to be used)]]*1000/100</f>
        <v>0</v>
      </c>
      <c r="X121" s="100"/>
      <c r="Y121" s="100"/>
    </row>
    <row r="122" spans="1:25" ht="45">
      <c r="A122" s="10" t="s">
        <v>1026</v>
      </c>
      <c r="B122" s="10">
        <f>Tabla13[[#This Row],[Prec.Tox code]]</f>
        <v>0</v>
      </c>
      <c r="C122" s="2" t="str">
        <f>Tabla1[[#This Row],[CAS number]]</f>
        <v>145701-21-9</v>
      </c>
      <c r="D122" s="2"/>
      <c r="E122" s="2">
        <f>Tabla13[[#This Row],['[max.'] to reach 100% mortality (mg/L)]]/1000</f>
        <v>20</v>
      </c>
      <c r="F122" s="2">
        <f>Tabla13[[#This Row],[Needed amount of chemical (g); Stefan UFZ calculations]]/5</f>
        <v>1.6455912161373618</v>
      </c>
      <c r="G122" s="2">
        <f>MAX(Tabla134[[#This Row],['[max.'] to reach 100% mortality (g/L) Leitat]:['[max.'] to reach baseline toxicity (g/L) UFZ]])*1000</f>
        <v>20000</v>
      </c>
      <c r="H122" s="2" t="str">
        <f>Tabla1[[#This Row],[Solubility (DMSO)]]</f>
        <v>'Slightly Soluble''</v>
      </c>
      <c r="I122" s="2" t="str">
        <f>Tabla1[[#This Row],[Solubility (H2O)]]</f>
        <v>0.006 g/l</v>
      </c>
      <c r="J122" s="2"/>
      <c r="K122" s="2"/>
      <c r="L122" s="21"/>
      <c r="M122" s="83" t="str">
        <f>Tabla1[[#This Row],[(exempted g or ml)]]</f>
        <v>Not regulated; any amount limit in internal packages</v>
      </c>
      <c r="N122" s="74">
        <f>Tabla134[[#This Row],[Proposed stock volume (per partner; ml -or g-)]]*7</f>
        <v>0</v>
      </c>
      <c r="O122" s="70">
        <f>Tabla13[[#This Row],[Total amount to be purchased (g or ml)]]</f>
        <v>0</v>
      </c>
      <c r="P122" s="78">
        <f>Tabla13[[#This Row],[Needed amount of chemical (g); Ruben Leitat calculations]]</f>
        <v>120</v>
      </c>
      <c r="Q122" s="78">
        <f>Tabla13[[#This Row],[Needed amount of chemical (g); Stefan UFZ calculations]]</f>
        <v>8.2279560806868091</v>
      </c>
      <c r="R122" s="2"/>
      <c r="S122" s="2" t="str">
        <f>Tabla13[[#This Row],[EC50 fish]]</f>
        <v xml:space="preserve">LC50/96 h &gt;110 mg/l </v>
      </c>
      <c r="T122" s="2" t="str">
        <f>Tabla13[[#This Row],[EC50 daphnia]]</f>
        <v>78mg/l - 48h</v>
      </c>
      <c r="U122" s="2" t="e">
        <f>Tabla134[[#This Row],[Used amount of chemical for stocks (g)]]*1000/Tabla134[[#This Row],[Proposed stock concentration (g/L)]]</f>
        <v>#DIV/0!</v>
      </c>
      <c r="V122" s="100"/>
      <c r="W122" s="100">
        <f>Tabla134[[#This Row],[trials solubility (g  to be used)]]*1000/100</f>
        <v>0</v>
      </c>
      <c r="X122" s="100"/>
      <c r="Y122" s="100"/>
    </row>
    <row r="123" spans="1:25" ht="45">
      <c r="A123" s="10" t="s">
        <v>1032</v>
      </c>
      <c r="B123" s="10">
        <f>Tabla13[[#This Row],[Prec.Tox code]]</f>
        <v>0</v>
      </c>
      <c r="C123" s="2" t="str">
        <f>Tabla1[[#This Row],[CAS number]]</f>
        <v>141-66-2</v>
      </c>
      <c r="D123" s="2"/>
      <c r="E123" s="2">
        <f>Tabla13[[#This Row],['[max.'] to reach 100% mortality (mg/L)]]/1000</f>
        <v>0.63</v>
      </c>
      <c r="F123" s="2">
        <f>Tabla13[[#This Row],[Needed amount of chemical (g); Stefan UFZ calculations]]/5</f>
        <v>29.922677365443604</v>
      </c>
      <c r="G123" s="2">
        <f>MAX(Tabla134[[#This Row],['[max.'] to reach 100% mortality (g/L) Leitat]:['[max.'] to reach baseline toxicity (g/L) UFZ]])*1000</f>
        <v>29922.677365443604</v>
      </c>
      <c r="H123" s="2">
        <f>Tabla1[[#This Row],[Solubility (DMSO)]]</f>
        <v>0</v>
      </c>
      <c r="I123" s="2" t="str">
        <f>Tabla1[[#This Row],[Solubility (H2O)]]</f>
        <v>miscible'</v>
      </c>
      <c r="J123" s="2"/>
      <c r="K123" s="2"/>
      <c r="L123" s="21"/>
      <c r="M123" s="83" t="str">
        <f>Tabla1[[#This Row],[(exempted g or ml)]]</f>
        <v>Not regulated; any amount limit in internal packages</v>
      </c>
      <c r="N123" s="74">
        <f>Tabla134[[#This Row],[Proposed stock volume (per partner; ml -or g-)]]*7</f>
        <v>0</v>
      </c>
      <c r="O123" s="70">
        <f>Tabla13[[#This Row],[Total amount to be purchased (g or ml)]]</f>
        <v>0</v>
      </c>
      <c r="P123" s="78">
        <f>Tabla13[[#This Row],[Needed amount of chemical (g); Ruben Leitat calculations]]</f>
        <v>3.7799999999999994</v>
      </c>
      <c r="Q123" s="78">
        <f>Tabla13[[#This Row],[Needed amount of chemical (g); Stefan UFZ calculations]]</f>
        <v>149.61338682721802</v>
      </c>
      <c r="R123" s="2"/>
      <c r="S123" s="2" t="str">
        <f>Tabla13[[#This Row],[EC50 fish]]</f>
        <v>LC50 - Oncorhynchus mykiss (rainbow trout) - 6,3 mg/l - 96,0 h</v>
      </c>
      <c r="T123" s="2" t="str">
        <f>Tabla13[[#This Row],[EC50 daphnia]]</f>
        <v>EC50 - Daphnia magna (Water flea) - 0,013 mg/l - 48 h</v>
      </c>
      <c r="U123" s="2" t="e">
        <f>Tabla134[[#This Row],[Used amount of chemical for stocks (g)]]*1000/Tabla134[[#This Row],[Proposed stock concentration (g/L)]]</f>
        <v>#DIV/0!</v>
      </c>
      <c r="V123" s="100"/>
      <c r="W123" s="100">
        <f>Tabla134[[#This Row],[trials solubility (g  to be used)]]*1000/100</f>
        <v>0</v>
      </c>
      <c r="X123" s="100"/>
      <c r="Y123" s="100"/>
    </row>
    <row r="124" spans="1:25" ht="75">
      <c r="A124" s="10" t="s">
        <v>1038</v>
      </c>
      <c r="B124" s="10">
        <f>Tabla13[[#This Row],[Prec.Tox code]]</f>
        <v>0</v>
      </c>
      <c r="C124" s="2" t="str">
        <f>Tabla1[[#This Row],[CAS number]]</f>
        <v>759-94-4</v>
      </c>
      <c r="D124" s="2"/>
      <c r="E124" s="2">
        <f>Tabla13[[#This Row],['[max.'] to reach 100% mortality (mg/L)]]/1000</f>
        <v>1.7</v>
      </c>
      <c r="F124" s="2">
        <f>Tabla13[[#This Row],[Needed amount of chemical (g); Stefan UFZ calculations]]/5</f>
        <v>3.7862818934178324E-2</v>
      </c>
      <c r="G124" s="2">
        <f>MAX(Tabla134[[#This Row],['[max.'] to reach 100% mortality (g/L) Leitat]:['[max.'] to reach baseline toxicity (g/L) UFZ]])*1000</f>
        <v>1700</v>
      </c>
      <c r="H124" s="2">
        <f>Tabla1[[#This Row],[Solubility (DMSO)]]</f>
        <v>0</v>
      </c>
      <c r="I124" s="2" t="str">
        <f>Tabla1[[#This Row],[Solubility (H2O)]]</f>
        <v>0,344 g/l - partly soluble</v>
      </c>
      <c r="J124" s="2"/>
      <c r="K124" s="2"/>
      <c r="L124" s="21"/>
      <c r="M124" s="83" t="str">
        <f>Tabla1[[#This Row],[(exempted g or ml)]]</f>
        <v>Not regulated; any amount limit in internal packages</v>
      </c>
      <c r="N124" s="74">
        <f>Tabla134[[#This Row],[Proposed stock volume (per partner; ml -or g-)]]*7</f>
        <v>0</v>
      </c>
      <c r="O124" s="70">
        <f>Tabla13[[#This Row],[Total amount to be purchased (g or ml)]]</f>
        <v>0</v>
      </c>
      <c r="P124" s="78">
        <f>Tabla13[[#This Row],[Needed amount of chemical (g); Ruben Leitat calculations]]</f>
        <v>10.199999999999999</v>
      </c>
      <c r="Q124" s="78">
        <f>Tabla13[[#This Row],[Needed amount of chemical (g); Stefan UFZ calculations]]</f>
        <v>0.18931409467089161</v>
      </c>
      <c r="R124" s="2"/>
      <c r="S124" s="2" t="str">
        <f>Tabla13[[#This Row],[EC50 fish]]</f>
        <v>flow-through test LC50 - Cyprinodon variegatus (sheepshead minnow) - ca. 17 mg/l - 96 h (US-EPA)</v>
      </c>
      <c r="T124" s="2" t="str">
        <f>Tabla13[[#This Row],[EC50 daphnia]]</f>
        <v>static test EC50 - Daphnia magna (Water flea) - ca. 4,8 - 8,4 mg/l -
48 h</v>
      </c>
      <c r="U124" s="2" t="e">
        <f>Tabla134[[#This Row],[Used amount of chemical for stocks (g)]]*1000/Tabla134[[#This Row],[Proposed stock concentration (g/L)]]</f>
        <v>#DIV/0!</v>
      </c>
      <c r="V124" s="100"/>
      <c r="W124" s="100">
        <f>Tabla134[[#This Row],[trials solubility (g  to be used)]]*1000/100</f>
        <v>0</v>
      </c>
      <c r="X124" s="100"/>
      <c r="Y124" s="100"/>
    </row>
    <row r="125" spans="1:25" ht="45">
      <c r="A125" s="10" t="s">
        <v>1044</v>
      </c>
      <c r="B125" s="10">
        <f>Tabla13[[#This Row],[Prec.Tox code]]</f>
        <v>0</v>
      </c>
      <c r="C125" s="2" t="str">
        <f>Tabla1[[#This Row],[CAS number]]</f>
        <v>1007-28-9</v>
      </c>
      <c r="D125" s="2"/>
      <c r="E125" s="2">
        <f>Tabla13[[#This Row],['[max.'] to reach 100% mortality (mg/L)]]/1000</f>
        <v>53.570000000000007</v>
      </c>
      <c r="F125" s="2">
        <f>Tabla13[[#This Row],[Needed amount of chemical (g); Stefan UFZ calculations]]/5</f>
        <v>1.5519455452964959</v>
      </c>
      <c r="G125" s="2">
        <f>MAX(Tabla134[[#This Row],['[max.'] to reach 100% mortality (g/L) Leitat]:['[max.'] to reach baseline toxicity (g/L) UFZ]])*1000</f>
        <v>53570.000000000007</v>
      </c>
      <c r="H125" s="2" t="str">
        <f>Tabla1[[#This Row],[Solubility (DMSO)]]</f>
        <v>'Slightly Soluble''</v>
      </c>
      <c r="I125" s="2" t="str">
        <f>Tabla1[[#This Row],[Solubility (H2O)]]</f>
        <v>insoluble</v>
      </c>
      <c r="J125" s="2"/>
      <c r="K125" s="2"/>
      <c r="L125" s="21"/>
      <c r="M125" s="83" t="str">
        <f>Tabla1[[#This Row],[(exempted g or ml)]]</f>
        <v>Not regulated; any amount limit in internal packages</v>
      </c>
      <c r="N125" s="74">
        <f>Tabla134[[#This Row],[Proposed stock volume (per partner; ml -or g-)]]*7</f>
        <v>0</v>
      </c>
      <c r="O125" s="70">
        <f>Tabla13[[#This Row],[Total amount to be purchased (g or ml)]]</f>
        <v>0</v>
      </c>
      <c r="P125" s="78">
        <f>Tabla13[[#This Row],[Needed amount of chemical (g); Ruben Leitat calculations]]</f>
        <v>321.42000000000007</v>
      </c>
      <c r="Q125" s="78">
        <f>Tabla13[[#This Row],[Needed amount of chemical (g); Stefan UFZ calculations]]</f>
        <v>7.7597277264824793</v>
      </c>
      <c r="R125" s="2"/>
      <c r="S125" s="2" t="str">
        <f>Tabla13[[#This Row],[EC50 fish]]</f>
        <v>535,7 mg/L based on predicted baseline toxicity zebrafish EC50 96h</v>
      </c>
      <c r="T125" s="2" t="str">
        <f>Tabla13[[#This Row],[EC50 daphnia]]</f>
        <v>?</v>
      </c>
      <c r="U125" s="2" t="e">
        <f>Tabla134[[#This Row],[Used amount of chemical for stocks (g)]]*1000/Tabla134[[#This Row],[Proposed stock concentration (g/L)]]</f>
        <v>#DIV/0!</v>
      </c>
      <c r="V125" s="100"/>
      <c r="W125" s="100">
        <f>Tabla134[[#This Row],[trials solubility (g  to be used)]]*1000/100</f>
        <v>0</v>
      </c>
      <c r="X125" s="100"/>
      <c r="Y125" s="100"/>
    </row>
    <row r="126" spans="1:25" ht="45">
      <c r="A126" s="10" t="s">
        <v>1048</v>
      </c>
      <c r="B126" s="10">
        <f>Tabla13[[#This Row],[Prec.Tox code]]</f>
        <v>0</v>
      </c>
      <c r="C126" s="2" t="str">
        <f>Tabla1[[#This Row],[CAS number]]</f>
        <v>924-16-3</v>
      </c>
      <c r="D126" s="2"/>
      <c r="E126" s="2">
        <f>Tabla13[[#This Row],['[max.'] to reach 100% mortality (mg/L)]]/1000</f>
        <v>6.85</v>
      </c>
      <c r="F126" s="2">
        <f>Tabla13[[#This Row],[Needed amount of chemical (g); Stefan UFZ calculations]]/5</f>
        <v>8.9812934549307666E-2</v>
      </c>
      <c r="G126" s="2">
        <f>MAX(Tabla134[[#This Row],['[max.'] to reach 100% mortality (g/L) Leitat]:['[max.'] to reach baseline toxicity (g/L) UFZ]])*1000</f>
        <v>6850</v>
      </c>
      <c r="H126" s="2" t="str">
        <f>Tabla1[[#This Row],[Solubility (DMSO)]]</f>
        <v>250 mg/ml</v>
      </c>
      <c r="I126" s="2" t="str">
        <f>Tabla1[[#This Row],[Solubility (H2O)]]</f>
        <v>1,199 g/L</v>
      </c>
      <c r="J126" s="2"/>
      <c r="K126" s="2"/>
      <c r="L126" s="21"/>
      <c r="M126" s="83" t="str">
        <f>Tabla1[[#This Row],[(exempted g or ml)]]</f>
        <v>Not regulated; any amount limit in internal packages</v>
      </c>
      <c r="N126" s="74">
        <f>Tabla134[[#This Row],[Proposed stock volume (per partner; ml -or g-)]]*7</f>
        <v>0</v>
      </c>
      <c r="O126" s="70">
        <f>Tabla13[[#This Row],[Total amount to be purchased (g or ml)]]</f>
        <v>0</v>
      </c>
      <c r="P126" s="78">
        <f>Tabla13[[#This Row],[Needed amount of chemical (g); Ruben Leitat calculations]]</f>
        <v>41.099999999999994</v>
      </c>
      <c r="Q126" s="78">
        <f>Tabla13[[#This Row],[Needed amount of chemical (g); Stefan UFZ calculations]]</f>
        <v>0.44906467274653833</v>
      </c>
      <c r="R126" s="2"/>
      <c r="S126" s="2" t="str">
        <f>Tabla13[[#This Row],[EC50 fish]]</f>
        <v>68,5 mg/L based on predicted baseline toxicity zebrafish 96h</v>
      </c>
      <c r="T126" s="2" t="str">
        <f>Tabla13[[#This Row],[EC50 daphnia]]</f>
        <v>?</v>
      </c>
      <c r="U126" s="2" t="e">
        <f>Tabla134[[#This Row],[Used amount of chemical for stocks (g)]]*1000/Tabla134[[#This Row],[Proposed stock concentration (g/L)]]</f>
        <v>#DIV/0!</v>
      </c>
      <c r="V126" s="100"/>
      <c r="W126" s="100">
        <f>Tabla134[[#This Row],[trials solubility (g  to be used)]]*1000/100</f>
        <v>0</v>
      </c>
      <c r="X126" s="100"/>
      <c r="Y126" s="100"/>
    </row>
    <row r="127" spans="1:25" ht="60">
      <c r="A127" s="10" t="s">
        <v>1055</v>
      </c>
      <c r="B127" s="10">
        <f>Tabla13[[#This Row],[Prec.Tox code]]</f>
        <v>0</v>
      </c>
      <c r="C127" s="2" t="str">
        <f>Tabla1[[#This Row],[CAS number]]</f>
        <v>23135-22-0</v>
      </c>
      <c r="D127" s="2"/>
      <c r="E127" s="2">
        <f>Tabla13[[#This Row],['[max.'] to reach 100% mortality (mg/L)]]/1000</f>
        <v>0.54800000000000004</v>
      </c>
      <c r="F127" s="2">
        <f>Tabla13[[#This Row],[Needed amount of chemical (g); Stefan UFZ calculations]]/5</f>
        <v>81.787209473519937</v>
      </c>
      <c r="G127" s="2">
        <f>MAX(Tabla134[[#This Row],['[max.'] to reach 100% mortality (g/L) Leitat]:['[max.'] to reach baseline toxicity (g/L) UFZ]])*1000</f>
        <v>81787.209473519935</v>
      </c>
      <c r="H127" s="2">
        <f>Tabla1[[#This Row],[Solubility (DMSO)]]</f>
        <v>0</v>
      </c>
      <c r="I127" s="2" t="str">
        <f>Tabla1[[#This Row],[Solubility (H2O)]]</f>
        <v>280 g/l</v>
      </c>
      <c r="J127" s="2"/>
      <c r="K127" s="2"/>
      <c r="L127" s="21"/>
      <c r="M127" s="83" t="str">
        <f>Tabla1[[#This Row],[(exempted g or ml)]]</f>
        <v>Not regulated; any amount limit in internal packages</v>
      </c>
      <c r="N127" s="74">
        <f>Tabla134[[#This Row],[Proposed stock volume (per partner; ml -or g-)]]*7</f>
        <v>0</v>
      </c>
      <c r="O127" s="70">
        <f>Tabla13[[#This Row],[Total amount to be purchased (g or ml)]]</f>
        <v>0</v>
      </c>
      <c r="P127" s="78">
        <f>Tabla13[[#This Row],[Needed amount of chemical (g); Ruben Leitat calculations]]</f>
        <v>3.2880000000000003</v>
      </c>
      <c r="Q127" s="78">
        <f>Tabla13[[#This Row],[Needed amount of chemical (g); Stefan UFZ calculations]]</f>
        <v>408.93604736759966</v>
      </c>
      <c r="R127" s="2"/>
      <c r="S127" s="2" t="str">
        <f>Tabla13[[#This Row],[EC50 fish]]</f>
        <v>LC50 - Pimephales promelas (fathead minnow) - 5,48 mg/l - 96,0 h</v>
      </c>
      <c r="T127" s="2" t="str">
        <f>Tabla13[[#This Row],[EC50 daphnia]]</f>
        <v>EC50 - Daphnia magna (Water flea) - 0,42 mg/l - 48 h</v>
      </c>
      <c r="U127" s="2" t="e">
        <f>Tabla134[[#This Row],[Used amount of chemical for stocks (g)]]*1000/Tabla134[[#This Row],[Proposed stock concentration (g/L)]]</f>
        <v>#DIV/0!</v>
      </c>
      <c r="V127" s="100"/>
      <c r="W127" s="100">
        <f>Tabla134[[#This Row],[trials solubility (g  to be used)]]*1000/100</f>
        <v>0</v>
      </c>
      <c r="X127" s="100"/>
      <c r="Y127" s="100"/>
    </row>
    <row r="128" spans="1:25" ht="45">
      <c r="A128" s="10" t="s">
        <v>1061</v>
      </c>
      <c r="B128" s="10">
        <f>Tabla13[[#This Row],[Prec.Tox code]]</f>
        <v>0</v>
      </c>
      <c r="C128" s="2" t="str">
        <f>Tabla1[[#This Row],[CAS number]]</f>
        <v>81335-37-7</v>
      </c>
      <c r="D128" s="2"/>
      <c r="E128" s="2">
        <f>Tabla13[[#This Row],['[max.'] to reach 100% mortality (mg/L)]]/1000</f>
        <v>42</v>
      </c>
      <c r="F128" s="2">
        <f>Tabla13[[#This Row],[Needed amount of chemical (g); Stefan UFZ calculations]]/5</f>
        <v>5.2977372642053933</v>
      </c>
      <c r="G128" s="2">
        <f>MAX(Tabla134[[#This Row],['[max.'] to reach 100% mortality (g/L) Leitat]:['[max.'] to reach baseline toxicity (g/L) UFZ]])*1000</f>
        <v>42000</v>
      </c>
      <c r="H128" s="2" t="str">
        <f>Tabla1[[#This Row],[Solubility (DMSO)]]</f>
        <v>15,9g/100ml</v>
      </c>
      <c r="I128" s="2" t="str">
        <f>Tabla1[[#This Row],[Solubility (H2O)]]</f>
        <v>0,6g/l</v>
      </c>
      <c r="J128" s="2"/>
      <c r="K128" s="2"/>
      <c r="L128" s="21"/>
      <c r="M128" s="83" t="str">
        <f>Tabla1[[#This Row],[(exempted g or ml)]]</f>
        <v>Not regulated; any amount limit in internal packages</v>
      </c>
      <c r="N128" s="74">
        <f>Tabla134[[#This Row],[Proposed stock volume (per partner; ml -or g-)]]*7</f>
        <v>0</v>
      </c>
      <c r="O128" s="70">
        <f>Tabla13[[#This Row],[Total amount to be purchased (g or ml)]]</f>
        <v>0</v>
      </c>
      <c r="P128" s="78">
        <f>Tabla13[[#This Row],[Needed amount of chemical (g); Ruben Leitat calculations]]</f>
        <v>252</v>
      </c>
      <c r="Q128" s="78">
        <f>Tabla13[[#This Row],[Needed amount of chemical (g); Stefan UFZ calculations]]</f>
        <v>26.488686321026965</v>
      </c>
      <c r="R128" s="2"/>
      <c r="S128" s="2" t="str">
        <f>Tabla13[[#This Row],[EC50 fish]]</f>
        <v>LC50 - Lepomis macrochirus (Bluegill) - 420 mg/l - 96 h</v>
      </c>
      <c r="T128" s="2" t="str">
        <f>Tabla13[[#This Row],[EC50 daphnia]]</f>
        <v>EC50 - Daphnia magna (Water flea) - 280 mg/l - 48 h</v>
      </c>
      <c r="U128" s="2" t="e">
        <f>Tabla134[[#This Row],[Used amount of chemical for stocks (g)]]*1000/Tabla134[[#This Row],[Proposed stock concentration (g/L)]]</f>
        <v>#DIV/0!</v>
      </c>
      <c r="V128" s="100"/>
      <c r="W128" s="100">
        <f>Tabla134[[#This Row],[trials solubility (g  to be used)]]*1000/100</f>
        <v>0</v>
      </c>
      <c r="X128" s="100"/>
      <c r="Y128" s="100"/>
    </row>
    <row r="129" spans="1:25" ht="60">
      <c r="A129" s="10" t="s">
        <v>1068</v>
      </c>
      <c r="B129" s="10">
        <f>Tabla13[[#This Row],[Prec.Tox code]]</f>
        <v>0</v>
      </c>
      <c r="C129" s="2" t="str">
        <f>Tabla1[[#This Row],[CAS number]]</f>
        <v>57837-19-1</v>
      </c>
      <c r="D129" s="2"/>
      <c r="E129" s="2">
        <f>Tabla13[[#This Row],['[max.'] to reach 100% mortality (mg/L)]]/1000</f>
        <v>1.8399999999999999</v>
      </c>
      <c r="F129" s="2">
        <f>Tabla13[[#This Row],[Needed amount of chemical (g); Stefan UFZ calculations]]/5</f>
        <v>0.91310488478540974</v>
      </c>
      <c r="G129" s="2">
        <f>MAX(Tabla134[[#This Row],['[max.'] to reach 100% mortality (g/L) Leitat]:['[max.'] to reach baseline toxicity (g/L) UFZ]])*1000</f>
        <v>1839.9999999999998</v>
      </c>
      <c r="H129" s="2">
        <f>Tabla1[[#This Row],[Solubility (DMSO)]]</f>
        <v>0</v>
      </c>
      <c r="I129" s="2" t="str">
        <f>Tabla1[[#This Row],[Solubility (H2O)]]</f>
        <v>26 g/l</v>
      </c>
      <c r="J129" s="2"/>
      <c r="K129" s="2"/>
      <c r="L129" s="21"/>
      <c r="M129" s="83" t="str">
        <f>Tabla1[[#This Row],[(exempted g or ml)]]</f>
        <v>Not regulated; any amount limit in internal packages</v>
      </c>
      <c r="N129" s="74">
        <f>Tabla134[[#This Row],[Proposed stock volume (per partner; ml -or g-)]]*7</f>
        <v>0</v>
      </c>
      <c r="O129" s="70">
        <f>Tabla13[[#This Row],[Total amount to be purchased (g or ml)]]</f>
        <v>0</v>
      </c>
      <c r="P129" s="78">
        <f>Tabla13[[#This Row],[Needed amount of chemical (g); Ruben Leitat calculations]]</f>
        <v>11.04</v>
      </c>
      <c r="Q129" s="78">
        <f>Tabla13[[#This Row],[Needed amount of chemical (g); Stefan UFZ calculations]]</f>
        <v>4.5655244239270489</v>
      </c>
      <c r="R129" s="2"/>
      <c r="S129" s="2" t="str">
        <f>Tabla13[[#This Row],[EC50 fish]]</f>
        <v>static test LC50 - Oncorhynchus mykiss (rainbow trout) - 18,4 mg/l - 96 h (US-EPA)</v>
      </c>
      <c r="T129" s="2" t="str">
        <f>Tabla13[[#This Row],[EC50 daphnia]]</f>
        <v>EC50 48 hr Daphnia - 3.47 mg/l</v>
      </c>
      <c r="U129" s="2" t="e">
        <f>Tabla134[[#This Row],[Used amount of chemical for stocks (g)]]*1000/Tabla134[[#This Row],[Proposed stock concentration (g/L)]]</f>
        <v>#DIV/0!</v>
      </c>
      <c r="V129" s="100"/>
      <c r="W129" s="100">
        <f>Tabla134[[#This Row],[trials solubility (g  to be used)]]*1000/100</f>
        <v>0</v>
      </c>
      <c r="X129" s="100"/>
      <c r="Y129" s="100"/>
    </row>
    <row r="130" spans="1:25" ht="60">
      <c r="A130" s="10" t="s">
        <v>1074</v>
      </c>
      <c r="B130" s="10">
        <f>Tabla13[[#This Row],[Prec.Tox code]]</f>
        <v>0</v>
      </c>
      <c r="C130" s="2" t="str">
        <f>Tabla1[[#This Row],[CAS number]]</f>
        <v>113136-77-9</v>
      </c>
      <c r="D130" s="2"/>
      <c r="E130" s="2">
        <f>Tabla13[[#This Row],['[max.'] to reach 100% mortality (mg/L)]]/1000</f>
        <v>2</v>
      </c>
      <c r="F130" s="2">
        <f>Tabla13[[#This Row],[Needed amount of chemical (g); Stefan UFZ calculations]]/5</f>
        <v>0.82901734255013682</v>
      </c>
      <c r="G130" s="2">
        <f>MAX(Tabla134[[#This Row],['[max.'] to reach 100% mortality (g/L) Leitat]:['[max.'] to reach baseline toxicity (g/L) UFZ]])*1000</f>
        <v>2000</v>
      </c>
      <c r="H130" s="2">
        <f>Tabla1[[#This Row],[Solubility (DMSO)]]</f>
        <v>0</v>
      </c>
      <c r="I130" s="2" t="str">
        <f>Tabla1[[#This Row],[Solubility (H2O)]]</f>
        <v>0,049 g/l</v>
      </c>
      <c r="J130" s="2"/>
      <c r="K130" s="2"/>
      <c r="L130" s="21"/>
      <c r="M130" s="83" t="str">
        <f>Tabla1[[#This Row],[(exempted g or ml)]]</f>
        <v>Not regulated; any amount limit in internal packages</v>
      </c>
      <c r="N130" s="74">
        <f>Tabla134[[#This Row],[Proposed stock volume (per partner; ml -or g-)]]*7</f>
        <v>0</v>
      </c>
      <c r="O130" s="70">
        <f>Tabla13[[#This Row],[Total amount to be purchased (g or ml)]]</f>
        <v>0</v>
      </c>
      <c r="P130" s="78">
        <f>Tabla13[[#This Row],[Needed amount of chemical (g); Ruben Leitat calculations]]</f>
        <v>12</v>
      </c>
      <c r="Q130" s="78">
        <f>Tabla13[[#This Row],[Needed amount of chemical (g); Stefan UFZ calculations]]</f>
        <v>4.1450867127506843</v>
      </c>
      <c r="R130" s="2"/>
      <c r="S130" s="2" t="str">
        <f>Tabla13[[#This Row],[EC50 fish]]</f>
        <v>flow-through test LC50 - Oncorhynchus mykiss (rainbow trout) - &gt; 11 mg/l - 96 h Remarks: (ECHA)</v>
      </c>
      <c r="T130" s="2" t="str">
        <f>Tabla13[[#This Row],[EC50 daphnia]]</f>
        <v>EC50 - Crustacea - 11,3 mg/l - 48 h
Remarks: (ECHA)</v>
      </c>
      <c r="U130" s="2" t="e">
        <f>Tabla134[[#This Row],[Used amount of chemical for stocks (g)]]*1000/Tabla134[[#This Row],[Proposed stock concentration (g/L)]]</f>
        <v>#DIV/0!</v>
      </c>
      <c r="V130" s="100"/>
      <c r="W130" s="100">
        <f>Tabla134[[#This Row],[trials solubility (g  to be used)]]*1000/100</f>
        <v>0</v>
      </c>
      <c r="X130" s="100"/>
      <c r="Y130" s="100"/>
    </row>
    <row r="131" spans="1:25" ht="60">
      <c r="A131" s="10" t="s">
        <v>1080</v>
      </c>
      <c r="B131" s="10">
        <f>Tabla13[[#This Row],[Prec.Tox code]]</f>
        <v>0</v>
      </c>
      <c r="C131" s="2" t="str">
        <f>Tabla1[[#This Row],[CAS number]]</f>
        <v>1918-02-1</v>
      </c>
      <c r="D131" s="2"/>
      <c r="E131" s="2">
        <f>Tabla13[[#This Row],['[max.'] to reach 100% mortality (mg/L)]]/1000</f>
        <v>10</v>
      </c>
      <c r="F131" s="2">
        <f>Tabla13[[#This Row],[Needed amount of chemical (g); Stefan UFZ calculations]]/5</f>
        <v>0.86334466517396036</v>
      </c>
      <c r="G131" s="2">
        <f>MAX(Tabla134[[#This Row],['[max.'] to reach 100% mortality (g/L) Leitat]:['[max.'] to reach baseline toxicity (g/L) UFZ]])*1000</f>
        <v>10000</v>
      </c>
      <c r="H131" s="2">
        <f>Tabla1[[#This Row],[Solubility (DMSO)]]</f>
        <v>0</v>
      </c>
      <c r="I131" s="2" t="str">
        <f>Tabla1[[#This Row],[Solubility (H2O)]]</f>
        <v>420 mg/l</v>
      </c>
      <c r="J131" s="2"/>
      <c r="K131" s="2"/>
      <c r="L131" s="21"/>
      <c r="M131" s="83" t="str">
        <f>Tabla1[[#This Row],[(exempted g or ml)]]</f>
        <v>Not regulated; any amount limit in internal packages</v>
      </c>
      <c r="N131" s="74">
        <f>Tabla134[[#This Row],[Proposed stock volume (per partner; ml -or g-)]]*7</f>
        <v>0</v>
      </c>
      <c r="O131" s="70">
        <f>Tabla13[[#This Row],[Total amount to be purchased (g or ml)]]</f>
        <v>0</v>
      </c>
      <c r="P131" s="78">
        <f>Tabla13[[#This Row],[Needed amount of chemical (g); Ruben Leitat calculations]]</f>
        <v>60</v>
      </c>
      <c r="Q131" s="78">
        <f>Tabla13[[#This Row],[Needed amount of chemical (g); Stefan UFZ calculations]]</f>
        <v>4.3167233258698019</v>
      </c>
      <c r="R131" s="2"/>
      <c r="S131" s="2" t="str">
        <f>Tabla13[[#This Row],[EC50 fish]]</f>
        <v>19.3 mg/L for rainbow trout, 14.5 mg/L for bluegill sunfish, and 55 mg/L for fathead minnows</v>
      </c>
      <c r="T131" s="2" t="str">
        <f>Tabla13[[#This Row],[EC50 daphnia]]</f>
        <v>LC50 - Daphnia magna (Water flea) - 34,4 -100 mg/l - 48 h</v>
      </c>
      <c r="U131" s="2" t="e">
        <f>Tabla134[[#This Row],[Used amount of chemical for stocks (g)]]*1000/Tabla134[[#This Row],[Proposed stock concentration (g/L)]]</f>
        <v>#DIV/0!</v>
      </c>
      <c r="V131" s="100"/>
      <c r="W131" s="100">
        <f>Tabla134[[#This Row],[trials solubility (g  to be used)]]*1000/100</f>
        <v>0</v>
      </c>
      <c r="X131" s="100"/>
      <c r="Y131" s="100"/>
    </row>
    <row r="132" spans="1:25" ht="45">
      <c r="A132" s="10" t="s">
        <v>1087</v>
      </c>
      <c r="B132" s="10">
        <f>Tabla13[[#This Row],[Prec.Tox code]]</f>
        <v>0</v>
      </c>
      <c r="C132" s="2" t="str">
        <f>Tabla1[[#This Row],[CAS number]]</f>
        <v>219714-96-2</v>
      </c>
      <c r="D132" s="2"/>
      <c r="E132" s="2">
        <f>Tabla13[[#This Row],['[max.'] to reach 100% mortality (mg/L)]]/1000</f>
        <v>20</v>
      </c>
      <c r="F132" s="2">
        <f>Tabla13[[#This Row],[Needed amount of chemical (g); Stefan UFZ calculations]]/5</f>
        <v>1.9617594968673795</v>
      </c>
      <c r="G132" s="2">
        <f>MAX(Tabla134[[#This Row],['[max.'] to reach 100% mortality (g/L) Leitat]:['[max.'] to reach baseline toxicity (g/L) UFZ]])*1000</f>
        <v>20000</v>
      </c>
      <c r="H132" s="2" t="str">
        <f>Tabla1[[#This Row],[Solubility (DMSO)]]</f>
        <v>'Slightly Soluble''</v>
      </c>
      <c r="I132" s="2" t="str">
        <f>Tabla1[[#This Row],[Solubility (H2O)]]</f>
        <v>0,0049 - 1,46 g/l</v>
      </c>
      <c r="J132" s="2"/>
      <c r="K132" s="2"/>
      <c r="L132" s="21"/>
      <c r="M132" s="83" t="str">
        <f>Tabla1[[#This Row],[(exempted g or ml)]]</f>
        <v>Not regulated; any amount limit in internal packages</v>
      </c>
      <c r="N132" s="74">
        <f>Tabla134[[#This Row],[Proposed stock volume (per partner; ml -or g-)]]*7</f>
        <v>0</v>
      </c>
      <c r="O132" s="70">
        <f>Tabla13[[#This Row],[Total amount to be purchased (g or ml)]]</f>
        <v>0</v>
      </c>
      <c r="P132" s="78">
        <f>Tabla13[[#This Row],[Needed amount of chemical (g); Ruben Leitat calculations]]</f>
        <v>120</v>
      </c>
      <c r="Q132" s="78">
        <f>Tabla13[[#This Row],[Needed amount of chemical (g); Stefan UFZ calculations]]</f>
        <v>9.8087974843368979</v>
      </c>
      <c r="R132" s="2"/>
      <c r="S132" s="2" t="str">
        <f>Tabla13[[#This Row],[EC50 fish]]</f>
        <v>LC50 - Oncorhynchus mykiss (rainbow trout) - &gt; 100 mg/l - 96 h</v>
      </c>
      <c r="T132" s="2" t="str">
        <f>Tabla13[[#This Row],[EC50 daphnia]]</f>
        <v>EC50 - Daphnia (water flea) - 98,3 mg/l - 48 h</v>
      </c>
      <c r="U132" s="2" t="e">
        <f>Tabla134[[#This Row],[Used amount of chemical for stocks (g)]]*1000/Tabla134[[#This Row],[Proposed stock concentration (g/L)]]</f>
        <v>#DIV/0!</v>
      </c>
      <c r="V132" s="100"/>
      <c r="W132" s="100">
        <f>Tabla134[[#This Row],[trials solubility (g  to be used)]]*1000/100</f>
        <v>0</v>
      </c>
      <c r="X132" s="100"/>
      <c r="Y132" s="100"/>
    </row>
    <row r="133" spans="1:25" ht="45">
      <c r="A133" s="10" t="s">
        <v>1093</v>
      </c>
      <c r="B133" s="10">
        <f>Tabla13[[#This Row],[Prec.Tox code]]</f>
        <v>0</v>
      </c>
      <c r="C133" s="2" t="str">
        <f>Tabla1[[#This Row],[CAS number]]</f>
        <v>94-82-6</v>
      </c>
      <c r="D133" s="2"/>
      <c r="E133" s="2">
        <f>Tabla13[[#This Row],['[max.'] to reach 100% mortality (mg/L)]]/1000</f>
        <v>2.5</v>
      </c>
      <c r="F133" s="2">
        <f>Tabla13[[#This Row],[Needed amount of chemical (g); Stefan UFZ calculations]]/5</f>
        <v>0.16604305598996189</v>
      </c>
      <c r="G133" s="2">
        <f>MAX(Tabla134[[#This Row],['[max.'] to reach 100% mortality (g/L) Leitat]:['[max.'] to reach baseline toxicity (g/L) UFZ]])*1000</f>
        <v>2500</v>
      </c>
      <c r="H133" s="2" t="str">
        <f>Tabla1[[#This Row],[Solubility (DMSO)]]</f>
        <v>approximately 30 mg/ml</v>
      </c>
      <c r="I133" s="2" t="str">
        <f>Tabla1[[#This Row],[Solubility (H2O)]]</f>
        <v>24,3 g /l</v>
      </c>
      <c r="J133" s="2"/>
      <c r="K133" s="2"/>
      <c r="L133" s="21"/>
      <c r="M133" s="83" t="str">
        <f>Tabla1[[#This Row],[(exempted g or ml)]]</f>
        <v>Not regulated; any amount limit in internal packages</v>
      </c>
      <c r="N133" s="74">
        <f>Tabla134[[#This Row],[Proposed stock volume (per partner; ml -or g-)]]*7</f>
        <v>0</v>
      </c>
      <c r="O133" s="70">
        <f>Tabla13[[#This Row],[Total amount to be purchased (g or ml)]]</f>
        <v>0</v>
      </c>
      <c r="P133" s="78">
        <f>Tabla13[[#This Row],[Needed amount of chemical (g); Ruben Leitat calculations]]</f>
        <v>15</v>
      </c>
      <c r="Q133" s="78">
        <f>Tabla13[[#This Row],[Needed amount of chemical (g); Stefan UFZ calculations]]</f>
        <v>0.83021527994980948</v>
      </c>
      <c r="R133" s="2"/>
      <c r="S133" s="2" t="str">
        <f>Tabla13[[#This Row],[EC50 fish]]</f>
        <v>LC50 - Oncorhynchus mykiss (rainbow trout) - 1,97 mg/l - 96,0 h</v>
      </c>
      <c r="T133" s="2" t="str">
        <f>Tabla13[[#This Row],[EC50 daphnia]]</f>
        <v>EC50 - Daphnia magna (Water flea) - 25 mg/l - 48 h</v>
      </c>
      <c r="U133" s="2" t="e">
        <f>Tabla134[[#This Row],[Used amount of chemical for stocks (g)]]*1000/Tabla134[[#This Row],[Proposed stock concentration (g/L)]]</f>
        <v>#DIV/0!</v>
      </c>
      <c r="V133" s="100"/>
      <c r="W133" s="100">
        <f>Tabla134[[#This Row],[trials solubility (g  to be used)]]*1000/100</f>
        <v>0</v>
      </c>
      <c r="X133" s="100"/>
      <c r="Y133" s="100"/>
    </row>
    <row r="134" spans="1:25" ht="30">
      <c r="A134" s="10" t="s">
        <v>1100</v>
      </c>
      <c r="B134" s="10">
        <f>Tabla13[[#This Row],[Prec.Tox code]]</f>
        <v>0</v>
      </c>
      <c r="C134" s="2" t="str">
        <f>Tabla1[[#This Row],[CAS number]]</f>
        <v>962-58-3</v>
      </c>
      <c r="D134" s="2"/>
      <c r="E134" s="2">
        <f>Tabla13[[#This Row],['[max.'] to reach 100% mortality (mg/L)]]/1000</f>
        <v>1.331</v>
      </c>
      <c r="F134" s="2">
        <f>Tabla13[[#This Row],[Needed amount of chemical (g); Stefan UFZ calculations]]/5</f>
        <v>6.2909840041862175</v>
      </c>
      <c r="G134" s="2">
        <f>MAX(Tabla134[[#This Row],['[max.'] to reach 100% mortality (g/L) Leitat]:['[max.'] to reach baseline toxicity (g/L) UFZ]])*1000</f>
        <v>6290.9840041862171</v>
      </c>
      <c r="H134" s="2">
        <f>Tabla1[[#This Row],[Solubility (DMSO)]]</f>
        <v>0</v>
      </c>
      <c r="I134" s="2" t="str">
        <f>Tabla1[[#This Row],[Solubility (H2O)]]</f>
        <v>5.29 g/L</v>
      </c>
      <c r="J134" s="2"/>
      <c r="K134" s="2"/>
      <c r="L134" s="21"/>
      <c r="M134" s="83">
        <f>Tabla1[[#This Row],[(exempted g or ml)]]</f>
        <v>30</v>
      </c>
      <c r="N134" s="74">
        <f>Tabla134[[#This Row],[Proposed stock volume (per partner; ml -or g-)]]*7</f>
        <v>0</v>
      </c>
      <c r="O134" s="70">
        <f>Tabla13[[#This Row],[Total amount to be purchased (g or ml)]]</f>
        <v>0</v>
      </c>
      <c r="P134" s="78">
        <f>Tabla13[[#This Row],[Needed amount of chemical (g); Ruben Leitat calculations]]</f>
        <v>7.9859999999999998</v>
      </c>
      <c r="Q134" s="78">
        <f>Tabla13[[#This Row],[Needed amount of chemical (g); Stefan UFZ calculations]]</f>
        <v>31.454920020931088</v>
      </c>
      <c r="R134" s="2"/>
      <c r="S134" s="2" t="str">
        <f>Tabla13[[#This Row],[EC50 fish]]</f>
        <v>13,31 mg/L 120h zebrafish EC50</v>
      </c>
      <c r="T134" s="2" t="str">
        <f>Tabla13[[#This Row],[EC50 daphnia]]</f>
        <v>?</v>
      </c>
      <c r="U134" s="2" t="e">
        <f>Tabla134[[#This Row],[Used amount of chemical for stocks (g)]]*1000/Tabla134[[#This Row],[Proposed stock concentration (g/L)]]</f>
        <v>#DIV/0!</v>
      </c>
      <c r="V134" s="100"/>
      <c r="W134" s="100">
        <f>Tabla134[[#This Row],[trials solubility (g  to be used)]]*1000/100</f>
        <v>0</v>
      </c>
      <c r="X134" s="100"/>
      <c r="Y134" s="100"/>
    </row>
    <row r="135" spans="1:25" ht="144" customHeight="1">
      <c r="A135" s="10" t="s">
        <v>1107</v>
      </c>
      <c r="B135" s="10">
        <f>Tabla13[[#This Row],[Prec.Tox code]]</f>
        <v>0</v>
      </c>
      <c r="C135" s="2" t="str">
        <f>Tabla1[[#This Row],[CAS number]]</f>
        <v>122-34-9</v>
      </c>
      <c r="D135" s="2"/>
      <c r="E135" s="2">
        <f>Tabla13[[#This Row],['[max.'] to reach 100% mortality (mg/L)]]/1000</f>
        <v>11.8</v>
      </c>
      <c r="F135" s="2">
        <f>Tabla13[[#This Row],[Needed amount of chemical (g); Stefan UFZ calculations]]/5</f>
        <v>0.25517028678380982</v>
      </c>
      <c r="G135" s="2">
        <f>MAX(Tabla134[[#This Row],['[max.'] to reach 100% mortality (g/L) Leitat]:['[max.'] to reach baseline toxicity (g/L) UFZ]])*1000</f>
        <v>11800</v>
      </c>
      <c r="H135" s="2" t="str">
        <f>Tabla1[[#This Row],[Solubility (DMSO)]]</f>
        <v>'Soluble''</v>
      </c>
      <c r="I135" s="2" t="str">
        <f>Tabla1[[#This Row],[Solubility (H2O)]]</f>
        <v>0,005 g/l</v>
      </c>
      <c r="J135" s="2"/>
      <c r="K135" s="2"/>
      <c r="L135" s="21"/>
      <c r="M135" s="83" t="str">
        <f>Tabla1[[#This Row],[(exempted g or ml)]]</f>
        <v>Not regulated; any amount limit in internal packages</v>
      </c>
      <c r="N135" s="74">
        <f>Tabla134[[#This Row],[Proposed stock volume (per partner; ml -or g-)]]*7</f>
        <v>0</v>
      </c>
      <c r="O135" s="70">
        <f>Tabla13[[#This Row],[Total amount to be purchased (g or ml)]]</f>
        <v>0</v>
      </c>
      <c r="P135" s="78">
        <f>Tabla13[[#This Row],[Needed amount of chemical (g); Ruben Leitat calculations]]</f>
        <v>70.800000000000011</v>
      </c>
      <c r="Q135" s="78">
        <f>Tabla13[[#This Row],[Needed amount of chemical (g); Stefan UFZ calculations]]</f>
        <v>1.275851433919049</v>
      </c>
      <c r="R135" s="2"/>
      <c r="S135" s="2" t="str">
        <f>Tabla13[[#This Row],[EC50 fish]]</f>
        <v>flow-through test LC50 - Cyprinodon variegatus (sheepshead minnow) - &gt; 4,3 mg/l - 96 h
LC50 96 h: &gt; 10 mg/L static
(Oncorhynchus mykiss)
LC50 96 h: 3.5 - 7.15 mg/L
static (Pimephales promelas)
LC50 96 h: = 56 mg/L
(Oncorhynchus mykiss)
LC50 96 h: = 82 mg/L
semi-static (Oncorhynchus
mykiss) LC50 96 h: = 118
mg/L (Lepomis
macrochirus) LC50 96 h:
9.9 - 26 mg/L static (Lepomis
macrochirus) LC50 96 h: =
49 mg/L static (Poecilia
reticulata)</v>
      </c>
      <c r="T135" s="2" t="str">
        <f>Tabla13[[#This Row],[EC50 daphnia]]</f>
        <v xml:space="preserve">EC50 48 h: 0.56 - 2.2 mg/L
Static (Daphnia magna) </v>
      </c>
      <c r="U135" s="2" t="e">
        <f>Tabla134[[#This Row],[Used amount of chemical for stocks (g)]]*1000/Tabla134[[#This Row],[Proposed stock concentration (g/L)]]</f>
        <v>#DIV/0!</v>
      </c>
      <c r="V135" s="100"/>
      <c r="W135" s="100">
        <f>Tabla134[[#This Row],[trials solubility (g  to be used)]]*1000/100</f>
        <v>0</v>
      </c>
      <c r="X135" s="100"/>
      <c r="Y135" s="100"/>
    </row>
    <row r="136" spans="1:25" ht="60">
      <c r="A136" s="10" t="s">
        <v>1114</v>
      </c>
      <c r="B136" s="10">
        <f>Tabla13[[#This Row],[Prec.Tox code]]</f>
        <v>0</v>
      </c>
      <c r="C136" s="2" t="str">
        <f>Tabla1[[#This Row],[CAS number]]</f>
        <v>75-60-5</v>
      </c>
      <c r="D136" s="2"/>
      <c r="E136" s="2">
        <f>Tabla13[[#This Row],['[max.'] to reach 100% mortality (mg/L)]]/1000</f>
        <v>18</v>
      </c>
      <c r="F136" s="2" t="e">
        <f>Tabla13[[#This Row],[Needed amount of chemical (g); Stefan UFZ calculations]]/5</f>
        <v>#VALUE!</v>
      </c>
      <c r="G136" s="2" t="e">
        <f>MAX(Tabla134[[#This Row],['[max.'] to reach 100% mortality (g/L) Leitat]:['[max.'] to reach baseline toxicity (g/L) UFZ]])*1000</f>
        <v>#VALUE!</v>
      </c>
      <c r="H136" s="2">
        <f>Tabla1[[#This Row],[Solubility (DMSO)]]</f>
        <v>0</v>
      </c>
      <c r="I136" s="2" t="str">
        <f>Tabla1[[#This Row],[Solubility (H2O)]]</f>
        <v>50 g/l</v>
      </c>
      <c r="J136" s="2"/>
      <c r="K136" s="2"/>
      <c r="L136" s="21"/>
      <c r="M136" s="83" t="str">
        <f>Tabla1[[#This Row],[(exempted g or ml)]]</f>
        <v>Not regulated; any amount limit in internal packages</v>
      </c>
      <c r="N136" s="74">
        <f>Tabla134[[#This Row],[Proposed stock volume (per partner; ml -or g-)]]*7</f>
        <v>0</v>
      </c>
      <c r="O136" s="70">
        <f>Tabla13[[#This Row],[Total amount to be purchased (g or ml)]]</f>
        <v>0</v>
      </c>
      <c r="P136" s="78">
        <f>Tabla13[[#This Row],[Needed amount of chemical (g); Ruben Leitat calculations]]</f>
        <v>108</v>
      </c>
      <c r="Q136" s="78" t="e">
        <f>Tabla13[[#This Row],[Needed amount of chemical (g); Stefan UFZ calculations]]</f>
        <v>#VALUE!</v>
      </c>
      <c r="R136" s="2"/>
      <c r="S136" s="2" t="str">
        <f>Tabla13[[#This Row],[EC50 fish]]</f>
        <v>LC50 - Lepomis macrochirus (Bluegill sunfish) - 180 mg/l - 96 h</v>
      </c>
      <c r="T136" s="2" t="str">
        <f>Tabla13[[#This Row],[EC50 daphnia]]</f>
        <v>EC50 Daphnia magna (Water flea): 53,5 mg/l; 48 h (of the sodium salt)</v>
      </c>
      <c r="U136" s="2" t="e">
        <f>Tabla134[[#This Row],[Used amount of chemical for stocks (g)]]*1000/Tabla134[[#This Row],[Proposed stock concentration (g/L)]]</f>
        <v>#DIV/0!</v>
      </c>
      <c r="V136" s="100"/>
      <c r="W136" s="100">
        <f>Tabla134[[#This Row],[trials solubility (g  to be used)]]*1000/100</f>
        <v>0</v>
      </c>
      <c r="X136" s="100"/>
      <c r="Y136" s="100"/>
    </row>
    <row r="137" spans="1:25" ht="90">
      <c r="A137" s="10" t="s">
        <v>1120</v>
      </c>
      <c r="B137" s="10">
        <f>Tabla13[[#This Row],[Prec.Tox code]]</f>
        <v>0</v>
      </c>
      <c r="C137" s="2" t="str">
        <f>Tabla1[[#This Row],[CAS number]]</f>
        <v>60-51-5</v>
      </c>
      <c r="D137" s="2"/>
      <c r="E137" s="2">
        <f>Tabla13[[#This Row],['[max.'] to reach 100% mortality (mg/L)]]/1000</f>
        <v>0.75</v>
      </c>
      <c r="F137" s="2">
        <f>Tabla13[[#This Row],[Needed amount of chemical (g); Stefan UFZ calculations]]/5</f>
        <v>5.6066894650682011</v>
      </c>
      <c r="G137" s="2">
        <f>MAX(Tabla134[[#This Row],['[max.'] to reach 100% mortality (g/L) Leitat]:['[max.'] to reach baseline toxicity (g/L) UFZ]])*1000</f>
        <v>5606.6894650682007</v>
      </c>
      <c r="H137" s="2" t="str">
        <f>Tabla1[[#This Row],[Solubility (DMSO)]]</f>
        <v>'Slightly Soluble''</v>
      </c>
      <c r="I137" s="2" t="str">
        <f>Tabla1[[#This Row],[Solubility (H2O)]]</f>
        <v>23,5 g/l</v>
      </c>
      <c r="J137" s="2"/>
      <c r="K137" s="2"/>
      <c r="L137" s="21"/>
      <c r="M137" s="83" t="str">
        <f>Tabla1[[#This Row],[(exempted g or ml)]]</f>
        <v>Not regulated; any amount limit in internal packages</v>
      </c>
      <c r="N137" s="74">
        <f>Tabla134[[#This Row],[Proposed stock volume (per partner; ml -or g-)]]*7</f>
        <v>0</v>
      </c>
      <c r="O137" s="70">
        <f>Tabla13[[#This Row],[Total amount to be purchased (g or ml)]]</f>
        <v>0</v>
      </c>
      <c r="P137" s="78">
        <f>Tabla13[[#This Row],[Needed amount of chemical (g); Ruben Leitat calculations]]</f>
        <v>4.5</v>
      </c>
      <c r="Q137" s="78">
        <f>Tabla13[[#This Row],[Needed amount of chemical (g); Stefan UFZ calculations]]</f>
        <v>28.033447325341005</v>
      </c>
      <c r="R137" s="2"/>
      <c r="S137" s="2" t="str">
        <f>Tabla13[[#This Row],[EC50 fish]]</f>
        <v>static test LC50 - Salmo gairdneri - 7,5 mg/l - 96 h</v>
      </c>
      <c r="T137" s="2" t="str">
        <f>Tabla13[[#This Row],[EC50 daphnia]]</f>
        <v>Immobilization EC50 - Daphnia magna (Water flea) - 5,4 mg/l - 48 h
(OECD Test Guideline 202)</v>
      </c>
      <c r="U137" s="2" t="e">
        <f>Tabla134[[#This Row],[Used amount of chemical for stocks (g)]]*1000/Tabla134[[#This Row],[Proposed stock concentration (g/L)]]</f>
        <v>#DIV/0!</v>
      </c>
      <c r="V137" s="100"/>
      <c r="W137" s="100">
        <f>Tabla134[[#This Row],[trials solubility (g  to be used)]]*1000/100</f>
        <v>0</v>
      </c>
      <c r="X137" s="100"/>
      <c r="Y137" s="100"/>
    </row>
    <row r="138" spans="1:25" ht="75">
      <c r="A138" s="10" t="s">
        <v>1126</v>
      </c>
      <c r="B138" s="10">
        <f>Tabla13[[#This Row],[Prec.Tox code]]</f>
        <v>0</v>
      </c>
      <c r="C138" s="2" t="str">
        <f>Tabla1[[#This Row],[CAS number]]</f>
        <v>74115-24-5</v>
      </c>
      <c r="D138" s="2"/>
      <c r="E138" s="2">
        <f>Tabla13[[#This Row],['[max.'] to reach 100% mortality (mg/L)]]/1000</f>
        <v>1.5E-3</v>
      </c>
      <c r="F138" s="2">
        <f>Tabla13[[#This Row],[Needed amount of chemical (g); Stefan UFZ calculations]]/5</f>
        <v>7.385894953520071E-2</v>
      </c>
      <c r="G138" s="2">
        <f>MAX(Tabla134[[#This Row],['[max.'] to reach 100% mortality (g/L) Leitat]:['[max.'] to reach baseline toxicity (g/L) UFZ]])*1000</f>
        <v>73.858949535200708</v>
      </c>
      <c r="H138" s="2" t="str">
        <f>Tabla1[[#This Row],[Solubility (DMSO)]]</f>
        <v>15,5mg/ml</v>
      </c>
      <c r="I138" s="2" t="str">
        <f>Tabla1[[#This Row],[Solubility (H2O)]]</f>
        <v>0,0342 mg/l</v>
      </c>
      <c r="J138" s="2"/>
      <c r="K138" s="2"/>
      <c r="L138" s="21"/>
      <c r="M138" s="83" t="str">
        <f>Tabla1[[#This Row],[(exempted g or ml)]]</f>
        <v>Not regulated; any amount limit in internal packages</v>
      </c>
      <c r="N138" s="74">
        <f>Tabla134[[#This Row],[Proposed stock volume (per partner; ml -or g-)]]*7</f>
        <v>0</v>
      </c>
      <c r="O138" s="70">
        <f>Tabla13[[#This Row],[Total amount to be purchased (g or ml)]]</f>
        <v>0</v>
      </c>
      <c r="P138" s="78">
        <f>Tabla13[[#This Row],[Needed amount of chemical (g); Ruben Leitat calculations]]</f>
        <v>8.9999999999999993E-3</v>
      </c>
      <c r="Q138" s="78">
        <f>Tabla13[[#This Row],[Needed amount of chemical (g); Stefan UFZ calculations]]</f>
        <v>0.36929474767600357</v>
      </c>
      <c r="R138" s="2"/>
      <c r="S138" s="2" t="str">
        <f>Tabla13[[#This Row],[EC50 fish]]</f>
        <v>LC50 - Oncorhynchus mykiss (rainbow trout) - &gt; 0,015 mg/l - 96 h</v>
      </c>
      <c r="T138" s="2" t="str">
        <f>Tabla13[[#This Row],[EC50 daphnia]]</f>
        <v>EC50 - Daphnia magna (Water flea) - &gt; 0,84 µg/l - 48 h
Remarks: (ECOTOX Database</v>
      </c>
      <c r="U138" s="2" t="e">
        <f>Tabla134[[#This Row],[Used amount of chemical for stocks (g)]]*1000/Tabla134[[#This Row],[Proposed stock concentration (g/L)]]</f>
        <v>#DIV/0!</v>
      </c>
      <c r="V138" s="100"/>
      <c r="W138" s="100">
        <f>Tabla134[[#This Row],[trials solubility (g  to be used)]]*1000/100</f>
        <v>0</v>
      </c>
      <c r="X138" s="100"/>
      <c r="Y138" s="100"/>
    </row>
    <row r="139" spans="1:25" ht="45">
      <c r="A139" s="10" t="s">
        <v>1133</v>
      </c>
      <c r="B139" s="10">
        <f>Tabla13[[#This Row],[Prec.Tox code]]</f>
        <v>0</v>
      </c>
      <c r="C139" s="2" t="str">
        <f>Tabla1[[#This Row],[CAS number]]</f>
        <v>128-95-0</v>
      </c>
      <c r="D139" s="2"/>
      <c r="E139" s="2">
        <f>Tabla13[[#This Row],['[max.'] to reach 100% mortality (mg/L)]]/1000</f>
        <v>0</v>
      </c>
      <c r="F139" s="2">
        <f>Tabla13[[#This Row],[Needed amount of chemical (g); Stefan UFZ calculations]]/5</f>
        <v>6.9697876335562459E-2</v>
      </c>
      <c r="G139" s="2">
        <f>MAX(Tabla134[[#This Row],['[max.'] to reach 100% mortality (g/L) Leitat]:['[max.'] to reach baseline toxicity (g/L) UFZ]])*1000</f>
        <v>69.697876335562455</v>
      </c>
      <c r="H139" s="2" t="str">
        <f>Tabla1[[#This Row],[Solubility (DMSO)]]</f>
        <v>'Slightly Soluble''</v>
      </c>
      <c r="I139" s="2" t="str">
        <f>Tabla1[[#This Row],[Solubility (H2O)]]</f>
        <v>0,00016 g/l</v>
      </c>
      <c r="J139" s="2"/>
      <c r="K139" s="2"/>
      <c r="L139" s="21"/>
      <c r="M139" s="83" t="str">
        <f>Tabla1[[#This Row],[(exempted g or ml)]]</f>
        <v>Not regulated; any amount limit in internal packages</v>
      </c>
      <c r="N139" s="74">
        <f>Tabla134[[#This Row],[Proposed stock volume (per partner; ml -or g-)]]*7</f>
        <v>0</v>
      </c>
      <c r="O139" s="70">
        <f>Tabla13[[#This Row],[Total amount to be purchased (g or ml)]]</f>
        <v>0</v>
      </c>
      <c r="P139" s="78" t="str">
        <f>Tabla13[[#This Row],[Needed amount of chemical (g); Ruben Leitat calculations]]</f>
        <v>unknown</v>
      </c>
      <c r="Q139" s="78">
        <f>Tabla13[[#This Row],[Needed amount of chemical (g); Stefan UFZ calculations]]</f>
        <v>0.34848938167781229</v>
      </c>
      <c r="R139" s="2"/>
      <c r="S139" s="2" t="str">
        <f>Tabla13[[#This Row],[EC50 fish]]</f>
        <v>?</v>
      </c>
      <c r="T139" s="2" t="str">
        <f>Tabla13[[#This Row],[EC50 daphnia]]</f>
        <v>?</v>
      </c>
      <c r="U139" s="2" t="e">
        <f>Tabla134[[#This Row],[Used amount of chemical for stocks (g)]]*1000/Tabla134[[#This Row],[Proposed stock concentration (g/L)]]</f>
        <v>#DIV/0!</v>
      </c>
      <c r="V139" s="100"/>
      <c r="W139" s="100">
        <f>Tabla134[[#This Row],[trials solubility (g  to be used)]]*1000/100</f>
        <v>0</v>
      </c>
      <c r="X139" s="100"/>
      <c r="Y139" s="100"/>
    </row>
    <row r="140" spans="1:25" ht="105">
      <c r="A140" s="10" t="s">
        <v>1137</v>
      </c>
      <c r="B140" s="10">
        <f>Tabla13[[#This Row],[Prec.Tox code]]</f>
        <v>0</v>
      </c>
      <c r="C140" s="2" t="str">
        <f>Tabla1[[#This Row],[CAS number]]</f>
        <v>81-55-0</v>
      </c>
      <c r="D140" s="2"/>
      <c r="E140" s="2">
        <f>Tabla13[[#This Row],['[max.'] to reach 100% mortality (mg/L)]]/1000</f>
        <v>0</v>
      </c>
      <c r="F140" s="2">
        <f>Tabla13[[#This Row],[Needed amount of chemical (g); Stefan UFZ calculations]]/5</f>
        <v>1.7408771910274659</v>
      </c>
      <c r="G140" s="2">
        <f>MAX(Tabla134[[#This Row],['[max.'] to reach 100% mortality (g/L) Leitat]:['[max.'] to reach baseline toxicity (g/L) UFZ]])*1000</f>
        <v>1740.8771910274659</v>
      </c>
      <c r="H140" s="2" t="str">
        <f>Tabla1[[#This Row],[Solubility (DMSO)]]</f>
        <v>≥ 100 mg/ml</v>
      </c>
      <c r="I140" s="2" t="str">
        <f>Tabla1[[#This Row],[Solubility (H2O)]]</f>
        <v>&lt; 0,1 g/l</v>
      </c>
      <c r="J140" s="2"/>
      <c r="K140" s="2"/>
      <c r="L140" s="21"/>
      <c r="M140" s="83" t="str">
        <f>Tabla1[[#This Row],[(exempted g or ml)]]</f>
        <v>Not regulated; any amount limit in internal packages</v>
      </c>
      <c r="N140" s="74">
        <f>Tabla134[[#This Row],[Proposed stock volume (per partner; ml -or g-)]]*7</f>
        <v>0</v>
      </c>
      <c r="O140" s="70">
        <f>Tabla13[[#This Row],[Total amount to be purchased (g or ml)]]</f>
        <v>0</v>
      </c>
      <c r="P140" s="78" t="str">
        <f>Tabla13[[#This Row],[Needed amount of chemical (g); Ruben Leitat calculations]]</f>
        <v>unknown</v>
      </c>
      <c r="Q140" s="78">
        <f>Tabla13[[#This Row],[Needed amount of chemical (g); Stefan UFZ calculations]]</f>
        <v>8.7043859551373295</v>
      </c>
      <c r="R140" s="2"/>
      <c r="S140" s="2" t="str">
        <f>Tabla13[[#This Row],[EC50 fish]]</f>
        <v>?
ECOSAR analysis indicates the target substance to have a high potential for aquatic toxicity (EC50 below 1)</v>
      </c>
      <c r="T140" s="2" t="str">
        <f>Tabla13[[#This Row],[EC50 daphnia]]</f>
        <v>?
ECOSAR analysis indicates the target substance to have a high potential for aquatic toxicity (EC50 below 1)</v>
      </c>
      <c r="U140" s="2" t="e">
        <f>Tabla134[[#This Row],[Used amount of chemical for stocks (g)]]*1000/Tabla134[[#This Row],[Proposed stock concentration (g/L)]]</f>
        <v>#DIV/0!</v>
      </c>
      <c r="V140" s="100"/>
      <c r="W140" s="100">
        <f>Tabla134[[#This Row],[trials solubility (g  to be used)]]*1000/100</f>
        <v>0</v>
      </c>
      <c r="X140" s="100"/>
      <c r="Y140" s="100"/>
    </row>
    <row r="141" spans="1:25" ht="45">
      <c r="A141" s="10" t="s">
        <v>1143</v>
      </c>
      <c r="B141" s="10">
        <f>Tabla13[[#This Row],[Prec.Tox code]]</f>
        <v>0</v>
      </c>
      <c r="C141" s="2" t="str">
        <f>Tabla1[[#This Row],[CAS number]]</f>
        <v>117-79-3</v>
      </c>
      <c r="D141" s="2"/>
      <c r="E141" s="2">
        <f>Tabla13[[#This Row],['[max.'] to reach 100% mortality (mg/L)]]/1000</f>
        <v>1000</v>
      </c>
      <c r="F141" s="2">
        <f>Tabla13[[#This Row],[Needed amount of chemical (g); Stefan UFZ calculations]]/5</f>
        <v>4.0301441745716399E-2</v>
      </c>
      <c r="G141" s="2">
        <f>MAX(Tabla134[[#This Row],['[max.'] to reach 100% mortality (g/L) Leitat]:['[max.'] to reach baseline toxicity (g/L) UFZ]])*1000</f>
        <v>1000000</v>
      </c>
      <c r="H141" s="2" t="str">
        <f>Tabla1[[#This Row],[Solubility (DMSO)]]</f>
        <v>10-50 mg/ml</v>
      </c>
      <c r="I141" s="2" t="str">
        <f>Tabla1[[#This Row],[Solubility (H2O)]]</f>
        <v>&lt; 1 g/l</v>
      </c>
      <c r="J141" s="2"/>
      <c r="K141" s="2"/>
      <c r="L141" s="21"/>
      <c r="M141" s="83" t="str">
        <f>Tabla1[[#This Row],[(exempted g or ml)]]</f>
        <v>Not regulated; any amount limit in internal packages</v>
      </c>
      <c r="N141" s="74">
        <f>Tabla134[[#This Row],[Proposed stock volume (per partner; ml -or g-)]]*7</f>
        <v>0</v>
      </c>
      <c r="O141" s="70">
        <f>Tabla13[[#This Row],[Total amount to be purchased (g or ml)]]</f>
        <v>0</v>
      </c>
      <c r="P141" s="78">
        <f>Tabla13[[#This Row],[Needed amount of chemical (g); Ruben Leitat calculations]]</f>
        <v>6000</v>
      </c>
      <c r="Q141" s="78">
        <f>Tabla13[[#This Row],[Needed amount of chemical (g); Stefan UFZ calculations]]</f>
        <v>0.20150720872858199</v>
      </c>
      <c r="R141" s="2"/>
      <c r="S141" s="2" t="str">
        <f>Tabla13[[#This Row],[EC50 fish]]</f>
        <v>LC50: &gt; 10000 mg/L, 96h; static (Leuciscus idus)</v>
      </c>
      <c r="T141" s="2" t="str">
        <f>Tabla13[[#This Row],[EC50 daphnia]]</f>
        <v>EC50 - Daphnia magna (Water flea) - &gt; 378 mg/l - 48 h</v>
      </c>
      <c r="U141" s="2" t="e">
        <f>Tabla134[[#This Row],[Used amount of chemical for stocks (g)]]*1000/Tabla134[[#This Row],[Proposed stock concentration (g/L)]]</f>
        <v>#DIV/0!</v>
      </c>
      <c r="V141" s="100"/>
      <c r="W141" s="100">
        <f>Tabla134[[#This Row],[trials solubility (g  to be used)]]*1000/100</f>
        <v>0</v>
      </c>
      <c r="X141" s="100"/>
      <c r="Y141" s="100"/>
    </row>
    <row r="142" spans="1:25" ht="45">
      <c r="A142" s="10" t="s">
        <v>1150</v>
      </c>
      <c r="B142" s="10">
        <f>Tabla13[[#This Row],[Prec.Tox code]]</f>
        <v>0</v>
      </c>
      <c r="C142" s="2" t="str">
        <f>Tabla1[[#This Row],[CAS number]]</f>
        <v>569-61-9</v>
      </c>
      <c r="D142" s="2"/>
      <c r="E142" s="2">
        <f>Tabla13[[#This Row],['[max.'] to reach 100% mortality (mg/L)]]/1000</f>
        <v>0</v>
      </c>
      <c r="F142" s="2">
        <f>Tabla13[[#This Row],[Needed amount of chemical (g); Stefan UFZ calculations]]/5</f>
        <v>902.53354115237812</v>
      </c>
      <c r="G142" s="2">
        <f>MAX(Tabla134[[#This Row],['[max.'] to reach 100% mortality (g/L) Leitat]:['[max.'] to reach baseline toxicity (g/L) UFZ]])*1000</f>
        <v>902533.54115237808</v>
      </c>
      <c r="H142" s="2">
        <f>Tabla1[[#This Row],[Solubility (DMSO)]]</f>
        <v>0</v>
      </c>
      <c r="I142" s="2" t="str">
        <f>Tabla1[[#This Row],[Solubility (H2O)]]</f>
        <v>10 g/l</v>
      </c>
      <c r="J142" s="2"/>
      <c r="K142" s="2"/>
      <c r="L142" s="21"/>
      <c r="M142" s="83" t="str">
        <f>Tabla1[[#This Row],[(exempted g or ml)]]</f>
        <v>Not regulated; any amount limit in internal packages</v>
      </c>
      <c r="N142" s="74">
        <f>Tabla134[[#This Row],[Proposed stock volume (per partner; ml -or g-)]]*7</f>
        <v>0</v>
      </c>
      <c r="O142" s="70">
        <f>Tabla13[[#This Row],[Total amount to be purchased (g or ml)]]</f>
        <v>0</v>
      </c>
      <c r="P142" s="78" t="str">
        <f>Tabla13[[#This Row],[Needed amount of chemical (g); Ruben Leitat calculations]]</f>
        <v>unknown</v>
      </c>
      <c r="Q142" s="78">
        <f>Tabla13[[#This Row],[Needed amount of chemical (g); Stefan UFZ calculations]]</f>
        <v>4512.6677057618908</v>
      </c>
      <c r="R142" s="2"/>
      <c r="S142" s="2" t="str">
        <f>Tabla13[[#This Row],[EC50 fish]]</f>
        <v>?</v>
      </c>
      <c r="T142" s="2" t="str">
        <f>Tabla13[[#This Row],[EC50 daphnia]]</f>
        <v>?</v>
      </c>
      <c r="U142" s="2" t="e">
        <f>Tabla134[[#This Row],[Used amount of chemical for stocks (g)]]*1000/Tabla134[[#This Row],[Proposed stock concentration (g/L)]]</f>
        <v>#DIV/0!</v>
      </c>
      <c r="V142" s="100"/>
      <c r="W142" s="100">
        <f>Tabla134[[#This Row],[trials solubility (g  to be used)]]*1000/100</f>
        <v>0</v>
      </c>
      <c r="X142" s="100"/>
      <c r="Y142" s="100"/>
    </row>
    <row r="143" spans="1:25" ht="45">
      <c r="A143" s="10" t="s">
        <v>1155</v>
      </c>
      <c r="B143" s="10">
        <f>Tabla13[[#This Row],[Prec.Tox code]]</f>
        <v>0</v>
      </c>
      <c r="C143" s="2" t="str">
        <f>Tabla1[[#This Row],[CAS number]]</f>
        <v>122453-73-0</v>
      </c>
      <c r="D143" s="2"/>
      <c r="E143" s="2">
        <f>Tabla13[[#This Row],['[max.'] to reach 100% mortality (mg/L)]]/1000</f>
        <v>1E-3</v>
      </c>
      <c r="F143" s="2">
        <f>Tabla13[[#This Row],[Needed amount of chemical (g); Stefan UFZ calculations]]/5</f>
        <v>2.1655558723753202E-2</v>
      </c>
      <c r="G143" s="2">
        <f>MAX(Tabla134[[#This Row],['[max.'] to reach 100% mortality (g/L) Leitat]:['[max.'] to reach baseline toxicity (g/L) UFZ]])*1000</f>
        <v>21.655558723753202</v>
      </c>
      <c r="H143" s="2" t="str">
        <f>Tabla1[[#This Row],[Solubility (DMSO)]]</f>
        <v>250 mg/mL</v>
      </c>
      <c r="I143" s="2" t="str">
        <f>Tabla1[[#This Row],[Solubility (H2O)]]</f>
        <v>0.14 mg/l</v>
      </c>
      <c r="J143" s="2"/>
      <c r="K143" s="2"/>
      <c r="L143" s="21"/>
      <c r="M143" s="83" t="str">
        <f>Tabla1[[#This Row],[(exempted g or ml)]]</f>
        <v>Not regulated; any amount limit in internal packages</v>
      </c>
      <c r="N143" s="74">
        <f>Tabla134[[#This Row],[Proposed stock volume (per partner; ml -or g-)]]*7</f>
        <v>0</v>
      </c>
      <c r="O143" s="70">
        <f>Tabla13[[#This Row],[Total amount to be purchased (g or ml)]]</f>
        <v>0</v>
      </c>
      <c r="P143" s="78">
        <f>Tabla13[[#This Row],[Needed amount of chemical (g); Ruben Leitat calculations]]</f>
        <v>6.0000000000000001E-3</v>
      </c>
      <c r="Q143" s="78">
        <f>Tabla13[[#This Row],[Needed amount of chemical (g); Stefan UFZ calculations]]</f>
        <v>0.10827779361876601</v>
      </c>
      <c r="R143" s="2"/>
      <c r="S143" s="2" t="str">
        <f>Tabla13[[#This Row],[EC50 fish]]</f>
        <v>LC50 - Oncorhynchus mykiss (rainbow trout) - &lt; 0,01 mg/l - 96,0 h</v>
      </c>
      <c r="T143" s="2" t="str">
        <f>Tabla13[[#This Row],[EC50 daphnia]]</f>
        <v>EC50 - Daphnia magna (Water flea) - &lt; 0,01 mg/l - 96 h</v>
      </c>
      <c r="U143" s="2" t="e">
        <f>Tabla134[[#This Row],[Used amount of chemical for stocks (g)]]*1000/Tabla134[[#This Row],[Proposed stock concentration (g/L)]]</f>
        <v>#DIV/0!</v>
      </c>
      <c r="V143" s="100"/>
      <c r="W143" s="100">
        <f>Tabla134[[#This Row],[trials solubility (g  to be used)]]*1000/100</f>
        <v>0</v>
      </c>
      <c r="X143" s="100"/>
      <c r="Y143" s="100"/>
    </row>
    <row r="144" spans="1:25" ht="105">
      <c r="A144" s="10" t="s">
        <v>1162</v>
      </c>
      <c r="B144" s="10">
        <f>Tabla13[[#This Row],[Prec.Tox code]]</f>
        <v>0</v>
      </c>
      <c r="C144" s="2" t="str">
        <f>Tabla1[[#This Row],[CAS number]]</f>
        <v>3691-35-8</v>
      </c>
      <c r="D144" s="2"/>
      <c r="E144" s="2">
        <f>Tabla13[[#This Row],['[max.'] to reach 100% mortality (mg/L)]]/1000</f>
        <v>6.4000000000000001E-2</v>
      </c>
      <c r="F144" s="2">
        <f>Tabla13[[#This Row],[Needed amount of chemical (g); Stefan UFZ calculations]]/5</f>
        <v>9.4900366082274992E-2</v>
      </c>
      <c r="G144" s="2">
        <f>MAX(Tabla134[[#This Row],['[max.'] to reach 100% mortality (g/L) Leitat]:['[max.'] to reach baseline toxicity (g/L) UFZ]])*1000</f>
        <v>94.900366082274999</v>
      </c>
      <c r="H144" s="2" t="str">
        <f>Tabla1[[#This Row],[Solubility (DMSO)]]</f>
        <v>'Soluble''</v>
      </c>
      <c r="I144" s="2" t="str">
        <f>Tabla1[[#This Row],[Solubility (H2O)]]</f>
        <v>insoluble</v>
      </c>
      <c r="J144" s="2"/>
      <c r="K144" s="2"/>
      <c r="L144" s="21"/>
      <c r="M144" s="83" t="str">
        <f>Tabla1[[#This Row],[(exempted g or ml)]]</f>
        <v>Not regulated; any amount limit in internal packages</v>
      </c>
      <c r="N144" s="74">
        <f>Tabla134[[#This Row],[Proposed stock volume (per partner; ml -or g-)]]*7</f>
        <v>0</v>
      </c>
      <c r="O144" s="70">
        <f>Tabla13[[#This Row],[Total amount to be purchased (g or ml)]]</f>
        <v>0</v>
      </c>
      <c r="P144" s="78">
        <f>Tabla13[[#This Row],[Needed amount of chemical (g); Ruben Leitat calculations]]</f>
        <v>0.38400000000000006</v>
      </c>
      <c r="Q144" s="78">
        <f>Tabla13[[#This Row],[Needed amount of chemical (g); Stefan UFZ calculations]]</f>
        <v>0.47450183041137495</v>
      </c>
      <c r="R144" s="2"/>
      <c r="S144" s="2" t="str">
        <f>Tabla13[[#This Row],[EC50 fish]]</f>
        <v>flow-through test LC50 - Oncorhynchus mykiss (rainbow trout) - 0,45 mg/l - 96 h (OECD Test Guideline 203)</v>
      </c>
      <c r="T144" s="2" t="str">
        <f>Tabla13[[#This Row],[EC50 daphnia]]</f>
        <v>flow-through test EC50 - Daphnia magna (Water flea) - 0,64 mg/l -
48 h
(OECD Test Guideline 202)</v>
      </c>
      <c r="U144" s="2" t="e">
        <f>Tabla134[[#This Row],[Used amount of chemical for stocks (g)]]*1000/Tabla134[[#This Row],[Proposed stock concentration (g/L)]]</f>
        <v>#DIV/0!</v>
      </c>
      <c r="V144" s="100"/>
      <c r="W144" s="100">
        <f>Tabla134[[#This Row],[trials solubility (g  to be used)]]*1000/100</f>
        <v>0</v>
      </c>
      <c r="X144" s="100"/>
      <c r="Y144" s="100"/>
    </row>
    <row r="145" spans="1:25" ht="60">
      <c r="A145" s="10" t="s">
        <v>1167</v>
      </c>
      <c r="B145" s="10">
        <f>Tabla13[[#This Row],[Prec.Tox code]]</f>
        <v>0</v>
      </c>
      <c r="C145" s="2" t="str">
        <f>Tabla1[[#This Row],[CAS number]]</f>
        <v>101831-37-2</v>
      </c>
      <c r="D145" s="2"/>
      <c r="E145" s="2">
        <f>Tabla13[[#This Row],['[max.'] to reach 100% mortality (mg/L)]]/1000</f>
        <v>6.3E-2</v>
      </c>
      <c r="F145" s="2">
        <f>Tabla13[[#This Row],[Needed amount of chemical (g); Stefan UFZ calculations]]/5</f>
        <v>0.47255005217588941</v>
      </c>
      <c r="G145" s="2">
        <f>MAX(Tabla134[[#This Row],['[max.'] to reach 100% mortality (g/L) Leitat]:['[max.'] to reach baseline toxicity (g/L) UFZ]])*1000</f>
        <v>472.55005217588939</v>
      </c>
      <c r="H145" s="2" t="str">
        <f>Tabla1[[#This Row],[Solubility (DMSO)]]</f>
        <v>16 mg/mL</v>
      </c>
      <c r="I145" s="2" t="str">
        <f>Tabla1[[#This Row],[Solubility (H2O)]]</f>
        <v>insoluble</v>
      </c>
      <c r="J145" s="2"/>
      <c r="K145" s="2"/>
      <c r="L145" s="21"/>
      <c r="M145" s="83" t="str">
        <f>Tabla1[[#This Row],[(exempted g or ml)]]</f>
        <v>Not regulated; any amount limit in internal packages</v>
      </c>
      <c r="N145" s="74">
        <f>Tabla134[[#This Row],[Proposed stock volume (per partner; ml -or g-)]]*7</f>
        <v>0</v>
      </c>
      <c r="O145" s="70">
        <f>Tabla13[[#This Row],[Total amount to be purchased (g or ml)]]</f>
        <v>0</v>
      </c>
      <c r="P145" s="78">
        <f>Tabla13[[#This Row],[Needed amount of chemical (g); Ruben Leitat calculations]]</f>
        <v>0.378</v>
      </c>
      <c r="Q145" s="78">
        <f>Tabla13[[#This Row],[Needed amount of chemical (g); Stefan UFZ calculations]]</f>
        <v>2.3627502608794471</v>
      </c>
      <c r="R145" s="2"/>
      <c r="S145" s="2" t="str">
        <f>Tabla13[[#This Row],[EC50 fish]]</f>
        <v>LC50 (Lepomis macrochirus (Bluegill sunfish)): 0.58 mg/l
Exposure time: 96 h</v>
      </c>
      <c r="T145" s="2" t="str">
        <f>Tabla13[[#This Row],[EC50 daphnia]]</f>
        <v>EC50 (Daphnia magna (Water flea)): &gt; 0.63 mg/l
Exposure time: 48 h</v>
      </c>
      <c r="U145" s="2" t="e">
        <f>Tabla134[[#This Row],[Used amount of chemical for stocks (g)]]*1000/Tabla134[[#This Row],[Proposed stock concentration (g/L)]]</f>
        <v>#DIV/0!</v>
      </c>
      <c r="V145" s="100"/>
      <c r="W145" s="100">
        <f>Tabla134[[#This Row],[trials solubility (g  to be used)]]*1000/100</f>
        <v>0</v>
      </c>
      <c r="X145" s="100"/>
      <c r="Y145" s="100"/>
    </row>
    <row r="146" spans="1:25" ht="45">
      <c r="A146" s="10" t="s">
        <v>1173</v>
      </c>
      <c r="B146" s="10">
        <f>Tabla13[[#This Row],[Prec.Tox code]]</f>
        <v>0</v>
      </c>
      <c r="C146" s="2" t="str">
        <f>Tabla1[[#This Row],[CAS number]]</f>
        <v>102-07-8</v>
      </c>
      <c r="D146" s="2"/>
      <c r="E146" s="2">
        <f>Tabla13[[#This Row],['[max.'] to reach 100% mortality (mg/L)]]/1000</f>
        <v>0</v>
      </c>
      <c r="F146" s="2">
        <f>Tabla13[[#This Row],[Needed amount of chemical (g); Stefan UFZ calculations]]/5</f>
        <v>6.1828058561318643E-2</v>
      </c>
      <c r="G146" s="2">
        <f>MAX(Tabla134[[#This Row],['[max.'] to reach 100% mortality (g/L) Leitat]:['[max.'] to reach baseline toxicity (g/L) UFZ]])*1000</f>
        <v>61.828058561318642</v>
      </c>
      <c r="H146" s="2">
        <f>Tabla1[[#This Row],[Solubility (DMSO)]]</f>
        <v>0</v>
      </c>
      <c r="I146" s="2" t="str">
        <f>Tabla1[[#This Row],[Solubility (H2O)]]</f>
        <v>0,0912 mg/l</v>
      </c>
      <c r="J146" s="2"/>
      <c r="K146" s="2"/>
      <c r="L146" s="21"/>
      <c r="M146" s="83" t="str">
        <f>Tabla1[[#This Row],[(exempted g or ml)]]</f>
        <v>Not regulated; any amount limit in internal packages</v>
      </c>
      <c r="N146" s="74">
        <f>Tabla134[[#This Row],[Proposed stock volume (per partner; ml -or g-)]]*7</f>
        <v>0</v>
      </c>
      <c r="O146" s="70">
        <f>Tabla13[[#This Row],[Total amount to be purchased (g or ml)]]</f>
        <v>0</v>
      </c>
      <c r="P146" s="78" t="str">
        <f>Tabla13[[#This Row],[Needed amount of chemical (g); Ruben Leitat calculations]]</f>
        <v>unknown</v>
      </c>
      <c r="Q146" s="78">
        <f>Tabla13[[#This Row],[Needed amount of chemical (g); Stefan UFZ calculations]]</f>
        <v>0.30914029280659322</v>
      </c>
      <c r="R146" s="2"/>
      <c r="S146" s="2" t="str">
        <f>Tabla13[[#This Row],[EC50 fish]]</f>
        <v>?</v>
      </c>
      <c r="T146" s="2" t="str">
        <f>Tabla13[[#This Row],[EC50 daphnia]]</f>
        <v>?</v>
      </c>
      <c r="U146" s="2" t="e">
        <f>Tabla134[[#This Row],[Used amount of chemical for stocks (g)]]*1000/Tabla134[[#This Row],[Proposed stock concentration (g/L)]]</f>
        <v>#DIV/0!</v>
      </c>
      <c r="V146" s="100"/>
      <c r="W146" s="100">
        <f>Tabla134[[#This Row],[trials solubility (g  to be used)]]*1000/100</f>
        <v>0</v>
      </c>
      <c r="X146" s="100"/>
      <c r="Y146" s="100"/>
    </row>
    <row r="147" spans="1:25" ht="45">
      <c r="A147" s="10" t="s">
        <v>1177</v>
      </c>
      <c r="B147" s="10">
        <f>Tabla13[[#This Row],[Prec.Tox code]]</f>
        <v>0</v>
      </c>
      <c r="C147" s="2" t="str">
        <f>Tabla1[[#This Row],[CAS number]]</f>
        <v>518-82-1</v>
      </c>
      <c r="D147" s="2"/>
      <c r="E147" s="2">
        <f>Tabla13[[#This Row],['[max.'] to reach 100% mortality (mg/L)]]/1000</f>
        <v>0.315</v>
      </c>
      <c r="F147" s="2">
        <f>Tabla13[[#This Row],[Needed amount of chemical (g); Stefan UFZ calculations]]/5</f>
        <v>0.51536878097432948</v>
      </c>
      <c r="G147" s="2">
        <f>MAX(Tabla134[[#This Row],['[max.'] to reach 100% mortality (g/L) Leitat]:['[max.'] to reach baseline toxicity (g/L) UFZ]])*1000</f>
        <v>515.36878097432952</v>
      </c>
      <c r="H147" s="2" t="str">
        <f>Tabla1[[#This Row],[Solubility (DMSO)]]</f>
        <v>1,5 mg/ml</v>
      </c>
      <c r="I147" s="2" t="str">
        <f>Tabla1[[#This Row],[Solubility (H2O)]]</f>
        <v>&lt;1 g /l</v>
      </c>
      <c r="J147" s="2"/>
      <c r="K147" s="2"/>
      <c r="L147" s="21"/>
      <c r="M147" s="83" t="str">
        <f>Tabla1[[#This Row],[(exempted g or ml)]]</f>
        <v>Not regulated; any amount limit in internal packages</v>
      </c>
      <c r="N147" s="74">
        <f>Tabla134[[#This Row],[Proposed stock volume (per partner; ml -or g-)]]*7</f>
        <v>0</v>
      </c>
      <c r="O147" s="70">
        <f>Tabla13[[#This Row],[Total amount to be purchased (g or ml)]]</f>
        <v>0</v>
      </c>
      <c r="P147" s="78">
        <f>Tabla13[[#This Row],[Needed amount of chemical (g); Ruben Leitat calculations]]</f>
        <v>1.8899999999999997</v>
      </c>
      <c r="Q147" s="78">
        <f>Tabla13[[#This Row],[Needed amount of chemical (g); Stefan UFZ calculations]]</f>
        <v>2.5768439048716472</v>
      </c>
      <c r="R147" s="2"/>
      <c r="S147" s="2" t="str">
        <f>Tabla13[[#This Row],[EC50 fish]]</f>
        <v>96 h LC50, grass carp: 3.15 mg/L</v>
      </c>
      <c r="T147" s="2" t="str">
        <f>Tabla13[[#This Row],[EC50 daphnia]]</f>
        <v>?</v>
      </c>
      <c r="U147" s="2" t="e">
        <f>Tabla134[[#This Row],[Used amount of chemical for stocks (g)]]*1000/Tabla134[[#This Row],[Proposed stock concentration (g/L)]]</f>
        <v>#DIV/0!</v>
      </c>
      <c r="V147" s="100"/>
      <c r="W147" s="100">
        <f>Tabla134[[#This Row],[trials solubility (g  to be used)]]*1000/100</f>
        <v>0</v>
      </c>
      <c r="X147" s="100"/>
      <c r="Y147" s="100"/>
    </row>
    <row r="148" spans="1:25" ht="45">
      <c r="A148" s="10" t="s">
        <v>1183</v>
      </c>
      <c r="B148" s="10">
        <f>Tabla13[[#This Row],[Prec.Tox code]]</f>
        <v>0</v>
      </c>
      <c r="C148" s="2" t="str">
        <f>Tabla1[[#This Row],[CAS number]]</f>
        <v>370-86-5</v>
      </c>
      <c r="D148" s="2"/>
      <c r="E148" s="2">
        <f>Tabla13[[#This Row],['[max.'] to reach 100% mortality (mg/L)]]/1000</f>
        <v>0</v>
      </c>
      <c r="F148" s="2" t="e">
        <f>Tabla13[[#This Row],[Needed amount of chemical (g); Stefan UFZ calculations]]/5</f>
        <v>#REF!</v>
      </c>
      <c r="G148" s="2" t="e">
        <f>MAX(Tabla134[[#This Row],['[max.'] to reach 100% mortality (g/L) Leitat]:['[max.'] to reach baseline toxicity (g/L) UFZ]])*1000</f>
        <v>#REF!</v>
      </c>
      <c r="H148" s="2" t="str">
        <f>Tabla1[[#This Row],[Solubility (DMSO)]]</f>
        <v>50 mg/ml</v>
      </c>
      <c r="I148" s="2" t="str">
        <f>Tabla1[[#This Row],[Solubility (H2O)]]</f>
        <v>insoluble</v>
      </c>
      <c r="J148" s="2"/>
      <c r="K148" s="2"/>
      <c r="L148" s="21"/>
      <c r="M148" s="83" t="str">
        <f>Tabla1[[#This Row],[(exempted g or ml)]]</f>
        <v>Not regulated; any amount limit in internal packages</v>
      </c>
      <c r="N148" s="74">
        <f>Tabla134[[#This Row],[Proposed stock volume (per partner; ml -or g-)]]*7</f>
        <v>0</v>
      </c>
      <c r="O148" s="70">
        <f>Tabla13[[#This Row],[Total amount to be purchased (g or ml)]]</f>
        <v>0</v>
      </c>
      <c r="P148" s="78" t="str">
        <f>Tabla13[[#This Row],[Needed amount of chemical (g); Ruben Leitat calculations]]</f>
        <v>unknown</v>
      </c>
      <c r="Q148" s="78" t="e">
        <f>Tabla13[[#This Row],[Needed amount of chemical (g); Stefan UFZ calculations]]</f>
        <v>#REF!</v>
      </c>
      <c r="R148" s="2"/>
      <c r="S148" s="2" t="str">
        <f>Tabla13[[#This Row],[EC50 fish]]</f>
        <v>?</v>
      </c>
      <c r="T148" s="2" t="str">
        <f>Tabla13[[#This Row],[EC50 daphnia]]</f>
        <v>?</v>
      </c>
      <c r="U148" s="2" t="e">
        <f>Tabla134[[#This Row],[Used amount of chemical for stocks (g)]]*1000/Tabla134[[#This Row],[Proposed stock concentration (g/L)]]</f>
        <v>#DIV/0!</v>
      </c>
      <c r="V148" s="100"/>
      <c r="W148" s="100">
        <f>Tabla134[[#This Row],[trials solubility (g  to be used)]]*1000/100</f>
        <v>0</v>
      </c>
      <c r="X148" s="100"/>
      <c r="Y148" s="100"/>
    </row>
    <row r="149" spans="1:25" ht="45">
      <c r="A149" s="10" t="s">
        <v>1187</v>
      </c>
      <c r="B149" s="10">
        <f>Tabla13[[#This Row],[Prec.Tox code]]</f>
        <v>0</v>
      </c>
      <c r="C149" s="2" t="str">
        <f>Tabla1[[#This Row],[CAS number]]</f>
        <v>50-65-7</v>
      </c>
      <c r="D149" s="2"/>
      <c r="E149" s="2">
        <f>Tabla13[[#This Row],['[max.'] to reach 100% mortality (mg/L)]]/1000</f>
        <v>1.0999999999999999E-2</v>
      </c>
      <c r="F149" s="2">
        <f>Tabla13[[#This Row],[Needed amount of chemical (g); Stefan UFZ calculations]]/5</f>
        <v>1.5293434531589194E-2</v>
      </c>
      <c r="G149" s="2">
        <f>MAX(Tabla134[[#This Row],['[max.'] to reach 100% mortality (g/L) Leitat]:['[max.'] to reach baseline toxicity (g/L) UFZ]])*1000</f>
        <v>15.293434531589194</v>
      </c>
      <c r="H149" s="2" t="str">
        <f>Tabla1[[#This Row],[Solubility (DMSO)]]</f>
        <v>3,26 mg/ml</v>
      </c>
      <c r="I149" s="2" t="str">
        <f>Tabla1[[#This Row],[Solubility (H2O)]]</f>
        <v>13,32 mg/l</v>
      </c>
      <c r="J149" s="2"/>
      <c r="K149" s="2"/>
      <c r="L149" s="21"/>
      <c r="M149" s="83" t="str">
        <f>Tabla1[[#This Row],[(exempted g or ml)]]</f>
        <v>Not regulated; any amount limit in internal packages</v>
      </c>
      <c r="N149" s="74">
        <f>Tabla134[[#This Row],[Proposed stock volume (per partner; ml -or g-)]]*7</f>
        <v>0</v>
      </c>
      <c r="O149" s="70">
        <f>Tabla13[[#This Row],[Total amount to be purchased (g or ml)]]</f>
        <v>0</v>
      </c>
      <c r="P149" s="78">
        <f>Tabla13[[#This Row],[Needed amount of chemical (g); Ruben Leitat calculations]]</f>
        <v>6.6000000000000003E-2</v>
      </c>
      <c r="Q149" s="78">
        <f>Tabla13[[#This Row],[Needed amount of chemical (g); Stefan UFZ calculations]]</f>
        <v>7.6467172657945975E-2</v>
      </c>
      <c r="R149" s="2"/>
      <c r="S149" s="2" t="str">
        <f>Tabla13[[#This Row],[EC50 fish]]</f>
        <v>LC50 – Danio rerio (zebra fish) – 0.11 mg/l – 96 h</v>
      </c>
      <c r="T149" s="2" t="str">
        <f>Tabla13[[#This Row],[EC50 daphnia]]</f>
        <v>EC50 – Daphnia magna (water flea) – 0.002 mg/l – 24 d</v>
      </c>
      <c r="U149" s="2" t="e">
        <f>Tabla134[[#This Row],[Used amount of chemical for stocks (g)]]*1000/Tabla134[[#This Row],[Proposed stock concentration (g/L)]]</f>
        <v>#DIV/0!</v>
      </c>
      <c r="V149" s="100"/>
      <c r="W149" s="100">
        <f>Tabla134[[#This Row],[trials solubility (g  to be used)]]*1000/100</f>
        <v>0</v>
      </c>
      <c r="X149" s="100"/>
      <c r="Y149" s="100"/>
    </row>
    <row r="150" spans="1:25" ht="45">
      <c r="A150" s="10" t="s">
        <v>1194</v>
      </c>
      <c r="B150" s="10">
        <f>Tabla13[[#This Row],[Prec.Tox code]]</f>
        <v>0</v>
      </c>
      <c r="C150" s="2" t="str">
        <f>Tabla1[[#This Row],[CAS number]]</f>
        <v>3486-67-7</v>
      </c>
      <c r="D150" s="2"/>
      <c r="E150" s="2">
        <f>Tabla13[[#This Row],['[max.'] to reach 100% mortality (mg/L)]]/1000</f>
        <v>0</v>
      </c>
      <c r="F150" s="2">
        <f>Tabla13[[#This Row],[Needed amount of chemical (g); Stefan UFZ calculations]]/5</f>
        <v>0.71340080660359639</v>
      </c>
      <c r="G150" s="2">
        <f>MAX(Tabla134[[#This Row],['[max.'] to reach 100% mortality (g/L) Leitat]:['[max.'] to reach baseline toxicity (g/L) UFZ]])*1000</f>
        <v>713.40080660359638</v>
      </c>
      <c r="H150" s="2" t="str">
        <f>Tabla1[[#This Row],[Solubility (DMSO)]]</f>
        <v>77 mg/ml</v>
      </c>
      <c r="I150" s="2" t="str">
        <f>Tabla1[[#This Row],[Solubility (H2O)]]</f>
        <v>77 g/l</v>
      </c>
      <c r="J150" s="2"/>
      <c r="K150" s="2"/>
      <c r="L150" s="21"/>
      <c r="M150" s="83" t="str">
        <f>Tabla1[[#This Row],[(exempted g or ml)]]</f>
        <v>Not regulated; any amount limit in internal packages</v>
      </c>
      <c r="N150" s="74">
        <f>Tabla134[[#This Row],[Proposed stock volume (per partner; ml -or g-)]]*7</f>
        <v>0</v>
      </c>
      <c r="O150" s="70">
        <f>Tabla13[[#This Row],[Total amount to be purchased (g or ml)]]</f>
        <v>0</v>
      </c>
      <c r="P150" s="78" t="str">
        <f>Tabla13[[#This Row],[Needed amount of chemical (g); Ruben Leitat calculations]]</f>
        <v>unknown</v>
      </c>
      <c r="Q150" s="78">
        <f>Tabla13[[#This Row],[Needed amount of chemical (g); Stefan UFZ calculations]]</f>
        <v>3.567004033017982</v>
      </c>
      <c r="R150" s="2"/>
      <c r="S150" s="2" t="str">
        <f>Tabla13[[#This Row],[EC50 fish]]</f>
        <v>?</v>
      </c>
      <c r="T150" s="2" t="str">
        <f>Tabla13[[#This Row],[EC50 daphnia]]</f>
        <v>?</v>
      </c>
      <c r="U150" s="2" t="e">
        <f>Tabla134[[#This Row],[Used amount of chemical for stocks (g)]]*1000/Tabla134[[#This Row],[Proposed stock concentration (g/L)]]</f>
        <v>#DIV/0!</v>
      </c>
      <c r="V150" s="100"/>
      <c r="W150" s="100">
        <f>Tabla134[[#This Row],[trials solubility (g  to be used)]]*1000/100</f>
        <v>0</v>
      </c>
      <c r="X150" s="100"/>
      <c r="Y150" s="100"/>
    </row>
    <row r="151" spans="1:25" ht="45">
      <c r="A151" s="10" t="s">
        <v>1200</v>
      </c>
      <c r="B151" s="10">
        <f>Tabla13[[#This Row],[Prec.Tox code]]</f>
        <v>0</v>
      </c>
      <c r="C151" s="2" t="str">
        <f>Tabla1[[#This Row],[CAS number]]</f>
        <v>605-91-4
2768-90-3</v>
      </c>
      <c r="D151" s="2"/>
      <c r="E151" s="2">
        <f>Tabla13[[#This Row],['[max.'] to reach 100% mortality (mg/L)]]/1000</f>
        <v>0</v>
      </c>
      <c r="F151" s="2">
        <f>Tabla13[[#This Row],[Needed amount of chemical (g); Stefan UFZ calculations]]/5</f>
        <v>10.961945233625872</v>
      </c>
      <c r="G151" s="2">
        <f>MAX(Tabla134[[#This Row],['[max.'] to reach 100% mortality (g/L) Leitat]:['[max.'] to reach baseline toxicity (g/L) UFZ]])*1000</f>
        <v>10961.945233625873</v>
      </c>
      <c r="H151" s="2" t="str">
        <f>Tabla1[[#This Row],[Solubility (DMSO)]]</f>
        <v>?</v>
      </c>
      <c r="I151" s="2" t="str">
        <f>Tabla1[[#This Row],[Solubility (H2O)]]</f>
        <v>1 g/l</v>
      </c>
      <c r="J151" s="2"/>
      <c r="K151" s="2"/>
      <c r="L151" s="21"/>
      <c r="M151" s="83" t="str">
        <f>Tabla1[[#This Row],[(exempted g or ml)]]</f>
        <v>Not regulated; any amount limit in internal packages</v>
      </c>
      <c r="N151" s="74">
        <f>Tabla134[[#This Row],[Proposed stock volume (per partner; ml -or g-)]]*7</f>
        <v>0</v>
      </c>
      <c r="O151" s="70">
        <f>Tabla13[[#This Row],[Total amount to be purchased (g or ml)]]</f>
        <v>0</v>
      </c>
      <c r="P151" s="78" t="str">
        <f>Tabla13[[#This Row],[Needed amount of chemical (g); Ruben Leitat calculations]]</f>
        <v>unknown</v>
      </c>
      <c r="Q151" s="78">
        <f>Tabla13[[#This Row],[Needed amount of chemical (g); Stefan UFZ calculations]]</f>
        <v>54.809726168129359</v>
      </c>
      <c r="R151" s="2"/>
      <c r="S151" s="2" t="str">
        <f>Tabla13[[#This Row],[EC50 fish]]</f>
        <v>?</v>
      </c>
      <c r="T151" s="2" t="str">
        <f>Tabla13[[#This Row],[EC50 daphnia]]</f>
        <v>?</v>
      </c>
      <c r="U151" s="2" t="e">
        <f>Tabla134[[#This Row],[Used amount of chemical for stocks (g)]]*1000/Tabla134[[#This Row],[Proposed stock concentration (g/L)]]</f>
        <v>#DIV/0!</v>
      </c>
      <c r="V151" s="100"/>
      <c r="W151" s="100">
        <f>Tabla134[[#This Row],[trials solubility (g  to be used)]]*1000/100</f>
        <v>0</v>
      </c>
      <c r="X151" s="100"/>
      <c r="Y151" s="100"/>
    </row>
    <row r="152" spans="1:25" ht="45">
      <c r="A152" s="10" t="s">
        <v>1204</v>
      </c>
      <c r="B152" s="10">
        <f>Tabla13[[#This Row],[Prec.Tox code]]</f>
        <v>0</v>
      </c>
      <c r="C152" s="2" t="str">
        <f>Tabla1[[#This Row],[CAS number]]</f>
        <v>478-43-3</v>
      </c>
      <c r="D152" s="2"/>
      <c r="E152" s="2">
        <f>Tabla13[[#This Row],['[max.'] to reach 100% mortality (mg/L)]]/1000</f>
        <v>0</v>
      </c>
      <c r="F152" s="2">
        <f>Tabla13[[#This Row],[Needed amount of chemical (g); Stefan UFZ calculations]]/5</f>
        <v>1.1061835732989036</v>
      </c>
      <c r="G152" s="2">
        <f>MAX(Tabla134[[#This Row],['[max.'] to reach 100% mortality (g/L) Leitat]:['[max.'] to reach baseline toxicity (g/L) UFZ]])*1000</f>
        <v>1106.1835732989036</v>
      </c>
      <c r="H152" s="2">
        <f>Tabla1[[#This Row],[Solubility (DMSO)]]</f>
        <v>0</v>
      </c>
      <c r="I152" s="2" t="str">
        <f>Tabla1[[#This Row],[Solubility (H2O)]]</f>
        <v>2 mg/L</v>
      </c>
      <c r="J152" s="2"/>
      <c r="K152" s="2"/>
      <c r="L152" s="21"/>
      <c r="M152" s="83" t="str">
        <f>Tabla1[[#This Row],[(exempted g or ml)]]</f>
        <v>Not regulated; any amount limit in internal packages</v>
      </c>
      <c r="N152" s="74">
        <f>Tabla134[[#This Row],[Proposed stock volume (per partner; ml -or g-)]]*7</f>
        <v>0</v>
      </c>
      <c r="O152" s="70">
        <f>Tabla13[[#This Row],[Total amount to be purchased (g or ml)]]</f>
        <v>0</v>
      </c>
      <c r="P152" s="78" t="str">
        <f>Tabla13[[#This Row],[Needed amount of chemical (g); Ruben Leitat calculations]]</f>
        <v>unknown</v>
      </c>
      <c r="Q152" s="78">
        <f>Tabla13[[#This Row],[Needed amount of chemical (g); Stefan UFZ calculations]]</f>
        <v>5.5309178664945176</v>
      </c>
      <c r="R152" s="2"/>
      <c r="S152" s="2" t="str">
        <f>Tabla13[[#This Row],[EC50 fish]]</f>
        <v>?</v>
      </c>
      <c r="T152" s="2" t="str">
        <f>Tabla13[[#This Row],[EC50 daphnia]]</f>
        <v>?</v>
      </c>
      <c r="U152" s="2" t="e">
        <f>Tabla134[[#This Row],[Used amount of chemical for stocks (g)]]*1000/Tabla134[[#This Row],[Proposed stock concentration (g/L)]]</f>
        <v>#DIV/0!</v>
      </c>
      <c r="V152" s="100"/>
      <c r="W152" s="100">
        <f>Tabla134[[#This Row],[trials solubility (g  to be used)]]*1000/100</f>
        <v>0</v>
      </c>
      <c r="X152" s="100"/>
      <c r="Y152" s="100"/>
    </row>
    <row r="153" spans="1:25" ht="45">
      <c r="A153" s="10" t="s">
        <v>1208</v>
      </c>
      <c r="B153" s="10">
        <f>Tabla13[[#This Row],[Prec.Tox code]]</f>
        <v>0</v>
      </c>
      <c r="C153" s="2" t="str">
        <f>Tabla1[[#This Row],[CAS number]]</f>
        <v>13292-46-1</v>
      </c>
      <c r="D153" s="2"/>
      <c r="E153" s="2">
        <f>Tabla13[[#This Row],['[max.'] to reach 100% mortality (mg/L)]]/1000</f>
        <v>330</v>
      </c>
      <c r="F153" s="2">
        <f>Tabla13[[#This Row],[Needed amount of chemical (g); Stefan UFZ calculations]]/5</f>
        <v>1.2132283308810365</v>
      </c>
      <c r="G153" s="2">
        <f>MAX(Tabla134[[#This Row],['[max.'] to reach 100% mortality (g/L) Leitat]:['[max.'] to reach baseline toxicity (g/L) UFZ]])*1000</f>
        <v>330000</v>
      </c>
      <c r="H153" s="2" t="str">
        <f>Tabla1[[#This Row],[Solubility (DMSO)]]</f>
        <v>25 mg/ml</v>
      </c>
      <c r="I153" s="2" t="str">
        <f>Tabla1[[#This Row],[Solubility (H2O)]]</f>
        <v>1.3 mg/ml</v>
      </c>
      <c r="J153" s="2"/>
      <c r="K153" s="2"/>
      <c r="L153" s="21"/>
      <c r="M153" s="83" t="str">
        <f>Tabla1[[#This Row],[(exempted g or ml)]]</f>
        <v>Not regulated; any amount limit in internal packages</v>
      </c>
      <c r="N153" s="74">
        <f>Tabla134[[#This Row],[Proposed stock volume (per partner; ml -or g-)]]*7</f>
        <v>0</v>
      </c>
      <c r="O153" s="70">
        <f>Tabla13[[#This Row],[Total amount to be purchased (g or ml)]]</f>
        <v>0</v>
      </c>
      <c r="P153" s="78">
        <f>Tabla13[[#This Row],[Needed amount of chemical (g); Ruben Leitat calculations]]</f>
        <v>1980</v>
      </c>
      <c r="Q153" s="78">
        <f>Tabla13[[#This Row],[Needed amount of chemical (g); Stefan UFZ calculations]]</f>
        <v>6.0661416544051825</v>
      </c>
      <c r="R153" s="2"/>
      <c r="S153" s="2" t="str">
        <f>Tabla13[[#This Row],[EC50 fish]]</f>
        <v>6,58 mg/L, predicted baseline toxicity 96h zebrafish</v>
      </c>
      <c r="T153" s="2" t="str">
        <f>Tabla13[[#This Row],[EC50 daphnia]]</f>
        <v>EC50 Daphnia; 3300 mg/l</v>
      </c>
      <c r="U153" s="2" t="e">
        <f>Tabla134[[#This Row],[Used amount of chemical for stocks (g)]]*1000/Tabla134[[#This Row],[Proposed stock concentration (g/L)]]</f>
        <v>#DIV/0!</v>
      </c>
      <c r="V153" s="100"/>
      <c r="W153" s="100">
        <f>Tabla134[[#This Row],[trials solubility (g  to be used)]]*1000/100</f>
        <v>0</v>
      </c>
      <c r="X153" s="100"/>
      <c r="Y153" s="100"/>
    </row>
    <row r="154" spans="1:25" ht="105">
      <c r="A154" s="10" t="s">
        <v>1215</v>
      </c>
      <c r="B154" s="10">
        <f>Tabla13[[#This Row],[Prec.Tox code]]</f>
        <v>0</v>
      </c>
      <c r="C154" s="2" t="str">
        <f>Tabla1[[#This Row],[CAS number]]</f>
        <v>61379-65-5</v>
      </c>
      <c r="D154" s="2"/>
      <c r="E154" s="2">
        <f>Tabla13[[#This Row],['[max.'] to reach 100% mortality (mg/L)]]/1000</f>
        <v>330</v>
      </c>
      <c r="F154" s="2">
        <f>Tabla13[[#This Row],[Needed amount of chemical (g); Stefan UFZ calculations]]/5</f>
        <v>0.66108528665003452</v>
      </c>
      <c r="G154" s="2">
        <f>MAX(Tabla134[[#This Row],['[max.'] to reach 100% mortality (g/L) Leitat]:['[max.'] to reach baseline toxicity (g/L) UFZ]])*1000</f>
        <v>330000</v>
      </c>
      <c r="H154" s="2" t="str">
        <f>Tabla1[[#This Row],[Solubility (DMSO)]]</f>
        <v>100 mg/ml</v>
      </c>
      <c r="I154" s="2" t="str">
        <f>Tabla1[[#This Row],[Solubility (H2O)]]</f>
        <v>insoluble</v>
      </c>
      <c r="J154" s="2"/>
      <c r="K154" s="2"/>
      <c r="L154" s="21"/>
      <c r="M154" s="83" t="str">
        <f>Tabla1[[#This Row],[(exempted g or ml)]]</f>
        <v>Not regulated; any amount limit in internal packages</v>
      </c>
      <c r="N154" s="74">
        <f>Tabla134[[#This Row],[Proposed stock volume (per partner; ml -or g-)]]*7</f>
        <v>0</v>
      </c>
      <c r="O154" s="70">
        <f>Tabla13[[#This Row],[Total amount to be purchased (g or ml)]]</f>
        <v>0</v>
      </c>
      <c r="P154" s="78">
        <f>Tabla13[[#This Row],[Needed amount of chemical (g); Ruben Leitat calculations]]</f>
        <v>1980</v>
      </c>
      <c r="Q154" s="78">
        <f>Tabla13[[#This Row],[Needed amount of chemical (g); Stefan UFZ calculations]]</f>
        <v>3.3054264332501724</v>
      </c>
      <c r="R154" s="2"/>
      <c r="S154" s="2" t="str">
        <f>Tabla13[[#This Row],[EC50 fish]]</f>
        <v>Fish toxicity (LC50): &gt; 100 mg/l
Species: Danio rerio
Exposure duration: 96 h</v>
      </c>
      <c r="T154" s="2" t="str">
        <f>Tabla13[[#This Row],[EC50 daphnia]]</f>
        <v xml:space="preserve">Toxicity on invertebrates (EC50): 3,300 mg/l
Species: Daphnia magna
Exposure duration: 48 h </v>
      </c>
      <c r="U154" s="2" t="e">
        <f>Tabla134[[#This Row],[Used amount of chemical for stocks (g)]]*1000/Tabla134[[#This Row],[Proposed stock concentration (g/L)]]</f>
        <v>#DIV/0!</v>
      </c>
      <c r="V154" s="100"/>
      <c r="W154" s="100">
        <f>Tabla134[[#This Row],[trials solubility (g  to be used)]]*1000/100</f>
        <v>0</v>
      </c>
      <c r="X154" s="100"/>
      <c r="Y154" s="100"/>
    </row>
    <row r="155" spans="1:25" ht="75">
      <c r="A155" s="10" t="s">
        <v>1221</v>
      </c>
      <c r="B155" s="10">
        <f>Tabla13[[#This Row],[Prec.Tox code]]</f>
        <v>0</v>
      </c>
      <c r="C155" s="2" t="str">
        <f>Tabla1[[#This Row],[CAS number]]</f>
        <v>83-79-4</v>
      </c>
      <c r="D155" s="2"/>
      <c r="E155" s="2">
        <f>Tabla13[[#This Row],['[max.'] to reach 100% mortality (mg/L)]]/1000</f>
        <v>0.06</v>
      </c>
      <c r="F155" s="2">
        <f>Tabla13[[#This Row],[Needed amount of chemical (g); Stefan UFZ calculations]]/5</f>
        <v>3.5300860895694425E-2</v>
      </c>
      <c r="G155" s="2">
        <f>MAX(Tabla134[[#This Row],['[max.'] to reach 100% mortality (g/L) Leitat]:['[max.'] to reach baseline toxicity (g/L) UFZ]])*1000</f>
        <v>60</v>
      </c>
      <c r="H155" s="2" t="str">
        <f>Tabla1[[#This Row],[Solubility (DMSO)]]</f>
        <v>0,5 mg/ml</v>
      </c>
      <c r="I155" s="2" t="str">
        <f>Tabla1[[#This Row],[Solubility (H2O)]]</f>
        <v>insoluble</v>
      </c>
      <c r="J155" s="2"/>
      <c r="K155" s="2"/>
      <c r="L155" s="21"/>
      <c r="M155" s="83" t="str">
        <f>Tabla1[[#This Row],[(exempted g or ml)]]</f>
        <v>Not regulated; any amount limit in internal packages</v>
      </c>
      <c r="N155" s="74">
        <f>Tabla134[[#This Row],[Proposed stock volume (per partner; ml -or g-)]]*7</f>
        <v>0</v>
      </c>
      <c r="O155" s="70">
        <f>Tabla13[[#This Row],[Total amount to be purchased (g or ml)]]</f>
        <v>0</v>
      </c>
      <c r="P155" s="78">
        <f>Tabla13[[#This Row],[Needed amount of chemical (g); Ruben Leitat calculations]]</f>
        <v>0.36</v>
      </c>
      <c r="Q155" s="78">
        <f>Tabla13[[#This Row],[Needed amount of chemical (g); Stefan UFZ calculations]]</f>
        <v>0.17650430447847212</v>
      </c>
      <c r="R155" s="2"/>
      <c r="S155" s="2" t="str">
        <f>Tabla13[[#This Row],[EC50 fish]]</f>
        <v>LC50 - Carassius auratus (goldfish) - 0,41 - 0,6 mg/l - 96 h Remarks: (External MSDS)</v>
      </c>
      <c r="T155" s="2" t="str">
        <f>Tabla13[[#This Row],[EC50 daphnia]]</f>
        <v>EC50 - Daphnia pulex (Water flea) - 0,074 - 0,134 mg/l - 48 h
Remarks: (External MSDS)</v>
      </c>
      <c r="U155" s="2" t="e">
        <f>Tabla134[[#This Row],[Used amount of chemical for stocks (g)]]*1000/Tabla134[[#This Row],[Proposed stock concentration (g/L)]]</f>
        <v>#DIV/0!</v>
      </c>
      <c r="V155" s="100"/>
      <c r="W155" s="100">
        <f>Tabla134[[#This Row],[trials solubility (g  to be used)]]*1000/100</f>
        <v>0</v>
      </c>
      <c r="X155" s="100"/>
      <c r="Y155" s="100"/>
    </row>
    <row r="156" spans="1:25" ht="45">
      <c r="A156" s="10" t="s">
        <v>1228</v>
      </c>
      <c r="B156" s="10">
        <f>Tabla13[[#This Row],[Prec.Tox code]]</f>
        <v>0</v>
      </c>
      <c r="C156" s="2" t="str">
        <f>Tabla1[[#This Row],[CAS number]]</f>
        <v>51707-55-2</v>
      </c>
      <c r="D156" s="2"/>
      <c r="E156" s="2">
        <f>Tabla13[[#This Row],['[max.'] to reach 100% mortality (mg/L)]]/1000</f>
        <v>1.9</v>
      </c>
      <c r="F156" s="2">
        <f>Tabla13[[#This Row],[Needed amount of chemical (g); Stefan UFZ calculations]]/5</f>
        <v>0.58167941137046975</v>
      </c>
      <c r="G156" s="2">
        <f>MAX(Tabla134[[#This Row],['[max.'] to reach 100% mortality (g/L) Leitat]:['[max.'] to reach baseline toxicity (g/L) UFZ]])*1000</f>
        <v>1900</v>
      </c>
      <c r="H156" s="2" t="str">
        <f>Tabla1[[#This Row],[Solubility (DMSO)]]</f>
        <v>&gt;500 mg/ml</v>
      </c>
      <c r="I156" s="2" t="str">
        <f>Tabla1[[#This Row],[Solubility (H2O)]]</f>
        <v>insoluble</v>
      </c>
      <c r="J156" s="2"/>
      <c r="K156" s="2"/>
      <c r="L156" s="21"/>
      <c r="M156" s="83" t="str">
        <f>Tabla1[[#This Row],[(exempted g or ml)]]</f>
        <v>Not regulated; any amount limit in internal packages</v>
      </c>
      <c r="N156" s="74">
        <f>Tabla134[[#This Row],[Proposed stock volume (per partner; ml -or g-)]]*7</f>
        <v>0</v>
      </c>
      <c r="O156" s="70">
        <f>Tabla13[[#This Row],[Total amount to be purchased (g or ml)]]</f>
        <v>0</v>
      </c>
      <c r="P156" s="78">
        <f>Tabla13[[#This Row],[Needed amount of chemical (g); Ruben Leitat calculations]]</f>
        <v>11.4</v>
      </c>
      <c r="Q156" s="78">
        <f>Tabla13[[#This Row],[Needed amount of chemical (g); Stefan UFZ calculations]]</f>
        <v>2.9083970568523489</v>
      </c>
      <c r="R156" s="2"/>
      <c r="S156" s="2" t="str">
        <f>Tabla13[[#This Row],[EC50 fish]]</f>
        <v>LC50 - Oncorhynchus mykiss (rainbow trout) - &gt; 19 mg/l - 96 h</v>
      </c>
      <c r="T156" s="2" t="str">
        <f>Tabla13[[#This Row],[EC50 daphnia]]</f>
        <v>EC50 - Daphnia magna (Water flea) - 10 mg/l - 48 h</v>
      </c>
      <c r="U156" s="2" t="e">
        <f>Tabla134[[#This Row],[Used amount of chemical for stocks (g)]]*1000/Tabla134[[#This Row],[Proposed stock concentration (g/L)]]</f>
        <v>#DIV/0!</v>
      </c>
      <c r="V156" s="100"/>
      <c r="W156" s="100">
        <f>Tabla134[[#This Row],[trials solubility (g  to be used)]]*1000/100</f>
        <v>0</v>
      </c>
      <c r="X156" s="100"/>
      <c r="Y156" s="100"/>
    </row>
    <row r="157" spans="1:25" s="29" customFormat="1" ht="30">
      <c r="A157" s="24" t="s">
        <v>1234</v>
      </c>
      <c r="B157" s="10">
        <f>Tabla13[[#This Row],[Prec.Tox code]]</f>
        <v>0</v>
      </c>
      <c r="C157" s="21" t="str">
        <f>Tabla1[[#This Row],[CAS number]]</f>
        <v>101-20-2</v>
      </c>
      <c r="D157" s="21"/>
      <c r="E157" s="2">
        <f>Tabla13[[#This Row],['[max.'] to reach 100% mortality (mg/L)]]/1000</f>
        <v>8.5000000000000006E-3</v>
      </c>
      <c r="F157" s="2">
        <f>Tabla13[[#This Row],[Needed amount of chemical (g); Stefan UFZ calculations]]/5</f>
        <v>8.3920767752846525E-3</v>
      </c>
      <c r="G157" s="2">
        <f>MAX(Tabla134[[#This Row],['[max.'] to reach 100% mortality (g/L) Leitat]:['[max.'] to reach baseline toxicity (g/L) UFZ]])*1000</f>
        <v>8.5</v>
      </c>
      <c r="H157" s="21" t="str">
        <f>Tabla1[[#This Row],[Solubility (DMSO)]]</f>
        <v>63 mg/ml</v>
      </c>
      <c r="I157" s="2" t="str">
        <f>Tabla1[[#This Row],[Solubility (H2O)]]</f>
        <v>insoluble</v>
      </c>
      <c r="J157" s="21"/>
      <c r="K157" s="21"/>
      <c r="L157" s="21"/>
      <c r="M157" s="83">
        <f>Tabla1[[#This Row],[(exempted g or ml)]]</f>
        <v>30</v>
      </c>
      <c r="N157" s="74">
        <f>Tabla134[[#This Row],[Proposed stock volume (per partner; ml -or g-)]]*7</f>
        <v>0</v>
      </c>
      <c r="O157" s="70">
        <f>Tabla13[[#This Row],[Total amount to be purchased (g or ml)]]</f>
        <v>0</v>
      </c>
      <c r="P157" s="78">
        <f>Tabla13[[#This Row],[Needed amount of chemical (g); Ruben Leitat calculations]]</f>
        <v>5.0999999999999997E-2</v>
      </c>
      <c r="Q157" s="78">
        <f>Tabla13[[#This Row],[Needed amount of chemical (g); Stefan UFZ calculations]]</f>
        <v>4.1960383876423264E-2</v>
      </c>
      <c r="R157" s="21"/>
      <c r="S157" s="2" t="str">
        <f>Tabla13[[#This Row],[EC50 fish]]</f>
        <v>0.085 mg/L (fish, 96h)</v>
      </c>
      <c r="T157" s="2" t="str">
        <f>Tabla13[[#This Row],[EC50 daphnia]]</f>
        <v>0.005 mg/L daphnia magna, 48 or 72h?</v>
      </c>
      <c r="U157" s="5" t="e">
        <f>Tabla134[[#This Row],[Used amount of chemical for stocks (g)]]*1000/Tabla134[[#This Row],[Proposed stock concentration (g/L)]]</f>
        <v>#DIV/0!</v>
      </c>
      <c r="V157" s="101"/>
      <c r="W157" s="101">
        <f>Tabla134[[#This Row],[trials solubility (g  to be used)]]*1000/100</f>
        <v>0</v>
      </c>
      <c r="X157" s="101"/>
      <c r="Y157" s="101"/>
    </row>
    <row r="158" spans="1:25" ht="45">
      <c r="A158" s="10" t="s">
        <v>1240</v>
      </c>
      <c r="B158" s="10">
        <f>Tabla13[[#This Row],[Prec.Tox code]]</f>
        <v>0</v>
      </c>
      <c r="C158" s="2" t="str">
        <f>Tabla1[[#This Row],[CAS number]]</f>
        <v>2767-54-6</v>
      </c>
      <c r="D158" s="2"/>
      <c r="E158" s="2">
        <f>Tabla13[[#This Row],['[max.'] to reach 100% mortality (mg/L)]]/1000</f>
        <v>7.4999999999999997E-2</v>
      </c>
      <c r="F158" s="2" t="e">
        <f>Tabla13[[#This Row],[Needed amount of chemical (g); Stefan UFZ calculations]]/5</f>
        <v>#REF!</v>
      </c>
      <c r="G158" s="2" t="e">
        <f>MAX(Tabla134[[#This Row],['[max.'] to reach 100% mortality (g/L) Leitat]:['[max.'] to reach baseline toxicity (g/L) UFZ]])*1000</f>
        <v>#REF!</v>
      </c>
      <c r="H158" s="2" t="str">
        <f>Tabla1[[#This Row],[Solubility (DMSO)]]</f>
        <v>&gt; 100 g/L</v>
      </c>
      <c r="I158" s="2" t="str">
        <f>Tabla1[[#This Row],[Solubility (H2O)]]</f>
        <v>0.69 g/L
5 - 10 g/L</v>
      </c>
      <c r="J158" s="2"/>
      <c r="K158" s="2"/>
      <c r="L158" s="21"/>
      <c r="M158" s="83">
        <f>Tabla1[[#This Row],[(exempted g or ml)]]</f>
        <v>1</v>
      </c>
      <c r="N158" s="74">
        <f>Tabla134[[#This Row],[Proposed stock volume (per partner; ml -or g-)]]*7</f>
        <v>0</v>
      </c>
      <c r="O158" s="70">
        <f>Tabla13[[#This Row],[Total amount to be purchased (g or ml)]]</f>
        <v>0</v>
      </c>
      <c r="P158" s="78">
        <f>Tabla13[[#This Row],[Needed amount of chemical (g); Ruben Leitat calculations]]</f>
        <v>0.45</v>
      </c>
      <c r="Q158" s="78" t="e">
        <f>Tabla13[[#This Row],[Needed amount of chemical (g); Stefan UFZ calculations]]</f>
        <v>#REF!</v>
      </c>
      <c r="R158" s="2"/>
      <c r="S158" s="2" t="str">
        <f>Tabla13[[#This Row],[EC50 fish]]</f>
        <v>LC50 - Oryzias latipes - 0,75 mg/l - 48,0 h</v>
      </c>
      <c r="T158" s="2" t="str">
        <f>Tabla13[[#This Row],[EC50 daphnia]]</f>
        <v>EC50 - Daphnia magna (Water flea) - 0,26 mg/l - 24 h</v>
      </c>
      <c r="U158" s="2" t="e">
        <f>Tabla134[[#This Row],[Used amount of chemical for stocks (g)]]*1000/Tabla134[[#This Row],[Proposed stock concentration (g/L)]]</f>
        <v>#DIV/0!</v>
      </c>
      <c r="V158" s="100"/>
      <c r="W158" s="100">
        <f>Tabla134[[#This Row],[trials solubility (g  to be used)]]*1000/100</f>
        <v>0</v>
      </c>
      <c r="X158" s="100"/>
      <c r="Y158" s="100"/>
    </row>
    <row r="159" spans="1:25" ht="51.6" customHeight="1">
      <c r="A159" s="10" t="str">
        <f>Tabla1[[#This Row],[Compound]]</f>
        <v>N-(hydroxymethyl)methacrylamide</v>
      </c>
      <c r="B159" s="11"/>
      <c r="C159" s="2" t="str">
        <f>Tabla1[[#This Row],[CAS number]]</f>
        <v>923-02-4</v>
      </c>
      <c r="D159" s="2"/>
      <c r="E159" s="2"/>
      <c r="F159" s="2"/>
      <c r="G159" s="2">
        <f>MAX(Tabla134[[#This Row],['[max.'] to reach 100% mortality (g/L) Leitat]:['[max.'] to reach baseline toxicity (g/L) UFZ]])*1000</f>
        <v>0</v>
      </c>
      <c r="H159" s="2">
        <f>Tabla1[[#This Row],[Solubility (DMSO)]]</f>
        <v>0</v>
      </c>
      <c r="I159" s="2"/>
      <c r="J159" s="2"/>
      <c r="K159" s="2">
        <f>64.5*100</f>
        <v>6450</v>
      </c>
      <c r="L159" s="2"/>
      <c r="M159" s="83" t="str">
        <f>Tabla1[[#This Row],[(exempted g or ml)]]</f>
        <v>Not regulated; any amount limit in internal packages</v>
      </c>
      <c r="N159" s="74"/>
      <c r="O159" s="70"/>
      <c r="P159" s="78"/>
      <c r="Q159" s="78"/>
      <c r="R159" s="2"/>
      <c r="S159" s="2" t="str">
        <f>Tabla13[[#This Row],[EC50 fish]]</f>
        <v>LC50 - Leuciscus idus (96h) - 142.5 - 285 mg/l</v>
      </c>
      <c r="T159" s="2" t="str">
        <f>Tabla13[[#This Row],[EC50 daphnia]]</f>
        <v>EC50 - Daphnia magna (Water flea) - &gt; 75 mg/l - 48 h</v>
      </c>
      <c r="U159" s="2">
        <f>Tabla134[[#This Row],[Used amount of chemical for stocks (g)]]*1000/Tabla134[[#This Row],[Proposed stock concentration (g/L)]]</f>
        <v>0</v>
      </c>
      <c r="V159" s="100"/>
      <c r="W159" s="100">
        <f>Tabla134[[#This Row],[trials solubility (g  to be used)]]*1000/100</f>
        <v>0</v>
      </c>
      <c r="X159" s="100"/>
      <c r="Y159" s="100"/>
    </row>
    <row r="160" spans="1:25" ht="51.6" customHeight="1">
      <c r="A160" s="10" t="str">
        <f>Tabla1[[#This Row],[Compound]]</f>
        <v>N-(methoxymethyl)methacrylamide</v>
      </c>
      <c r="B160" s="11"/>
      <c r="C160" s="2" t="str">
        <f>Tabla1[[#This Row],[CAS number]]</f>
        <v>3644-12-0</v>
      </c>
      <c r="D160" s="2"/>
      <c r="E160" s="2"/>
      <c r="F160" s="2"/>
      <c r="G160" s="2">
        <f>MAX(Tabla134[[#This Row],['[max.'] to reach 100% mortality (g/L) Leitat]:['[max.'] to reach baseline toxicity (g/L) UFZ]])*1000</f>
        <v>0</v>
      </c>
      <c r="H160" s="2">
        <f>Tabla1[[#This Row],[Solubility (DMSO)]]</f>
        <v>0</v>
      </c>
      <c r="I160" s="2"/>
      <c r="J160" s="2"/>
      <c r="K160" s="2">
        <f>64.5*100</f>
        <v>6450</v>
      </c>
      <c r="L160" s="2"/>
      <c r="M160" s="83" t="str">
        <f>Tabla1[[#This Row],[(exempted g or ml)]]</f>
        <v>Not regulated; any amount limit in internal packages</v>
      </c>
      <c r="N160" s="74"/>
      <c r="O160" s="70"/>
      <c r="P160" s="78"/>
      <c r="Q160" s="78"/>
      <c r="R160" s="2"/>
      <c r="S160" s="2" t="str">
        <f>Tabla13[[#This Row],[EC50 fish]]</f>
        <v>Effect concentration (from EPISUITE): 43.13 mg/L</v>
      </c>
      <c r="T160" s="2" t="str">
        <f>Tabla13[[#This Row],[EC50 daphnia]]</f>
        <v>EC50 - Daphnia magna (Water flea) 48h: &gt;100 mg/l
From EPISUITE: EC50=109.632 mg/L</v>
      </c>
      <c r="U160" s="2">
        <f>Tabla134[[#This Row],[Used amount of chemical for stocks (g)]]*1000/Tabla134[[#This Row],[Proposed stock concentration (g/L)]]</f>
        <v>0</v>
      </c>
      <c r="V160" s="100"/>
      <c r="W160" s="100">
        <f>Tabla134[[#This Row],[trials solubility (g  to be used)]]*1000/100</f>
        <v>0</v>
      </c>
      <c r="X160" s="100"/>
      <c r="Y160" s="100"/>
    </row>
    <row r="161" spans="1:25" ht="51.6" customHeight="1">
      <c r="A161" s="10" t="str">
        <f>Tabla1[[#This Row],[Compound]]</f>
        <v>N-(butoxymethyl)methacrylamide</v>
      </c>
      <c r="B161" s="11"/>
      <c r="C161" s="2" t="str">
        <f>Tabla1[[#This Row],[CAS number]]</f>
        <v>5153-77-5</v>
      </c>
      <c r="D161" s="2"/>
      <c r="E161" s="2"/>
      <c r="F161" s="2"/>
      <c r="G161" s="2">
        <f>MAX(Tabla134[[#This Row],['[max.'] to reach 100% mortality (g/L) Leitat]:['[max.'] to reach baseline toxicity (g/L) UFZ]])*1000</f>
        <v>0</v>
      </c>
      <c r="H161" s="2">
        <f>Tabla1[[#This Row],[Solubility (DMSO)]]</f>
        <v>0</v>
      </c>
      <c r="I161" s="2"/>
      <c r="J161" s="2"/>
      <c r="K161" s="2">
        <f>64.5*100</f>
        <v>6450</v>
      </c>
      <c r="L161" s="2"/>
      <c r="M161" s="83" t="str">
        <f>Tabla1[[#This Row],[(exempted g or ml)]]</f>
        <v>Not regulated; any amount limit in internal packages</v>
      </c>
      <c r="N161" s="74"/>
      <c r="O161" s="70"/>
      <c r="P161" s="78"/>
      <c r="Q161" s="78"/>
      <c r="R161" s="2"/>
      <c r="S161" s="2" t="str">
        <f>Tabla13[[#This Row],[EC50 fish]]</f>
        <v>LC50 - Poecilia reticulata - &gt;100 mg/l - 96h
From EPISUITE: 8904 mg/l</v>
      </c>
      <c r="T161" s="2" t="str">
        <f>Tabla13[[#This Row],[EC50 daphnia]]</f>
        <v>EC50 - Daphnia magna (Water flea) 48h: &gt;100 mg/l
From EPISUITE: EC50= 23.686  mg/L</v>
      </c>
      <c r="U161" s="2">
        <f>Tabla134[[#This Row],[Used amount of chemical for stocks (g)]]*1000/Tabla134[[#This Row],[Proposed stock concentration (g/L)]]</f>
        <v>0</v>
      </c>
      <c r="V161" s="100"/>
      <c r="W161" s="100">
        <f>Tabla134[[#This Row],[trials solubility (g  to be used)]]*1000/100</f>
        <v>0</v>
      </c>
      <c r="X161" s="100"/>
      <c r="Y161" s="100"/>
    </row>
    <row r="162" spans="1:25" ht="31.5">
      <c r="A162" s="65" t="str">
        <f>Tabla1[[#This Row],[Compound]]</f>
        <v>2º case study chemicals (steatosis)</v>
      </c>
      <c r="B162" s="11"/>
      <c r="C162" s="2"/>
      <c r="D162" s="2"/>
      <c r="E162" s="2"/>
      <c r="F162" s="2"/>
      <c r="G162" s="2"/>
      <c r="H162" s="2"/>
      <c r="I162" s="2"/>
      <c r="J162" s="2"/>
      <c r="K162" s="2"/>
      <c r="L162" s="2"/>
      <c r="M162" s="82"/>
      <c r="N162" s="74"/>
      <c r="O162" s="70"/>
      <c r="P162" s="30"/>
      <c r="Q162" s="30"/>
      <c r="R162" s="2"/>
      <c r="S162" s="2">
        <f>Tabla13[[#This Row],[EC50 fish]]</f>
        <v>0</v>
      </c>
      <c r="T162" s="2">
        <f>Tabla13[[#This Row],[EC50 daphnia]]</f>
        <v>0</v>
      </c>
      <c r="U162" s="2"/>
      <c r="V162" s="100"/>
      <c r="W162" s="100"/>
      <c r="X162" s="100"/>
      <c r="Y162" s="100"/>
    </row>
    <row r="163" spans="1:25" ht="66.75" customHeight="1">
      <c r="A163" s="10" t="str">
        <f>Tabla1[[#This Row],[Compound]]</f>
        <v>HC yellow 13</v>
      </c>
      <c r="B163" s="10" t="str">
        <f>Tabla1[[#This Row],[Prec.Tox code]]</f>
        <v>PTX057</v>
      </c>
      <c r="C163" s="2" t="str">
        <f>Tabla1[[#This Row],[CAS number]]</f>
        <v>10442-83-8</v>
      </c>
      <c r="D163" s="2" t="s">
        <v>2455</v>
      </c>
      <c r="E163" s="2" t="e">
        <f>Tabla13[[#This Row],['[max.'] to reach 100% mortality (mg/L)]]/1000</f>
        <v>#VALUE!</v>
      </c>
      <c r="F163" s="90">
        <f>Tabla13[[#This Row],[Needed amount of chemical (g); Stefan UFZ calculations]]/5</f>
        <v>0.46385653059330156</v>
      </c>
      <c r="G163" s="2" t="e">
        <f>MAX(Tabla134[[#This Row],['[max.'] to reach 100% mortality (g/L) Leitat]:['[max.'] to reach baseline toxicity (g/L) UFZ]])*1000</f>
        <v>#VALUE!</v>
      </c>
      <c r="H163" s="2" t="str">
        <f>Tabla1[[#This Row],[Solubility (DMSO)]]</f>
        <v>50 g/L</v>
      </c>
      <c r="I163" s="2" t="str">
        <f>Tabla1[[#This Row],[Solubility (H2O)]]</f>
        <v>0.506 g/L</v>
      </c>
      <c r="J163" s="2" t="s">
        <v>2423</v>
      </c>
      <c r="K163" s="92">
        <v>167</v>
      </c>
      <c r="L163" s="89">
        <f>Tabla134[[#This Row],[V DMSO to be used to perform the stocks]]/10</f>
        <v>2.5</v>
      </c>
      <c r="M163" s="83">
        <f>Tabla1[[#This Row],[(exempted g or ml)]]</f>
        <v>30</v>
      </c>
      <c r="N163" s="74">
        <v>4.1749999999999998</v>
      </c>
      <c r="O163" s="70">
        <f>Tabla13[[#This Row],[Total amount to be purchased (g or ml)]]</f>
        <v>5</v>
      </c>
      <c r="P163" s="78" t="str">
        <f>Tabla13[[#This Row],[Needed amount of chemical (g); Ruben Leitat calculations]]</f>
        <v>unknown</v>
      </c>
      <c r="Q163" s="78">
        <f>Tabla13[[#This Row],[Needed amount of chemical (g); Stefan UFZ calculations]]</f>
        <v>2.3192826529665078</v>
      </c>
      <c r="R163" s="2"/>
      <c r="S163" s="2" t="str">
        <f>Tabla13[[#This Row],[EC50 fish]]</f>
        <v>?</v>
      </c>
      <c r="T163" s="2" t="str">
        <f>Tabla13[[#This Row],[EC50 daphnia]]</f>
        <v>?</v>
      </c>
      <c r="U163" s="2">
        <f>Tabla134[[#This Row],[Used amount of chemical for stocks (g)]]*1000/Tabla134[[#This Row],[Proposed stock concentration (g/L)]]</f>
        <v>25</v>
      </c>
      <c r="V163" s="100"/>
      <c r="W163" s="100">
        <f>Tabla134[[#This Row],[trials solubility (g  to be used)]]*1000/100</f>
        <v>0</v>
      </c>
      <c r="X163" s="100"/>
      <c r="Y163" s="100"/>
    </row>
    <row r="164" spans="1:25" ht="66.75" customHeight="1">
      <c r="A164" s="10" t="str">
        <f>Tabla1[[#This Row],[Compound]]</f>
        <v>Tamoxifen</v>
      </c>
      <c r="B164" s="10" t="str">
        <f>Tabla1[[#This Row],[Prec.Tox code]]</f>
        <v>PTX058</v>
      </c>
      <c r="C164" s="2" t="str">
        <f>Tabla1[[#This Row],[CAS number]]</f>
        <v>10540-29-1</v>
      </c>
      <c r="D164" s="2" t="s">
        <v>2456</v>
      </c>
      <c r="E164" s="2">
        <f>Tabla13[[#This Row],['[max.'] to reach 100% mortality (mg/L)]]/1000</f>
        <v>0.153</v>
      </c>
      <c r="F164" s="90">
        <f>Tabla13[[#This Row],[Needed amount of chemical (g); Stefan UFZ calculations]]/5</f>
        <v>5.630471686042934E-3</v>
      </c>
      <c r="G164" s="2">
        <f>MAX(Tabla134[[#This Row],['[max.'] to reach 100% mortality (g/L) Leitat]:['[max.'] to reach baseline toxicity (g/L) UFZ]])*1000</f>
        <v>153</v>
      </c>
      <c r="H164" s="2" t="str">
        <f>Tabla1[[#This Row],[Solubility (DMSO)]]</f>
        <v>2 g/l</v>
      </c>
      <c r="I164" s="2" t="str">
        <f>Tabla1[[#This Row],[Solubility (H2O)]]</f>
        <v>insoluble</v>
      </c>
      <c r="J164" s="2" t="s">
        <v>2423</v>
      </c>
      <c r="K164" s="92">
        <v>11</v>
      </c>
      <c r="L164" s="89">
        <f>Tabla134[[#This Row],[V DMSO to be used to perform the stocks]]/10</f>
        <v>15</v>
      </c>
      <c r="M164" s="83">
        <f>Tabla1[[#This Row],[(exempted g or ml)]]</f>
        <v>30</v>
      </c>
      <c r="N164" s="74">
        <v>1.65</v>
      </c>
      <c r="O164" s="70">
        <f>Tabla13[[#This Row],[Total amount to be purchased (g or ml)]]</f>
        <v>2</v>
      </c>
      <c r="P164" s="78">
        <f>Tabla13[[#This Row],[Needed amount of chemical (g); Ruben Leitat calculations]]</f>
        <v>0.91800000000000004</v>
      </c>
      <c r="Q164" s="78">
        <f>Tabla13[[#This Row],[Needed amount of chemical (g); Stefan UFZ calculations]]</f>
        <v>2.8152358430214668E-2</v>
      </c>
      <c r="R164" s="2"/>
      <c r="S164" s="2" t="str">
        <f>Tabla13[[#This Row],[EC50 fish]]</f>
        <v>LC50 - Oncorhynchus mykiss (rainbow trout) - 0,41 mg/l - 96 h</v>
      </c>
      <c r="T164" s="2" t="str">
        <f>Tabla13[[#This Row],[EC50 daphnia]]</f>
        <v>0.21 - 1.53 mg/L (Dellagreca et al., 2007;Orias et al., 2015a)</v>
      </c>
      <c r="U164" s="2">
        <f>Tabla134[[#This Row],[Used amount of chemical for stocks (g)]]*1000/Tabla134[[#This Row],[Proposed stock concentration (g/L)]]</f>
        <v>150</v>
      </c>
      <c r="V164" s="100"/>
      <c r="W164" s="100">
        <f>Tabla134[[#This Row],[trials solubility (g  to be used)]]*1000/100</f>
        <v>0</v>
      </c>
      <c r="X164" s="100"/>
      <c r="Y164" s="100"/>
    </row>
    <row r="165" spans="1:25" ht="66.75" customHeight="1">
      <c r="A165" s="10" t="str">
        <f>Tabla1[[#This Row],[Compound]]</f>
        <v>N,N‐Dimethylacetamide</v>
      </c>
      <c r="B165" s="10" t="str">
        <f>Tabla1[[#This Row],[Prec.Tox code]]</f>
        <v>PTX059</v>
      </c>
      <c r="C165" s="2" t="str">
        <f>Tabla1[[#This Row],[CAS number]]</f>
        <v>127-19-5</v>
      </c>
      <c r="D165" s="2" t="s">
        <v>2392</v>
      </c>
      <c r="E165" s="2">
        <f>Tabla13[[#This Row],['[max.'] to reach 100% mortality (mg/L)]]/1000</f>
        <v>50</v>
      </c>
      <c r="F165" s="90">
        <f>Tabla13[[#This Row],[Needed amount of chemical (g); Stefan UFZ calculations]]/5</f>
        <v>64.930196480697504</v>
      </c>
      <c r="G165" s="2">
        <f>MAX(Tabla134[[#This Row],['[max.'] to reach 100% mortality (g/L) Leitat]:['[max.'] to reach baseline toxicity (g/L) UFZ]])*1000</f>
        <v>64930.196480697501</v>
      </c>
      <c r="H165" s="2" t="str">
        <f>Tabla1[[#This Row],[Solubility (DMSO)]]</f>
        <v>?</v>
      </c>
      <c r="I165" s="2" t="str">
        <f>Tabla1[[#This Row],[Solubility (H2O)]]</f>
        <v>1.000 g/l (completely miscible)</v>
      </c>
      <c r="J165" s="2" t="s">
        <v>2393</v>
      </c>
      <c r="K165" s="92" t="s">
        <v>34</v>
      </c>
      <c r="L165" s="89">
        <v>90</v>
      </c>
      <c r="M165" s="83" t="str">
        <f>Tabla1[[#This Row],[(exempted g or ml)]]</f>
        <v>Not regulated; any amount limit in internal packages</v>
      </c>
      <c r="N165" s="74">
        <f>Tabla134[[#This Row],[Proposed stock volume (per partner; ml -or g-)]]*10</f>
        <v>900</v>
      </c>
      <c r="O165" s="70">
        <f>Tabla13[[#This Row],[Total amount to be purchased (g or ml)]]</f>
        <v>1000</v>
      </c>
      <c r="P165" s="78">
        <f>Tabla13[[#This Row],[Needed amount of chemical (g); Ruben Leitat calculations]]</f>
        <v>300</v>
      </c>
      <c r="Q165" s="78">
        <f>Tabla13[[#This Row],[Needed amount of chemical (g); Stefan UFZ calculations]]</f>
        <v>324.65098240348749</v>
      </c>
      <c r="R165" s="2" t="s">
        <v>2447</v>
      </c>
      <c r="S165" s="2" t="str">
        <f>Tabla13[[#This Row],[EC50 fish]]</f>
        <v>static test LC50 - Leuciscus idus (Golden orfe) - &gt; 500 mg/l - 96 h</v>
      </c>
      <c r="T165" s="2" t="str">
        <f>Tabla13[[#This Row],[EC50 daphnia]]</f>
        <v>static test EC50 - Daphnia magna (Water flea) - &gt; 500 mg/l - 48 h</v>
      </c>
      <c r="U165" s="2" t="e">
        <f>Tabla134[[#This Row],[Used amount of chemical for stocks (g)]]*1000/Tabla134[[#This Row],[Proposed stock concentration (g/L)]]</f>
        <v>#VALUE!</v>
      </c>
      <c r="V165" s="100"/>
      <c r="W165" s="100">
        <f>Tabla134[[#This Row],[trials solubility (g  to be used)]]*1000/100</f>
        <v>0</v>
      </c>
      <c r="X165" s="100"/>
      <c r="Y165" s="100"/>
    </row>
    <row r="166" spans="1:25" ht="66.75" customHeight="1">
      <c r="A166" s="10" t="str">
        <f>Tabla1[[#This Row],[Compound]]</f>
        <v>Atrazine</v>
      </c>
      <c r="B166" s="10" t="str">
        <f>Tabla1[[#This Row],[Prec.Tox code]]</f>
        <v>PTX060</v>
      </c>
      <c r="C166" s="2" t="str">
        <f>Tabla1[[#This Row],[CAS number]]</f>
        <v>1912-24-9</v>
      </c>
      <c r="D166" s="2" t="s">
        <v>2389</v>
      </c>
      <c r="E166" s="2">
        <f>Tabla13[[#This Row],['[max.'] to reach 100% mortality (mg/L)]]/1000</f>
        <v>3.65</v>
      </c>
      <c r="F166" s="90">
        <f>Tabla13[[#This Row],[Needed amount of chemical (g); Stefan UFZ calculations]]/5</f>
        <v>0.37672983072035182</v>
      </c>
      <c r="G166" s="2">
        <f>MAX(Tabla134[[#This Row],['[max.'] to reach 100% mortality (g/L) Leitat]:['[max.'] to reach baseline toxicity (g/L) UFZ]])*1000</f>
        <v>3650</v>
      </c>
      <c r="H166" s="2" t="str">
        <f>Tabla1[[#This Row],[Solubility (DMSO)]]</f>
        <v>20 g/l</v>
      </c>
      <c r="I166" s="2" t="str">
        <f>Tabla1[[#This Row],[Solubility (H2O)]]</f>
        <v>0.07 g/L</v>
      </c>
      <c r="J166" s="2"/>
      <c r="K166" s="92" t="s">
        <v>59</v>
      </c>
      <c r="L166" s="89" t="e">
        <f>Tabla134[[#This Row],[V DMSO to be used to perform the stocks]]/10</f>
        <v>#VALUE!</v>
      </c>
      <c r="M166" s="83">
        <f>Tabla1[[#This Row],[(exempted g or ml)]]</f>
        <v>30</v>
      </c>
      <c r="N166" s="74">
        <f>Tabla134[[#This Row],[Purchased amount (g or ml)]]*0.8</f>
        <v>20</v>
      </c>
      <c r="O166" s="70">
        <f>Tabla13[[#This Row],[Total amount to be purchased (g or ml)]]</f>
        <v>25</v>
      </c>
      <c r="P166" s="78">
        <f>Tabla13[[#This Row],[Needed amount of chemical (g); Ruben Leitat calculations]]</f>
        <v>21.9</v>
      </c>
      <c r="Q166" s="78">
        <f>Tabla13[[#This Row],[Needed amount of chemical (g); Stefan UFZ calculations]]</f>
        <v>1.883649153601759</v>
      </c>
      <c r="R166" s="2"/>
      <c r="S166" s="2" t="str">
        <f>Tabla13[[#This Row],[EC50 fish]]</f>
        <v>EC50 &gt; 29 mg/L</v>
      </c>
      <c r="T166" s="2" t="str">
        <f>Tabla13[[#This Row],[EC50 daphnia]]</f>
        <v>36.5 mg/L (48h; Daphnia pulex)</v>
      </c>
      <c r="U166" s="2" t="e">
        <f>Tabla134[[#This Row],[Used amount of chemical for stocks (g)]]*1000/Tabla134[[#This Row],[Proposed stock concentration (g/L)]]</f>
        <v>#VALUE!</v>
      </c>
      <c r="V166" s="100"/>
      <c r="W166" s="100">
        <f>Tabla134[[#This Row],[trials solubility (g  to be used)]]*1000/100</f>
        <v>0</v>
      </c>
      <c r="X166" s="100"/>
      <c r="Y166" s="100"/>
    </row>
    <row r="167" spans="1:25" ht="66.75" customHeight="1">
      <c r="A167" s="10" t="str">
        <f>Tabla1[[#This Row],[Compound]]</f>
        <v>Imazalil</v>
      </c>
      <c r="B167" s="10" t="str">
        <f>Tabla1[[#This Row],[Prec.Tox code]]</f>
        <v>PTX061</v>
      </c>
      <c r="C167" s="2" t="str">
        <f>Tabla1[[#This Row],[CAS number]]</f>
        <v>35554-44-0</v>
      </c>
      <c r="D167" s="2" t="s">
        <v>2457</v>
      </c>
      <c r="E167" s="2">
        <f>Tabla13[[#This Row],['[max.'] to reach 100% mortality (mg/L)]]/1000</f>
        <v>0.90800000000000003</v>
      </c>
      <c r="F167" s="90">
        <f>Tabla13[[#This Row],[Needed amount of chemical (g); Stefan UFZ calculations]]/5</f>
        <v>2.1610633062884105E-2</v>
      </c>
      <c r="G167" s="2">
        <f>MAX(Tabla134[[#This Row],['[max.'] to reach 100% mortality (g/L) Leitat]:['[max.'] to reach baseline toxicity (g/L) UFZ]])*1000</f>
        <v>908</v>
      </c>
      <c r="H167" s="2" t="str">
        <f>Tabla1[[#This Row],[Solubility (DMSO)]]</f>
        <v>59-100 g/L</v>
      </c>
      <c r="I167" s="2" t="str">
        <f>Tabla1[[#This Row],[Solubility (H2O)]]</f>
        <v>0.2-20 g/L?</v>
      </c>
      <c r="J167" s="2" t="s">
        <v>2423</v>
      </c>
      <c r="K167" s="92">
        <v>44</v>
      </c>
      <c r="L167" s="89">
        <f>Tabla134[[#This Row],[V DMSO to be used to perform the stocks]]/10</f>
        <v>10</v>
      </c>
      <c r="M167" s="83">
        <f>Tabla1[[#This Row],[(exempted g or ml)]]</f>
        <v>30</v>
      </c>
      <c r="N167" s="74">
        <v>4.4000000000000004</v>
      </c>
      <c r="O167" s="70">
        <f>Tabla13[[#This Row],[Total amount to be purchased (g or ml)]]</f>
        <v>5</v>
      </c>
      <c r="P167" s="78">
        <f>Tabla13[[#This Row],[Needed amount of chemical (g); Ruben Leitat calculations]]</f>
        <v>5.4480000000000013</v>
      </c>
      <c r="Q167" s="78">
        <f>Tabla13[[#This Row],[Needed amount of chemical (g); Stefan UFZ calculations]]</f>
        <v>0.10805316531442052</v>
      </c>
      <c r="R167" s="2"/>
      <c r="S167" s="2" t="str">
        <f>Tabla13[[#This Row],[EC50 fish]]</f>
        <v>6.96 - 9.08 mg/l (sol. 500 g/L)
2.75 mg/L for zebra fish (Danio rerio)</v>
      </c>
      <c r="T167" s="2" t="str">
        <f>Tabla13[[#This Row],[EC50 daphnia]]</f>
        <v>6.86 mg/l (sol. 500 g/L)
EC50 (48 h) of 3.5 mg/l</v>
      </c>
      <c r="U167" s="2">
        <f>Tabla134[[#This Row],[Used amount of chemical for stocks (g)]]*1000/Tabla134[[#This Row],[Proposed stock concentration (g/L)]]</f>
        <v>100</v>
      </c>
      <c r="V167" s="100"/>
      <c r="W167" s="100">
        <f>Tabla134[[#This Row],[trials solubility (g  to be used)]]*1000/100</f>
        <v>0</v>
      </c>
      <c r="X167" s="100"/>
      <c r="Y167" s="100"/>
    </row>
    <row r="168" spans="1:25" ht="66.75" customHeight="1">
      <c r="A168" s="10" t="str">
        <f>Tabla1[[#This Row],[Compound]]</f>
        <v>Cyclosporin A</v>
      </c>
      <c r="B168" s="10" t="str">
        <f>Tabla1[[#This Row],[Prec.Tox code]]</f>
        <v>PTX062</v>
      </c>
      <c r="C168" s="2" t="str">
        <f>Tabla1[[#This Row],[CAS number]]</f>
        <v>59865-13-3</v>
      </c>
      <c r="D168" s="2" t="s">
        <v>2389</v>
      </c>
      <c r="E168" s="2">
        <f>Tabla13[[#This Row],['[max.'] to reach 100% mortality (mg/L)]]/1000</f>
        <v>10</v>
      </c>
      <c r="F168" s="90">
        <f>Tabla13[[#This Row],[Needed amount of chemical (g); Stefan UFZ calculations]]/5</f>
        <v>0.40441430383206844</v>
      </c>
      <c r="G168" s="2">
        <f>MAX(Tabla134[[#This Row],['[max.'] to reach 100% mortality (g/L) Leitat]:['[max.'] to reach baseline toxicity (g/L) UFZ]])*1000</f>
        <v>10000</v>
      </c>
      <c r="H168" s="2" t="str">
        <f>Tabla1[[#This Row],[Solubility (DMSO)]]</f>
        <v>3-100 g/L</v>
      </c>
      <c r="I168" s="2" t="str">
        <f>Tabla1[[#This Row],[Solubility (H2O)]]</f>
        <v>0.0286 g/l</v>
      </c>
      <c r="J168" s="2" t="s">
        <v>2423</v>
      </c>
      <c r="K168" s="92">
        <v>50</v>
      </c>
      <c r="L168" s="89">
        <f>Tabla134[[#This Row],[V DMSO to be used to perform the stocks]]/10</f>
        <v>40</v>
      </c>
      <c r="M168" s="83" t="str">
        <f>Tabla1[[#This Row],[(exempted g or ml)]]</f>
        <v>Not regulated; any amount limit in internal packages</v>
      </c>
      <c r="N168" s="74">
        <f>Tabla134[[#This Row],[Purchased amount (g or ml)]]*0.8</f>
        <v>20</v>
      </c>
      <c r="O168" s="70">
        <f>Tabla13[[#This Row],[Total amount to be purchased (g or ml)]]</f>
        <v>25</v>
      </c>
      <c r="P168" s="78">
        <f>Tabla13[[#This Row],[Needed amount of chemical (g); Ruben Leitat calculations]]</f>
        <v>60</v>
      </c>
      <c r="Q168" s="78">
        <f>Tabla13[[#This Row],[Needed amount of chemical (g); Stefan UFZ calculations]]</f>
        <v>2.0220715191603422</v>
      </c>
      <c r="R168" s="2"/>
      <c r="S168" s="2" t="str">
        <f>Tabla13[[#This Row],[EC50 fish]]</f>
        <v>2-100 mg/L</v>
      </c>
      <c r="T168" s="2" t="str">
        <f>Tabla13[[#This Row],[EC50 daphnia]]</f>
        <v>EC50 0.8753 mg/L (predicted)</v>
      </c>
      <c r="U168" s="2">
        <f>Tabla134[[#This Row],[Used amount of chemical for stocks (g)]]*1000/Tabla134[[#This Row],[Proposed stock concentration (g/L)]]</f>
        <v>400</v>
      </c>
      <c r="V168" s="100"/>
      <c r="W168" s="100">
        <f>Tabla134[[#This Row],[trials solubility (g  to be used)]]*1000/100</f>
        <v>0</v>
      </c>
      <c r="X168" s="100"/>
      <c r="Y168" s="100"/>
    </row>
    <row r="169" spans="1:25" ht="66.75" customHeight="1">
      <c r="A169" s="10" t="str">
        <f>Tabla1[[#This Row],[Compound]]</f>
        <v>Tetracycline
(Tetracycline hydrochloride)</v>
      </c>
      <c r="B169" s="10" t="str">
        <f>Tabla1[[#This Row],[Prec.Tox code]]</f>
        <v>PTX063</v>
      </c>
      <c r="C169" s="2" t="str">
        <f>Tabla1[[#This Row],[CAS number]]</f>
        <v>60-54-8
(64-75-5)</v>
      </c>
      <c r="D169" s="2" t="s">
        <v>2458</v>
      </c>
      <c r="E169" s="2">
        <f>Tabla13[[#This Row],['[max.'] to reach 100% mortality (mg/L)]]/1000</f>
        <v>75.971000000000004</v>
      </c>
      <c r="F169" s="90">
        <f>Tabla13[[#This Row],[Needed amount of chemical (g); Stefan UFZ calculations]]/5</f>
        <v>720.7972796702029</v>
      </c>
      <c r="G169" s="2">
        <f>MAX(Tabla134[[#This Row],['[max.'] to reach 100% mortality (g/L) Leitat]:['[max.'] to reach baseline toxicity (g/L) UFZ]])*1000</f>
        <v>720797.27967020287</v>
      </c>
      <c r="H169" s="2" t="str">
        <f>Tabla1[[#This Row],[Solubility (DMSO)]]</f>
        <v>89-125 g/L</v>
      </c>
      <c r="I169" s="2" t="str">
        <f>Tabla1[[#This Row],[Solubility (H2O)]]</f>
        <v>1.7 g/l</v>
      </c>
      <c r="J169" s="2" t="s">
        <v>2459</v>
      </c>
      <c r="K169" s="92" t="s">
        <v>34</v>
      </c>
      <c r="L169" s="89">
        <v>28</v>
      </c>
      <c r="M169" s="83" t="str">
        <f>Tabla1[[#This Row],[(exempted g or ml)]]</f>
        <v>Not regulated; any amount limit in internal packages</v>
      </c>
      <c r="N169" s="74">
        <f>Tabla134[[#This Row],[Proposed stock volume (per partner; ml -or g-)]]*10</f>
        <v>280</v>
      </c>
      <c r="O169" s="70">
        <f>Tabla13[[#This Row],[Total amount to be purchased (g or ml)]]</f>
        <v>300</v>
      </c>
      <c r="P169" s="78">
        <f>Tabla13[[#This Row],[Needed amount of chemical (g); Ruben Leitat calculations]]</f>
        <v>455.82600000000002</v>
      </c>
      <c r="Q169" s="78">
        <f>Tabla13[[#This Row],[Needed amount of chemical (g); Stefan UFZ calculations]]</f>
        <v>3603.9863983510145</v>
      </c>
      <c r="R169" s="2" t="s">
        <v>2460</v>
      </c>
      <c r="S169" s="2" t="str">
        <f>Tabla13[[#This Row],[EC50 fish]]</f>
        <v>LC50 759.71 mg/L</v>
      </c>
      <c r="T169" s="2" t="str">
        <f>Tabla13[[#This Row],[EC50 daphnia]]</f>
        <v>EC50 (Anabaena flos-aquae (cyanobacterium)): 6,2 mg/l</v>
      </c>
      <c r="U169" s="2" t="e">
        <f>Tabla134[[#This Row],[Used amount of chemical for stocks (g)]]*1000/Tabla134[[#This Row],[Proposed stock concentration (g/L)]]</f>
        <v>#VALUE!</v>
      </c>
      <c r="V169" s="100"/>
      <c r="W169" s="100">
        <f>Tabla134[[#This Row],[trials solubility (g  to be used)]]*1000/100</f>
        <v>0</v>
      </c>
      <c r="X169" s="100"/>
      <c r="Y169" s="100"/>
    </row>
    <row r="170" spans="1:25" ht="66.75" customHeight="1">
      <c r="A170" s="10" t="str">
        <f>Tabla1[[#This Row],[Compound]]</f>
        <v>Toluene-2,5-diamine (sulphate)</v>
      </c>
      <c r="B170" s="10" t="str">
        <f>Tabla1[[#This Row],[Prec.Tox code]]</f>
        <v>PTX064</v>
      </c>
      <c r="C170" s="2" t="str">
        <f>Tabla1[[#This Row],[CAS number]]</f>
        <v>615-50-9</v>
      </c>
      <c r="D170" s="2"/>
      <c r="E170" s="2">
        <f>Tabla13[[#This Row],['[max.'] to reach 100% mortality (mg/L)]]/1000</f>
        <v>0.11899999999999999</v>
      </c>
      <c r="F170" s="90">
        <f>Tabla13[[#This Row],[Needed amount of chemical (g); Stefan UFZ calculations]]/5</f>
        <v>8.2571504146023891</v>
      </c>
      <c r="G170" s="2">
        <f>MAX(Tabla134[[#This Row],['[max.'] to reach 100% mortality (g/L) Leitat]:['[max.'] to reach baseline toxicity (g/L) UFZ]])*1000</f>
        <v>8257.150414602389</v>
      </c>
      <c r="H170" s="2" t="str">
        <f>Tabla1[[#This Row],[Solubility (DMSO)]]</f>
        <v>5-15 g/l</v>
      </c>
      <c r="I170" s="2" t="str">
        <f>Tabla1[[#This Row],[Solubility (H2O)]]</f>
        <v>5.03 g/L</v>
      </c>
      <c r="J170" s="2" t="s">
        <v>2459</v>
      </c>
      <c r="K170" s="92" t="s">
        <v>34</v>
      </c>
      <c r="L170" s="89">
        <v>2.2000000000000002</v>
      </c>
      <c r="M170" s="83">
        <f>Tabla1[[#This Row],[(exempted g or ml)]]</f>
        <v>30</v>
      </c>
      <c r="N170" s="74">
        <f>Tabla134[[#This Row],[Proposed stock volume (per partner; ml -or g-)]]*10</f>
        <v>22</v>
      </c>
      <c r="O170" s="70">
        <f>Tabla13[[#This Row],[Total amount to be purchased (g or ml)]]</f>
        <v>25</v>
      </c>
      <c r="P170" s="78">
        <f>Tabla13[[#This Row],[Needed amount of chemical (g); Ruben Leitat calculations]]</f>
        <v>0.71399999999999997</v>
      </c>
      <c r="Q170" s="78">
        <f>Tabla13[[#This Row],[Needed amount of chemical (g); Stefan UFZ calculations]]</f>
        <v>41.285752073011942</v>
      </c>
      <c r="R170" s="2" t="s">
        <v>2461</v>
      </c>
      <c r="S170" s="2" t="str">
        <f>Tabla13[[#This Row],[EC50 fish]]</f>
        <v>flow-through test LC50 - Danio rerio (zebra fish) - 1,08 mg/l - 96 h</v>
      </c>
      <c r="T170" s="2" t="str">
        <f>Tabla13[[#This Row],[EC50 daphnia]]</f>
        <v>static test EC50 - Daphnia magna (Water flea) - 1,19 mg/l - 48 h</v>
      </c>
      <c r="U170" s="2" t="e">
        <f>Tabla134[[#This Row],[Used amount of chemical for stocks (g)]]*1000/Tabla134[[#This Row],[Proposed stock concentration (g/L)]]</f>
        <v>#VALUE!</v>
      </c>
      <c r="V170" s="100"/>
      <c r="W170" s="100">
        <f>Tabla134[[#This Row],[trials solubility (g  to be used)]]*1000/100</f>
        <v>0</v>
      </c>
      <c r="X170" s="100"/>
      <c r="Y170" s="100"/>
    </row>
    <row r="171" spans="1:25" ht="66.75" customHeight="1">
      <c r="A171" s="10" t="str">
        <f>Tabla1[[#This Row],[Compound]]</f>
        <v>N,N-Dimethylformamide</v>
      </c>
      <c r="B171" s="10" t="str">
        <f>Tabla1[[#This Row],[Prec.Tox code]]</f>
        <v>PTX065</v>
      </c>
      <c r="C171" s="2" t="str">
        <f>Tabla1[[#This Row],[CAS number]]</f>
        <v>68-12-2</v>
      </c>
      <c r="D171" s="2"/>
      <c r="E171" s="2">
        <f>Tabla13[[#This Row],['[max.'] to reach 100% mortality (mg/L)]]/1000</f>
        <v>1310</v>
      </c>
      <c r="F171" s="90">
        <f>Tabla13[[#This Row],[Needed amount of chemical (g); Stefan UFZ calculations]]/5</f>
        <v>94.466242561753319</v>
      </c>
      <c r="G171" s="2">
        <f>MAX(Tabla134[[#This Row],['[max.'] to reach 100% mortality (g/L) Leitat]:['[max.'] to reach baseline toxicity (g/L) UFZ]])*1000</f>
        <v>1310000</v>
      </c>
      <c r="H171" s="2" t="str">
        <f>Tabla1[[#This Row],[Solubility (DMSO)]]</f>
        <v>'soluble'</v>
      </c>
      <c r="I171" s="2" t="str">
        <f>Tabla1[[#This Row],[Solubility (H2O)]]</f>
        <v>1.000 g/l (completely miscible)</v>
      </c>
      <c r="J171" s="2" t="s">
        <v>2393</v>
      </c>
      <c r="K171" s="92" t="s">
        <v>34</v>
      </c>
      <c r="L171" s="89">
        <v>330</v>
      </c>
      <c r="M171" s="83">
        <f>Tabla1[[#This Row],[(exempted g or ml)]]</f>
        <v>30</v>
      </c>
      <c r="N171" s="74">
        <f>Tabla134[[#This Row],[Proposed stock volume (per partner; ml -or g-)]]*10</f>
        <v>3300</v>
      </c>
      <c r="O171" s="70">
        <f>Tabla13[[#This Row],[Total amount to be purchased (g or ml)]]</f>
        <v>4000</v>
      </c>
      <c r="P171" s="78">
        <f>Tabla13[[#This Row],[Needed amount of chemical (g); Ruben Leitat calculations]]</f>
        <v>7860</v>
      </c>
      <c r="Q171" s="78">
        <f>Tabla13[[#This Row],[Needed amount of chemical (g); Stefan UFZ calculations]]</f>
        <v>472.33121280876662</v>
      </c>
      <c r="R171" s="2" t="s">
        <v>2462</v>
      </c>
      <c r="S171" s="2" t="str">
        <f>Tabla13[[#This Row],[EC50 fish]]</f>
        <v>flow-through test LC50 - Lepomis macrochirus (Bluegill sunfish) - 7.100 mg/l - 96 h</v>
      </c>
      <c r="T171" s="2" t="str">
        <f>Tabla13[[#This Row],[EC50 daphnia]]</f>
        <v>static test EC50 - Daphnia magna (Water flea) - 13.100 mg/l - 48 h</v>
      </c>
      <c r="U171" s="2" t="e">
        <f>Tabla134[[#This Row],[Used amount of chemical for stocks (g)]]*1000/Tabla134[[#This Row],[Proposed stock concentration (g/L)]]</f>
        <v>#VALUE!</v>
      </c>
      <c r="V171" s="100"/>
      <c r="W171" s="100">
        <f>Tabla134[[#This Row],[trials solubility (g  to be used)]]*1000/100</f>
        <v>0</v>
      </c>
      <c r="X171" s="100"/>
      <c r="Y171" s="100"/>
    </row>
    <row r="172" spans="1:25" ht="66.75" customHeight="1">
      <c r="A172" s="10" t="str">
        <f>Tabla1[[#This Row],[Compound]]</f>
        <v>N,N'-bis-(2-hydroxyethyl)-2-nitro-p-phenylenediamine</v>
      </c>
      <c r="B172" s="10" t="str">
        <f>Tabla1[[#This Row],[Prec.Tox code]]</f>
        <v>PTX066</v>
      </c>
      <c r="C172" s="2" t="str">
        <f>Tabla1[[#This Row],[CAS number]]</f>
        <v>84041-77-0</v>
      </c>
      <c r="D172" s="2"/>
      <c r="E172" s="2" t="e">
        <f>Tabla13[[#This Row],['[max.'] to reach 100% mortality (mg/L)]]/1000</f>
        <v>#VALUE!</v>
      </c>
      <c r="F172" s="90">
        <f>Tabla13[[#This Row],[Needed amount of chemical (g); Stefan UFZ calculations]]/5</f>
        <v>2.3180552682962725</v>
      </c>
      <c r="G172" s="2" t="e">
        <f>MAX(Tabla134[[#This Row],['[max.'] to reach 100% mortality (g/L) Leitat]:['[max.'] to reach baseline toxicity (g/L) UFZ]])*1000</f>
        <v>#VALUE!</v>
      </c>
      <c r="H172" s="2" t="str">
        <f>Tabla1[[#This Row],[Solubility (DMSO)]]</f>
        <v>7.5 g/l</v>
      </c>
      <c r="I172" s="2" t="str">
        <f>Tabla1[[#This Row],[Solubility (H2O)]]</f>
        <v>&gt;100 g/l</v>
      </c>
      <c r="J172" s="2" t="s">
        <v>2459</v>
      </c>
      <c r="K172" s="92" t="s">
        <v>34</v>
      </c>
      <c r="L172" s="89">
        <v>2.2000000000000002</v>
      </c>
      <c r="M172" s="83" t="str">
        <f>Tabla1[[#This Row],[(exempted g or ml)]]</f>
        <v>Not regulated; any amount limit in internal packages</v>
      </c>
      <c r="N172" s="74">
        <f>Tabla134[[#This Row],[Proposed stock volume (per partner; ml -or g-)]]*10</f>
        <v>22</v>
      </c>
      <c r="O172" s="70">
        <f>Tabla13[[#This Row],[Total amount to be purchased (g or ml)]]</f>
        <v>25</v>
      </c>
      <c r="P172" s="78" t="str">
        <f>Tabla13[[#This Row],[Needed amount of chemical (g); Ruben Leitat calculations]]</f>
        <v>unknown</v>
      </c>
      <c r="Q172" s="78">
        <f>Tabla13[[#This Row],[Needed amount of chemical (g); Stefan UFZ calculations]]</f>
        <v>11.590276341481363</v>
      </c>
      <c r="R172" s="2" t="s">
        <v>2461</v>
      </c>
      <c r="S172" s="2" t="str">
        <f>Tabla13[[#This Row],[EC50 fish]]</f>
        <v>?</v>
      </c>
      <c r="T172" s="2" t="str">
        <f>Tabla13[[#This Row],[EC50 daphnia]]</f>
        <v>?</v>
      </c>
      <c r="U172" s="2" t="e">
        <f>Tabla134[[#This Row],[Used amount of chemical for stocks (g)]]*1000/Tabla134[[#This Row],[Proposed stock concentration (g/L)]]</f>
        <v>#VALUE!</v>
      </c>
      <c r="V172" s="100"/>
      <c r="W172" s="100">
        <f>Tabla134[[#This Row],[trials solubility (g  to be used)]]*1000/100</f>
        <v>0</v>
      </c>
      <c r="X172" s="100"/>
      <c r="Y172" s="100"/>
    </row>
    <row r="173" spans="1:25" ht="66.75" customHeight="1">
      <c r="A173" s="10" t="str">
        <f>Tabla1[[#This Row],[Compound]]</f>
        <v>Cyproconazole</v>
      </c>
      <c r="B173" s="10" t="str">
        <f>Tabla1[[#This Row],[Prec.Tox code]]</f>
        <v>PTX067</v>
      </c>
      <c r="C173" s="2" t="str">
        <f>Tabla1[[#This Row],[CAS number]]</f>
        <v>94361-06-5</v>
      </c>
      <c r="D173" s="2"/>
      <c r="E173" s="2">
        <f>Tabla13[[#This Row],['[max.'] to reach 100% mortality (mg/L)]]/1000</f>
        <v>1.9</v>
      </c>
      <c r="F173" s="90">
        <f>Tabla13[[#This Row],[Needed amount of chemical (g); Stefan UFZ calculations]]/5</f>
        <v>0.10170106948008448</v>
      </c>
      <c r="G173" s="2">
        <f>MAX(Tabla134[[#This Row],['[max.'] to reach 100% mortality (g/L) Leitat]:['[max.'] to reach baseline toxicity (g/L) UFZ]])*1000</f>
        <v>1900</v>
      </c>
      <c r="H173" s="2" t="str">
        <f>Tabla1[[#This Row],[Solubility (DMSO)]]</f>
        <v>'soluble' (18-180 g/L?)</v>
      </c>
      <c r="I173" s="2" t="str">
        <f>Tabla1[[#This Row],[Solubility (H2O)]]</f>
        <v>93 mg/L</v>
      </c>
      <c r="J173" s="2" t="s">
        <v>2423</v>
      </c>
      <c r="K173" s="92">
        <v>128</v>
      </c>
      <c r="L173" s="89">
        <f>Tabla134[[#This Row],[V DMSO to be used to perform the stocks]]/10</f>
        <v>5</v>
      </c>
      <c r="M173" s="83">
        <f>Tabla1[[#This Row],[(exempted g or ml)]]</f>
        <v>30</v>
      </c>
      <c r="N173" s="74">
        <v>6.4</v>
      </c>
      <c r="O173" s="70">
        <f>Tabla13[[#This Row],[Total amount to be purchased (g or ml)]]</f>
        <v>10</v>
      </c>
      <c r="P173" s="78">
        <f>Tabla13[[#This Row],[Needed amount of chemical (g); Ruben Leitat calculations]]</f>
        <v>11.4</v>
      </c>
      <c r="Q173" s="78">
        <f>Tabla13[[#This Row],[Needed amount of chemical (g); Stefan UFZ calculations]]</f>
        <v>0.50850534740042241</v>
      </c>
      <c r="R173" s="2"/>
      <c r="S173" s="2" t="str">
        <f>Tabla13[[#This Row],[EC50 fish]]</f>
        <v>LC50 - Oncorhynchus mykiss (rainbow trout) - 19 mg/l - 96,0 h</v>
      </c>
      <c r="T173" s="2" t="str">
        <f>Tabla13[[#This Row],[EC50 daphnia]]</f>
        <v>?</v>
      </c>
      <c r="U173" s="2">
        <f>Tabla134[[#This Row],[Used amount of chemical for stocks (g)]]*1000/Tabla134[[#This Row],[Proposed stock concentration (g/L)]]</f>
        <v>50</v>
      </c>
      <c r="V173" s="100"/>
      <c r="W173" s="100">
        <f>Tabla134[[#This Row],[trials solubility (g  to be used)]]*1000/100</f>
        <v>0</v>
      </c>
      <c r="X173" s="100"/>
      <c r="Y173" s="100"/>
    </row>
    <row r="174" spans="1:25" ht="66.75" customHeight="1">
      <c r="A174" s="10" t="str">
        <f>Tabla1[[#This Row],[Compound]]</f>
        <v>o-Aminophenol</v>
      </c>
      <c r="B174" s="10" t="str">
        <f>Tabla1[[#This Row],[Prec.Tox code]]</f>
        <v>PTX068</v>
      </c>
      <c r="C174" s="2" t="str">
        <f>Tabla1[[#This Row],[CAS number]]</f>
        <v>95-55-6</v>
      </c>
      <c r="D174" s="2"/>
      <c r="E174" s="2">
        <f>Tabla13[[#This Row],['[max.'] to reach 100% mortality (mg/L)]]/1000</f>
        <v>3.5</v>
      </c>
      <c r="F174" s="90">
        <f>Tabla13[[#This Row],[Needed amount of chemical (g); Stefan UFZ calculations]]/5</f>
        <v>3.2997973316663254</v>
      </c>
      <c r="G174" s="2">
        <f>MAX(Tabla134[[#This Row],['[max.'] to reach 100% mortality (g/L) Leitat]:['[max.'] to reach baseline toxicity (g/L) UFZ]])*1000</f>
        <v>3500</v>
      </c>
      <c r="H174" s="2" t="str">
        <f>Tabla1[[#This Row],[Solubility (DMSO)]]</f>
        <v>'Slightly Soluble'</v>
      </c>
      <c r="I174" s="2" t="str">
        <f>Tabla1[[#This Row],[Solubility (H2O)]]</f>
        <v>17 g/L</v>
      </c>
      <c r="J174" s="2" t="s">
        <v>2459</v>
      </c>
      <c r="K174" s="92" t="s">
        <v>34</v>
      </c>
      <c r="L174" s="89">
        <v>9</v>
      </c>
      <c r="M174" s="83">
        <f>Tabla1[[#This Row],[(exempted g or ml)]]</f>
        <v>30</v>
      </c>
      <c r="N174" s="74">
        <f>Tabla134[[#This Row],[Proposed stock volume (per partner; ml -or g-)]]*10</f>
        <v>90</v>
      </c>
      <c r="O174" s="70">
        <f>Tabla13[[#This Row],[Total amount to be purchased (g or ml)]]</f>
        <v>100</v>
      </c>
      <c r="P174" s="78">
        <f>Tabla13[[#This Row],[Needed amount of chemical (g); Ruben Leitat calculations]]</f>
        <v>21</v>
      </c>
      <c r="Q174" s="78">
        <f>Tabla13[[#This Row],[Needed amount of chemical (g); Stefan UFZ calculations]]</f>
        <v>16.498986658331628</v>
      </c>
      <c r="R174" s="2" t="s">
        <v>2463</v>
      </c>
      <c r="S174" s="2" t="str">
        <f>Tabla13[[#This Row],[EC50 fish]]</f>
        <v>LC50 - Leuciscus idus (Golden orfe) - 0,1 mg/l</v>
      </c>
      <c r="T174" s="2" t="str">
        <f>Tabla13[[#This Row],[EC50 daphnia]]</f>
        <v>EC50 - Daphnia magna (Water flea) - 35 mg/l - 24 h</v>
      </c>
      <c r="U174" s="2" t="e">
        <f>Tabla134[[#This Row],[Used amount of chemical for stocks (g)]]*1000/Tabla134[[#This Row],[Proposed stock concentration (g/L)]]</f>
        <v>#VALUE!</v>
      </c>
      <c r="V174" s="100"/>
      <c r="W174" s="100">
        <f>Tabla134[[#This Row],[trials solubility (g  to be used)]]*1000/100</f>
        <v>0</v>
      </c>
      <c r="X174" s="100"/>
      <c r="Y174" s="100"/>
    </row>
    <row r="175" spans="1:25" ht="66.75" customHeight="1">
      <c r="A175" s="10" t="str">
        <f>Tabla1[[#This Row],[Compound]]</f>
        <v>Tigecycline </v>
      </c>
      <c r="B175" s="10" t="str">
        <f>Tabla1[[#This Row],[Prec.Tox code]]</f>
        <v>PTX069</v>
      </c>
      <c r="C175" s="2" t="str">
        <f>Tabla1[[#This Row],[CAS number]]</f>
        <v>220620-09-7</v>
      </c>
      <c r="D175" s="2"/>
      <c r="E175" s="2">
        <f>Tabla13[[#This Row],['[max.'] to reach 100% mortality (mg/L)]]/1000</f>
        <v>0.2</v>
      </c>
      <c r="F175" s="90">
        <f>Tabla13[[#This Row],[Needed amount of chemical (g); Stefan UFZ calculations]]/5</f>
        <v>949.82605799903615</v>
      </c>
      <c r="G175" s="2">
        <f>MAX(Tabla134[[#This Row],['[max.'] to reach 100% mortality (g/L) Leitat]:['[max.'] to reach baseline toxicity (g/L) UFZ]])*1000</f>
        <v>949826.05799903616</v>
      </c>
      <c r="H175" s="2" t="str">
        <f>Tabla1[[#This Row],[Solubility (DMSO)]]</f>
        <v>&gt; 3 g/L</v>
      </c>
      <c r="I175" s="2" t="str">
        <f>Tabla1[[#This Row],[Solubility (H2O)]]</f>
        <v>0.45 g/L</v>
      </c>
      <c r="J175" s="2" t="s">
        <v>2459</v>
      </c>
      <c r="K175" s="92" t="s">
        <v>34</v>
      </c>
      <c r="L175" s="89">
        <v>0.1</v>
      </c>
      <c r="M175" s="83">
        <f>Tabla1[[#This Row],[(exempted g or ml)]]</f>
        <v>30</v>
      </c>
      <c r="N175" s="74">
        <f>Tabla134[[#This Row],[Proposed stock volume (per partner; ml -or g-)]]*10</f>
        <v>1</v>
      </c>
      <c r="O175" s="70">
        <f>Tabla13[[#This Row],[Total amount to be purchased (g or ml)]]</f>
        <v>1</v>
      </c>
      <c r="P175" s="78">
        <f>Tabla13[[#This Row],[Needed amount of chemical (g); Ruben Leitat calculations]]</f>
        <v>1.2</v>
      </c>
      <c r="Q175" s="78">
        <f>Tabla13[[#This Row],[Needed amount of chemical (g); Stefan UFZ calculations]]</f>
        <v>4749.1302899951806</v>
      </c>
      <c r="R175" s="2" t="s">
        <v>2464</v>
      </c>
      <c r="S175" s="2" t="str">
        <f>Tabla13[[#This Row],[EC50 fish]]</f>
        <v>?</v>
      </c>
      <c r="T175" s="2" t="str">
        <f>Tabla13[[#This Row],[EC50 daphnia]]</f>
        <v>EC50 - Daphnia magna (Water flea) - 2 mg/l - 48 h</v>
      </c>
      <c r="U175" s="2" t="e">
        <f>Tabla134[[#This Row],[Used amount of chemical for stocks (g)]]*1000/Tabla134[[#This Row],[Proposed stock concentration (g/L)]]</f>
        <v>#VALUE!</v>
      </c>
      <c r="V175" s="100"/>
      <c r="W175" s="100">
        <f>Tabla134[[#This Row],[trials solubility (g  to be used)]]*1000/100</f>
        <v>0</v>
      </c>
      <c r="X175" s="100"/>
      <c r="Y175" s="100"/>
    </row>
    <row r="176" spans="1:25" ht="66.75" customHeight="1">
      <c r="A176" s="10" t="str">
        <f>Tabla1[[#This Row],[Compound]]</f>
        <v>Rotenone  </v>
      </c>
      <c r="B176" s="10" t="str">
        <f>Tabla1[[#This Row],[Prec.Tox code]]</f>
        <v>PTX070</v>
      </c>
      <c r="C176" s="2" t="str">
        <f>Tabla1[[#This Row],[CAS number]]</f>
        <v>83-79-4</v>
      </c>
      <c r="D176" s="2"/>
      <c r="E176" s="2">
        <f>Tabla13[[#This Row],['[max.'] to reach 100% mortality (mg/L)]]/1000</f>
        <v>0.06</v>
      </c>
      <c r="F176" s="90">
        <f>Tabla13[[#This Row],[Needed amount of chemical (g); Stefan UFZ calculations]]/5</f>
        <v>1.6411635005411793E-2</v>
      </c>
      <c r="G176" s="2">
        <f>MAX(Tabla134[[#This Row],['[max.'] to reach 100% mortality (g/L) Leitat]:['[max.'] to reach baseline toxicity (g/L) UFZ]])*1000</f>
        <v>60</v>
      </c>
      <c r="H176" s="2" t="str">
        <f>Tabla1[[#This Row],[Solubility (DMSO)]]</f>
        <v>50 g/L</v>
      </c>
      <c r="I176" s="2" t="str">
        <f>Tabla1[[#This Row],[Solubility (H2O)]]</f>
        <v xml:space="preserve"> 0.1 g/L</v>
      </c>
      <c r="J176" s="2" t="s">
        <v>2423</v>
      </c>
      <c r="K176" s="92">
        <v>5.7</v>
      </c>
      <c r="L176" s="89">
        <f>Tabla134[[#This Row],[V DMSO to be used to perform the stocks]]/10</f>
        <v>10</v>
      </c>
      <c r="M176" s="83">
        <f>Tabla1[[#This Row],[(exempted g or ml)]]</f>
        <v>1</v>
      </c>
      <c r="N176" s="74">
        <v>0.56999999999999995</v>
      </c>
      <c r="O176" s="70">
        <f>Tabla13[[#This Row],[Total amount to be purchased (g or ml)]]</f>
        <v>1</v>
      </c>
      <c r="P176" s="78">
        <f>Tabla13[[#This Row],[Needed amount of chemical (g); Ruben Leitat calculations]]</f>
        <v>0.36</v>
      </c>
      <c r="Q176" s="78">
        <f>Tabla13[[#This Row],[Needed amount of chemical (g); Stefan UFZ calculations]]</f>
        <v>8.2058175027058963E-2</v>
      </c>
      <c r="R176" s="2"/>
      <c r="S176" s="2" t="str">
        <f>Tabla13[[#This Row],[EC50 fish]]</f>
        <v>LC50 - Carassius auratus (goldfish) - 0,41 - 0,6 mg/l - 96 h</v>
      </c>
      <c r="T176" s="2" t="str">
        <f>Tabla13[[#This Row],[EC50 daphnia]]</f>
        <v>EC50 - Daphnia pulex (Water flea) - 0,074 - 0,134 mg/l - 48 h</v>
      </c>
      <c r="U176" s="2">
        <f>Tabla134[[#This Row],[Used amount of chemical for stocks (g)]]*1000/Tabla134[[#This Row],[Proposed stock concentration (g/L)]]</f>
        <v>100</v>
      </c>
      <c r="V176" s="100"/>
      <c r="W176" s="100">
        <f>Tabla134[[#This Row],[trials solubility (g  to be used)]]*1000/100</f>
        <v>0</v>
      </c>
      <c r="X176" s="100"/>
      <c r="Y176" s="100"/>
    </row>
    <row r="177" spans="1:25" ht="66.75" customHeight="1">
      <c r="A177" s="10" t="str">
        <f>Tabla1[[#This Row],[Compound]]</f>
        <v>T-butyl hydroperoxide  </v>
      </c>
      <c r="B177" s="10" t="str">
        <f>Tabla1[[#This Row],[Prec.Tox code]]</f>
        <v>PTX071</v>
      </c>
      <c r="C177" s="2" t="str">
        <f>Tabla1[[#This Row],[CAS number]]</f>
        <v>75-91-2</v>
      </c>
      <c r="D177" s="2"/>
      <c r="E177" s="2">
        <f>Tabla13[[#This Row],['[max.'] to reach 100% mortality (mg/L)]]/1000</f>
        <v>2.9609999999999999</v>
      </c>
      <c r="F177" s="90">
        <f>Tabla13[[#This Row],[Needed amount of chemical (g); Stefan UFZ calculations]]/5</f>
        <v>0.66785774704007161</v>
      </c>
      <c r="G177" s="2">
        <f>MAX(Tabla134[[#This Row],['[max.'] to reach 100% mortality (g/L) Leitat]:['[max.'] to reach baseline toxicity (g/L) UFZ]])*1000</f>
        <v>2961</v>
      </c>
      <c r="H177" s="2" t="str">
        <f>Tabla1[[#This Row],[Solubility (DMSO)]]</f>
        <v>&gt; 100 g/L</v>
      </c>
      <c r="I177" s="2" t="str">
        <f>Tabla1[[#This Row],[Solubility (H2O)]]</f>
        <v>691 g/L</v>
      </c>
      <c r="J177" s="2"/>
      <c r="K177" s="92" t="s">
        <v>59</v>
      </c>
      <c r="L177" s="89" t="e">
        <f>Tabla134[[#This Row],[V DMSO to be used to perform the stocks]]/10</f>
        <v>#VALUE!</v>
      </c>
      <c r="M177" s="83">
        <f>Tabla1[[#This Row],[(exempted g or ml)]]</f>
        <v>0</v>
      </c>
      <c r="N177" s="74">
        <f>Tabla134[[#This Row],[Purchased amount (g or ml)]]*0.8</f>
        <v>80</v>
      </c>
      <c r="O177" s="70">
        <f>Tabla13[[#This Row],[Total amount to be purchased (g or ml)]]</f>
        <v>100</v>
      </c>
      <c r="P177" s="78">
        <f>Tabla13[[#This Row],[Needed amount of chemical (g); Ruben Leitat calculations]]</f>
        <v>17.765999999999998</v>
      </c>
      <c r="Q177" s="78">
        <f>Tabla13[[#This Row],[Needed amount of chemical (g); Stefan UFZ calculations]]</f>
        <v>3.3392887352003582</v>
      </c>
      <c r="R177" s="2"/>
      <c r="S177" s="2" t="str">
        <f>Tabla13[[#This Row],[EC50 fish]]</f>
        <v>29.61 mg/L</v>
      </c>
      <c r="T177" s="2" t="str">
        <f>Tabla13[[#This Row],[EC50 daphnia]]</f>
        <v>14.07 mg/L</v>
      </c>
      <c r="U177" s="2" t="e">
        <f>Tabla134[[#This Row],[Used amount of chemical for stocks (g)]]*1000/Tabla134[[#This Row],[Proposed stock concentration (g/L)]]</f>
        <v>#VALUE!</v>
      </c>
      <c r="V177" s="100"/>
      <c r="W177" s="100">
        <f>Tabla134[[#This Row],[trials solubility (g  to be used)]]*1000/100</f>
        <v>0</v>
      </c>
      <c r="X177" s="100"/>
      <c r="Y177" s="100"/>
    </row>
    <row r="178" spans="1:25" ht="66.75" customHeight="1">
      <c r="A178" s="10" t="str">
        <f>Tabla1[[#This Row],[Compound]]</f>
        <v>Polychlorinated biphenyl (PCB nº28)</v>
      </c>
      <c r="B178" s="10" t="str">
        <f>Tabla1[[#This Row],[Prec.Tox code]]</f>
        <v>PTX073</v>
      </c>
      <c r="C178" s="2" t="str">
        <f>Tabla1[[#This Row],[CAS number]]</f>
        <v>7012-37-5</v>
      </c>
      <c r="D178" s="2"/>
      <c r="E178" s="2">
        <f>Tabla13[[#This Row],['[max.'] to reach 100% mortality (mg/L)]]/1000</f>
        <v>1.6E-2</v>
      </c>
      <c r="F178" s="90">
        <f>Tabla13[[#This Row],[Needed amount of chemical (g); Stefan UFZ calculations]]/5</f>
        <v>0</v>
      </c>
      <c r="G178" s="2">
        <f>MAX(Tabla134[[#This Row],['[max.'] to reach 100% mortality (g/L) Leitat]:['[max.'] to reach baseline toxicity (g/L) UFZ]])*1000</f>
        <v>16</v>
      </c>
      <c r="H178" s="2" t="str">
        <f>Tabla1[[#This Row],[Solubility (DMSO)]]</f>
        <v>?</v>
      </c>
      <c r="I178" s="2" t="str">
        <f>Tabla1[[#This Row],[Solubility (H2O)]]</f>
        <v>0.27 mg/L</v>
      </c>
      <c r="J178" s="2" t="s">
        <v>2423</v>
      </c>
      <c r="K178" s="92">
        <v>20</v>
      </c>
      <c r="L178" s="89">
        <f>Tabla134[[#This Row],[V DMSO to be used to perform the stocks]]/10</f>
        <v>0.25</v>
      </c>
      <c r="M178" s="83">
        <f>Tabla1[[#This Row],[(exempted g or ml)]]</f>
        <v>30</v>
      </c>
      <c r="N178" s="74">
        <f>Tabla134[[#This Row],[Purchased amount (g or ml)]]</f>
        <v>0.05</v>
      </c>
      <c r="O178" s="70">
        <f>Tabla13[[#This Row],[Total amount to be purchased (g or ml)]]</f>
        <v>0.05</v>
      </c>
      <c r="P178" s="78">
        <f>Tabla13[[#This Row],[Needed amount of chemical (g); Ruben Leitat calculations]]</f>
        <v>9.6000000000000002E-2</v>
      </c>
      <c r="Q178" s="78">
        <f>Tabla13[[#This Row],[Needed amount of chemical (g); Stefan UFZ calculations]]</f>
        <v>0</v>
      </c>
      <c r="R178" s="2"/>
      <c r="S178" s="2" t="str">
        <f>Tabla13[[#This Row],[EC50 fish]]</f>
        <v>LC50 - Pimephales promelas (fathead minnow) - &gt; 0,16 mg/l - 96,0h</v>
      </c>
      <c r="T178" s="2" t="str">
        <f>Tabla13[[#This Row],[EC50 daphnia]]</f>
        <v>EC50 - Daphnia magna (Water flea) - &gt; 0,16 mg/l - 48 h</v>
      </c>
      <c r="U178" s="2">
        <f>Tabla134[[#This Row],[Used amount of chemical for stocks (g)]]*1000/Tabla134[[#This Row],[Proposed stock concentration (g/L)]]</f>
        <v>2.5</v>
      </c>
      <c r="V178" s="100"/>
      <c r="W178" s="100">
        <f>Tabla134[[#This Row],[trials solubility (g  to be used)]]*1000/100</f>
        <v>0</v>
      </c>
      <c r="X178" s="100"/>
      <c r="Y178" s="100"/>
    </row>
    <row r="179" spans="1:25" ht="66.75" customHeight="1">
      <c r="A179" s="10" t="str">
        <f>Tabla1[[#This Row],[Compound]]</f>
        <v>Toluene (aka: toluol)</v>
      </c>
      <c r="B179" s="10">
        <f>Tabla1[[#This Row],[Prec.Tox code]]</f>
        <v>0</v>
      </c>
      <c r="C179" s="2" t="str">
        <f>Tabla1[[#This Row],[CAS number]]</f>
        <v>108-88-3</v>
      </c>
      <c r="D179" s="2"/>
      <c r="E179" s="2">
        <f>Tabla13[[#This Row],['[max.'] to reach 100% mortality (mg/L)]]/1000</f>
        <v>0.55000000000000004</v>
      </c>
      <c r="F179" s="90">
        <f>Tabla13[[#This Row],[Needed amount of chemical (g); Stefan UFZ calculations]]/5</f>
        <v>0</v>
      </c>
      <c r="G179" s="2">
        <f>MAX(Tabla134[[#This Row],['[max.'] to reach 100% mortality (g/L) Leitat]:['[max.'] to reach baseline toxicity (g/L) UFZ]])*1000</f>
        <v>550</v>
      </c>
      <c r="H179" s="2">
        <f>Tabla1[[#This Row],[Solubility (DMSO)]]</f>
        <v>0</v>
      </c>
      <c r="I179" s="2" t="str">
        <f>Tabla1[[#This Row],[Solubility (H2O)]]</f>
        <v>0,58 g/l</v>
      </c>
      <c r="J179" s="2"/>
      <c r="K179" s="92">
        <v>50</v>
      </c>
      <c r="L179" s="89">
        <f>Tabla134[[#This Row],[V DMSO to be used to perform the stocks]]/10</f>
        <v>0</v>
      </c>
      <c r="M179" s="83">
        <f>Tabla1[[#This Row],[(exempted g or ml)]]</f>
        <v>30</v>
      </c>
      <c r="N179" s="74">
        <f>Tabla134[[#This Row],[Purchased amount (g or ml)]]*0.8</f>
        <v>0</v>
      </c>
      <c r="O179" s="70">
        <f>Tabla13[[#This Row],[Total amount to be purchased (g or ml)]]</f>
        <v>0</v>
      </c>
      <c r="P179" s="78">
        <f>Tabla13[[#This Row],[Needed amount of chemical (g); Ruben Leitat calculations]]</f>
        <v>3.2999999999999994</v>
      </c>
      <c r="Q179" s="78">
        <f>Tabla13[[#This Row],[Needed amount of chemical (g); Stefan UFZ calculations]]</f>
        <v>0</v>
      </c>
      <c r="R179" s="2"/>
      <c r="S179" s="2" t="str">
        <f>Tabla13[[#This Row],[EC50 fish]]</f>
        <v>LC50 - Oncorhynchus kisutch (coho salmon) - 5,5 mg/l - 96 h</v>
      </c>
      <c r="T179" s="2" t="str">
        <f>Tabla13[[#This Row],[EC50 daphnia]]</f>
        <v>EC50 - Ceriodaphnia dubia (water flea) - 3,78 mg/l - 48 h</v>
      </c>
      <c r="U179" s="2">
        <f>Tabla134[[#This Row],[Used amount of chemical for stocks (g)]]*1000/Tabla134[[#This Row],[Proposed stock concentration (g/L)]]</f>
        <v>0</v>
      </c>
      <c r="V179" s="100"/>
      <c r="W179" s="100">
        <f>Tabla134[[#This Row],[trials solubility (g  to be used)]]*1000/100</f>
        <v>0</v>
      </c>
      <c r="X179" s="100"/>
      <c r="Y179" s="100"/>
    </row>
    <row r="180" spans="1:25" ht="66.75" customHeight="1">
      <c r="A180" s="10" t="str">
        <f>Tabla1[[#This Row],[Compound]]</f>
        <v>Thiacloprid</v>
      </c>
      <c r="B180" s="10">
        <f>Tabla1[[#This Row],[Prec.Tox code]]</f>
        <v>0</v>
      </c>
      <c r="C180" s="2" t="str">
        <f>Tabla1[[#This Row],[CAS number]]</f>
        <v>111988-49-9</v>
      </c>
      <c r="D180" s="2"/>
      <c r="E180" s="2">
        <f>Tabla13[[#This Row],['[max.'] to reach 100% mortality (mg/L)]]/1000</f>
        <v>2.52</v>
      </c>
      <c r="F180" s="90">
        <f>Tabla13[[#This Row],[Needed amount of chemical (g); Stefan UFZ calculations]]/5</f>
        <v>0</v>
      </c>
      <c r="G180" s="2">
        <f>MAX(Tabla134[[#This Row],['[max.'] to reach 100% mortality (g/L) Leitat]:['[max.'] to reach baseline toxicity (g/L) UFZ]])*1000</f>
        <v>2520</v>
      </c>
      <c r="H180" s="2">
        <f>Tabla1[[#This Row],[Solubility (DMSO)]]</f>
        <v>0</v>
      </c>
      <c r="I180" s="2" t="str">
        <f>Tabla1[[#This Row],[Solubility (H2O)]]</f>
        <v>0,184 g/l</v>
      </c>
      <c r="J180" s="2"/>
      <c r="K180" s="92">
        <v>50</v>
      </c>
      <c r="L180" s="89">
        <f>Tabla134[[#This Row],[V DMSO to be used to perform the stocks]]/10</f>
        <v>0</v>
      </c>
      <c r="M180" s="83">
        <f>Tabla1[[#This Row],[(exempted g or ml)]]</f>
        <v>30</v>
      </c>
      <c r="N180" s="74">
        <f>Tabla134[[#This Row],[Purchased amount (g or ml)]]*0.8</f>
        <v>0</v>
      </c>
      <c r="O180" s="70">
        <f>Tabla13[[#This Row],[Total amount to be purchased (g or ml)]]</f>
        <v>0</v>
      </c>
      <c r="P180" s="78">
        <f>Tabla13[[#This Row],[Needed amount of chemical (g); Ruben Leitat calculations]]</f>
        <v>15.12</v>
      </c>
      <c r="Q180" s="78">
        <f>Tabla13[[#This Row],[Needed amount of chemical (g); Stefan UFZ calculations]]</f>
        <v>0</v>
      </c>
      <c r="R180" s="2"/>
      <c r="S180" s="2" t="str">
        <f>Tabla13[[#This Row],[EC50 fish]]</f>
        <v>static test LC50 - Lepomis macrochirus (Bluegill) - 25,2 mg/l - 96 h</v>
      </c>
      <c r="T180" s="2" t="str">
        <f>Tabla13[[#This Row],[EC50 daphnia]]</f>
        <v>static test EC50 - other microorganisms - 0,006 mg/l - 48 h</v>
      </c>
      <c r="U180" s="2">
        <f>Tabla134[[#This Row],[Used amount of chemical for stocks (g)]]*1000/Tabla134[[#This Row],[Proposed stock concentration (g/L)]]</f>
        <v>0</v>
      </c>
      <c r="V180" s="100"/>
      <c r="W180" s="100">
        <f>Tabla134[[#This Row],[trials solubility (g  to be used)]]*1000/100</f>
        <v>0</v>
      </c>
      <c r="X180" s="100"/>
      <c r="Y180" s="100"/>
    </row>
    <row r="181" spans="1:25" ht="66.75" customHeight="1">
      <c r="A181" s="10" t="str">
        <f>Tabla1[[#This Row],[Compound]]</f>
        <v>Vetiveryl acetate</v>
      </c>
      <c r="B181" s="10">
        <f>Tabla1[[#This Row],[Prec.Tox code]]</f>
        <v>0</v>
      </c>
      <c r="C181" s="2" t="str">
        <f>Tabla1[[#This Row],[CAS number]]</f>
        <v xml:space="preserve">117-98-6
62563-80-8 </v>
      </c>
      <c r="D181" s="2"/>
      <c r="E181" s="2" t="e">
        <f>Tabla13[[#This Row],['[max.'] to reach 100% mortality (mg/L)]]/1000</f>
        <v>#VALUE!</v>
      </c>
      <c r="F181" s="90">
        <f>Tabla13[[#This Row],[Needed amount of chemical (g); Stefan UFZ calculations]]/5</f>
        <v>0</v>
      </c>
      <c r="G181" s="2" t="e">
        <f>MAX(Tabla134[[#This Row],['[max.'] to reach 100% mortality (g/L) Leitat]:['[max.'] to reach baseline toxicity (g/L) UFZ]])*1000</f>
        <v>#VALUE!</v>
      </c>
      <c r="H181" s="2">
        <f>Tabla1[[#This Row],[Solubility (DMSO)]]</f>
        <v>0</v>
      </c>
      <c r="I181" s="2">
        <f>Tabla1[[#This Row],[Solubility (H2O)]]</f>
        <v>0</v>
      </c>
      <c r="J181" s="2"/>
      <c r="K181" s="92">
        <v>50</v>
      </c>
      <c r="L181" s="89">
        <f>Tabla134[[#This Row],[V DMSO to be used to perform the stocks]]/10</f>
        <v>0</v>
      </c>
      <c r="M181" s="83" t="str">
        <f>Tabla1[[#This Row],[(exempted g or ml)]]</f>
        <v>Not regulated; any amount limit in internal packages</v>
      </c>
      <c r="N181" s="74">
        <f>Tabla134[[#This Row],[Purchased amount (g or ml)]]*0.8</f>
        <v>0</v>
      </c>
      <c r="O181" s="70">
        <f>Tabla13[[#This Row],[Total amount to be purchased (g or ml)]]</f>
        <v>0</v>
      </c>
      <c r="P181" s="78" t="str">
        <f>Tabla13[[#This Row],[Needed amount of chemical (g); Ruben Leitat calculations]]</f>
        <v>unknown</v>
      </c>
      <c r="Q181" s="78">
        <f>Tabla13[[#This Row],[Needed amount of chemical (g); Stefan UFZ calculations]]</f>
        <v>0</v>
      </c>
      <c r="R181" s="2"/>
      <c r="S181" s="2" t="str">
        <f>Tabla13[[#This Row],[EC50 fish]]</f>
        <v>?</v>
      </c>
      <c r="T181" s="2" t="str">
        <f>Tabla13[[#This Row],[EC50 daphnia]]</f>
        <v>?</v>
      </c>
      <c r="U181" s="2">
        <f>Tabla134[[#This Row],[Used amount of chemical for stocks (g)]]*1000/Tabla134[[#This Row],[Proposed stock concentration (g/L)]]</f>
        <v>0</v>
      </c>
      <c r="V181" s="100"/>
      <c r="W181" s="100">
        <f>Tabla134[[#This Row],[trials solubility (g  to be used)]]*1000/100</f>
        <v>0</v>
      </c>
      <c r="X181" s="100"/>
      <c r="Y181" s="100"/>
    </row>
    <row r="182" spans="1:25" ht="66.75" customHeight="1">
      <c r="A182" s="10" t="str">
        <f>Tabla1[[#This Row],[Compound]]</f>
        <v>Cetylpyridinium chloride (anhydrous)</v>
      </c>
      <c r="B182" s="10">
        <f>Tabla1[[#This Row],[Prec.Tox code]]</f>
        <v>0</v>
      </c>
      <c r="C182" s="2" t="str">
        <f>Tabla1[[#This Row],[CAS number]]</f>
        <v>123-03-5
6004-24-6</v>
      </c>
      <c r="D182" s="2"/>
      <c r="E182" s="2">
        <f>Tabla13[[#This Row],['[max.'] to reach 100% mortality (mg/L)]]/1000</f>
        <v>1.6E-2</v>
      </c>
      <c r="F182" s="90">
        <f>Tabla13[[#This Row],[Needed amount of chemical (g); Stefan UFZ calculations]]/5</f>
        <v>0</v>
      </c>
      <c r="G182" s="2">
        <f>MAX(Tabla134[[#This Row],['[max.'] to reach 100% mortality (g/L) Leitat]:['[max.'] to reach baseline toxicity (g/L) UFZ]])*1000</f>
        <v>16</v>
      </c>
      <c r="H182" s="2">
        <f>Tabla1[[#This Row],[Solubility (DMSO)]]</f>
        <v>0</v>
      </c>
      <c r="I182" s="2">
        <f>Tabla1[[#This Row],[Solubility (H2O)]]</f>
        <v>0</v>
      </c>
      <c r="J182" s="2"/>
      <c r="K182" s="92">
        <v>50</v>
      </c>
      <c r="L182" s="89">
        <f>Tabla134[[#This Row],[V DMSO to be used to perform the stocks]]/10</f>
        <v>0</v>
      </c>
      <c r="M182" s="83" t="str">
        <f>Tabla1[[#This Row],[(exempted g or ml)]]</f>
        <v>Not regulated; any amount limit in internal packages</v>
      </c>
      <c r="N182" s="74">
        <f>Tabla134[[#This Row],[Purchased amount (g or ml)]]*0.8</f>
        <v>0</v>
      </c>
      <c r="O182" s="70">
        <f>Tabla13[[#This Row],[Total amount to be purchased (g or ml)]]</f>
        <v>0</v>
      </c>
      <c r="P182" s="78">
        <f>Tabla13[[#This Row],[Needed amount of chemical (g); Ruben Leitat calculations]]</f>
        <v>9.6000000000000002E-2</v>
      </c>
      <c r="Q182" s="78">
        <f>Tabla13[[#This Row],[Needed amount of chemical (g); Stefan UFZ calculations]]</f>
        <v>0</v>
      </c>
      <c r="R182" s="2"/>
      <c r="S182" s="2" t="str">
        <f>Tabla13[[#This Row],[EC50 fish]]</f>
        <v>static test LC50 - Oncorhynchus mykiss (rainbow trout) - 0,16 mg/l - 96 h</v>
      </c>
      <c r="T182" s="2" t="str">
        <f>Tabla13[[#This Row],[EC50 daphnia]]</f>
        <v>semi-static test EC50 - Daphnia magna (Water flea) - 0,0041 mg/l - 48 h</v>
      </c>
      <c r="U182" s="2">
        <f>Tabla134[[#This Row],[Used amount of chemical for stocks (g)]]*1000/Tabla134[[#This Row],[Proposed stock concentration (g/L)]]</f>
        <v>0</v>
      </c>
      <c r="V182" s="100"/>
      <c r="W182" s="100">
        <f>Tabla134[[#This Row],[trials solubility (g  to be used)]]*1000/100</f>
        <v>0</v>
      </c>
      <c r="X182" s="100"/>
      <c r="Y182" s="100"/>
    </row>
    <row r="183" spans="1:25" ht="66.75" customHeight="1">
      <c r="A183" s="10" t="str">
        <f>Tabla1[[#This Row],[Compound]]</f>
        <v>2-Ethylhexyl diphenyl phosphate</v>
      </c>
      <c r="B183" s="10">
        <f>Tabla1[[#This Row],[Prec.Tox code]]</f>
        <v>0</v>
      </c>
      <c r="C183" s="2" t="str">
        <f>Tabla1[[#This Row],[CAS number]]</f>
        <v>1241-94-7</v>
      </c>
      <c r="D183" s="2"/>
      <c r="E183" s="2">
        <f>Tabla13[[#This Row],['[max.'] to reach 100% mortality (mg/L)]]/1000</f>
        <v>1.77</v>
      </c>
      <c r="F183" s="90">
        <f>Tabla13[[#This Row],[Needed amount of chemical (g); Stefan UFZ calculations]]/5</f>
        <v>0</v>
      </c>
      <c r="G183" s="2">
        <f>MAX(Tabla134[[#This Row],['[max.'] to reach 100% mortality (g/L) Leitat]:['[max.'] to reach baseline toxicity (g/L) UFZ]])*1000</f>
        <v>1770</v>
      </c>
      <c r="H183" s="2">
        <f>Tabla1[[#This Row],[Solubility (DMSO)]]</f>
        <v>0</v>
      </c>
      <c r="I183" s="2">
        <f>Tabla1[[#This Row],[Solubility (H2O)]]</f>
        <v>0</v>
      </c>
      <c r="J183" s="2"/>
      <c r="K183" s="92">
        <v>50</v>
      </c>
      <c r="L183" s="89">
        <f>Tabla134[[#This Row],[V DMSO to be used to perform the stocks]]/10</f>
        <v>0</v>
      </c>
      <c r="M183" s="83" t="str">
        <f>Tabla1[[#This Row],[(exempted g or ml)]]</f>
        <v>Not regulated; any amount limit in internal packages</v>
      </c>
      <c r="N183" s="74">
        <f>Tabla134[[#This Row],[Purchased amount (g or ml)]]*0.8</f>
        <v>0</v>
      </c>
      <c r="O183" s="70">
        <f>Tabla13[[#This Row],[Total amount to be purchased (g or ml)]]</f>
        <v>0</v>
      </c>
      <c r="P183" s="78">
        <f>Tabla13[[#This Row],[Needed amount of chemical (g); Ruben Leitat calculations]]</f>
        <v>10.619999999999997</v>
      </c>
      <c r="Q183" s="78">
        <f>Tabla13[[#This Row],[Needed amount of chemical (g); Stefan UFZ calculations]]</f>
        <v>0</v>
      </c>
      <c r="R183" s="2"/>
      <c r="S183" s="2" t="str">
        <f>Tabla13[[#This Row],[EC50 fish]]</f>
        <v>Fish: 48h LC50: 17.7 mg/L (Oryzias latipes)</v>
      </c>
      <c r="T183" s="2" t="str">
        <f>Tabla13[[#This Row],[EC50 daphnia]]</f>
        <v>48-h EC50: 0.38 mg/L</v>
      </c>
      <c r="U183" s="2">
        <f>Tabla134[[#This Row],[Used amount of chemical for stocks (g)]]*1000/Tabla134[[#This Row],[Proposed stock concentration (g/L)]]</f>
        <v>0</v>
      </c>
      <c r="V183" s="100"/>
      <c r="W183" s="100">
        <f>Tabla134[[#This Row],[trials solubility (g  to be used)]]*1000/100</f>
        <v>0</v>
      </c>
      <c r="X183" s="100"/>
      <c r="Y183" s="100"/>
    </row>
    <row r="184" spans="1:25" ht="66.75" customHeight="1">
      <c r="A184" s="10" t="str">
        <f>Tabla1[[#This Row],[Compound]]</f>
        <v>Tetrachloroethylene (aka: perchloroethylene: PERC/PCE)</v>
      </c>
      <c r="B184" s="10">
        <f>Tabla1[[#This Row],[Prec.Tox code]]</f>
        <v>0</v>
      </c>
      <c r="C184" s="2" t="str">
        <f>Tabla1[[#This Row],[CAS number]]</f>
        <v>127-18-4</v>
      </c>
      <c r="D184" s="2"/>
      <c r="E184" s="2">
        <f>Tabla13[[#This Row],['[max.'] to reach 100% mortality (mg/L)]]/1000</f>
        <v>0.75</v>
      </c>
      <c r="F184" s="90">
        <f>Tabla13[[#This Row],[Needed amount of chemical (g); Stefan UFZ calculations]]/5</f>
        <v>0</v>
      </c>
      <c r="G184" s="2">
        <f>MAX(Tabla134[[#This Row],['[max.'] to reach 100% mortality (g/L) Leitat]:['[max.'] to reach baseline toxicity (g/L) UFZ]])*1000</f>
        <v>750</v>
      </c>
      <c r="H184" s="2">
        <f>Tabla1[[#This Row],[Solubility (DMSO)]]</f>
        <v>0</v>
      </c>
      <c r="I184" s="2">
        <f>Tabla1[[#This Row],[Solubility (H2O)]]</f>
        <v>0</v>
      </c>
      <c r="J184" s="2"/>
      <c r="K184" s="92">
        <v>50</v>
      </c>
      <c r="L184" s="89">
        <f>Tabla134[[#This Row],[V DMSO to be used to perform the stocks]]/10</f>
        <v>0</v>
      </c>
      <c r="M184" s="83" t="str">
        <f>Tabla1[[#This Row],[(exempted g or ml)]]</f>
        <v>Not regulated; any amount limit in internal packages</v>
      </c>
      <c r="N184" s="74">
        <f>Tabla134[[#This Row],[Purchased amount (g or ml)]]*0.8</f>
        <v>0</v>
      </c>
      <c r="O184" s="70">
        <f>Tabla13[[#This Row],[Total amount to be purchased (g or ml)]]</f>
        <v>0</v>
      </c>
      <c r="P184" s="78">
        <f>Tabla13[[#This Row],[Needed amount of chemical (g); Ruben Leitat calculations]]</f>
        <v>4.5</v>
      </c>
      <c r="Q184" s="78">
        <f>Tabla13[[#This Row],[Needed amount of chemical (g); Stefan UFZ calculations]]</f>
        <v>0</v>
      </c>
      <c r="R184" s="2"/>
      <c r="S184" s="2" t="str">
        <f>Tabla13[[#This Row],[EC50 fish]]</f>
        <v>LC50 - Oncorhynchus mykiss (rainbow trout) - 5 mg/l - 96 h</v>
      </c>
      <c r="T184" s="2" t="str">
        <f>Tabla13[[#This Row],[EC50 daphnia]]</f>
        <v>EC50 - Daphnia magna (Water flea) - 7,50 mg/l - 48 h</v>
      </c>
      <c r="U184" s="2">
        <f>Tabla134[[#This Row],[Used amount of chemical for stocks (g)]]*1000/Tabla134[[#This Row],[Proposed stock concentration (g/L)]]</f>
        <v>0</v>
      </c>
      <c r="V184" s="100"/>
      <c r="W184" s="100">
        <f>Tabla134[[#This Row],[trials solubility (g  to be used)]]*1000/100</f>
        <v>0</v>
      </c>
      <c r="X184" s="100"/>
      <c r="Y184" s="100"/>
    </row>
    <row r="185" spans="1:25" ht="66.75" customHeight="1">
      <c r="A185" s="10" t="str">
        <f>Tabla1[[#This Row],[Compound]]</f>
        <v>Xylene (aka: xylol)</v>
      </c>
      <c r="B185" s="10">
        <f>Tabla1[[#This Row],[Prec.Tox code]]</f>
        <v>0</v>
      </c>
      <c r="C185" s="2" t="str">
        <f>Tabla1[[#This Row],[CAS number]]</f>
        <v>1330-20-7</v>
      </c>
      <c r="D185" s="2"/>
      <c r="E185" s="2">
        <f>Tabla13[[#This Row],['[max.'] to reach 100% mortality (mg/L)]]/1000</f>
        <v>0.47</v>
      </c>
      <c r="F185" s="90">
        <f>Tabla13[[#This Row],[Needed amount of chemical (g); Stefan UFZ calculations]]/5</f>
        <v>0</v>
      </c>
      <c r="G185" s="2">
        <f>MAX(Tabla134[[#This Row],['[max.'] to reach 100% mortality (g/L) Leitat]:['[max.'] to reach baseline toxicity (g/L) UFZ]])*1000</f>
        <v>470</v>
      </c>
      <c r="H185" s="2">
        <f>Tabla1[[#This Row],[Solubility (DMSO)]]</f>
        <v>0</v>
      </c>
      <c r="I185" s="2">
        <f>Tabla1[[#This Row],[Solubility (H2O)]]</f>
        <v>0</v>
      </c>
      <c r="J185" s="2"/>
      <c r="K185" s="92">
        <v>50</v>
      </c>
      <c r="L185" s="89">
        <f>Tabla134[[#This Row],[V DMSO to be used to perform the stocks]]/10</f>
        <v>0</v>
      </c>
      <c r="M185" s="83" t="str">
        <f>Tabla1[[#This Row],[(exempted g or ml)]]</f>
        <v>Not regulated; any amount limit in internal packages</v>
      </c>
      <c r="N185" s="74">
        <f>Tabla134[[#This Row],[Purchased amount (g or ml)]]*0.8</f>
        <v>0</v>
      </c>
      <c r="O185" s="70">
        <f>Tabla13[[#This Row],[Total amount to be purchased (g or ml)]]</f>
        <v>0</v>
      </c>
      <c r="P185" s="78">
        <f>Tabla13[[#This Row],[Needed amount of chemical (g); Ruben Leitat calculations]]</f>
        <v>2.8200000000000003</v>
      </c>
      <c r="Q185" s="78">
        <f>Tabla13[[#This Row],[Needed amount of chemical (g); Stefan UFZ calculations]]</f>
        <v>0</v>
      </c>
      <c r="R185" s="2"/>
      <c r="S185" s="2" t="str">
        <f>Tabla13[[#This Row],[EC50 fish]]</f>
        <v>static test LC50 - Oncorhynchus mykiss (rainbow trout) - 2,60 mg/l - 96 h (Xylene)</v>
      </c>
      <c r="T185" s="2" t="str">
        <f>Tabla13[[#This Row],[EC50 daphnia]]</f>
        <v>1.0 - 4.7 mg/L</v>
      </c>
      <c r="U185" s="2">
        <f>Tabla134[[#This Row],[Used amount of chemical for stocks (g)]]*1000/Tabla134[[#This Row],[Proposed stock concentration (g/L)]]</f>
        <v>0</v>
      </c>
      <c r="V185" s="100"/>
      <c r="W185" s="100">
        <f>Tabla134[[#This Row],[trials solubility (g  to be used)]]*1000/100</f>
        <v>0</v>
      </c>
      <c r="X185" s="100"/>
      <c r="Y185" s="100"/>
    </row>
    <row r="186" spans="1:25" ht="66.75" customHeight="1">
      <c r="A186" s="10" t="str">
        <f>Tabla1[[#This Row],[Compound]]</f>
        <v>chlordecone</v>
      </c>
      <c r="B186" s="10">
        <f>Tabla1[[#This Row],[Prec.Tox code]]</f>
        <v>0</v>
      </c>
      <c r="C186" s="2" t="str">
        <f>Tabla1[[#This Row],[CAS number]]</f>
        <v>143-50-0</v>
      </c>
      <c r="D186" s="2"/>
      <c r="E186" s="2">
        <f>Tabla13[[#This Row],['[max.'] to reach 100% mortality (mg/L)]]/1000</f>
        <v>2.5999999999999999E-2</v>
      </c>
      <c r="F186" s="90">
        <f>Tabla13[[#This Row],[Needed amount of chemical (g); Stefan UFZ calculations]]/5</f>
        <v>0</v>
      </c>
      <c r="G186" s="2">
        <f>MAX(Tabla134[[#This Row],['[max.'] to reach 100% mortality (g/L) Leitat]:['[max.'] to reach baseline toxicity (g/L) UFZ]])*1000</f>
        <v>26</v>
      </c>
      <c r="H186" s="2">
        <f>Tabla1[[#This Row],[Solubility (DMSO)]]</f>
        <v>0</v>
      </c>
      <c r="I186" s="2">
        <f>Tabla1[[#This Row],[Solubility (H2O)]]</f>
        <v>0</v>
      </c>
      <c r="J186" s="2"/>
      <c r="K186" s="92">
        <v>50</v>
      </c>
      <c r="L186" s="89">
        <f>Tabla134[[#This Row],[V DMSO to be used to perform the stocks]]/10</f>
        <v>0</v>
      </c>
      <c r="M186" s="83" t="str">
        <f>Tabla1[[#This Row],[(exempted g or ml)]]</f>
        <v>Not regulated; any amount limit in internal packages</v>
      </c>
      <c r="N186" s="74">
        <f>Tabla134[[#This Row],[Purchased amount (g or ml)]]*0.8</f>
        <v>0</v>
      </c>
      <c r="O186" s="70">
        <f>Tabla13[[#This Row],[Total amount to be purchased (g or ml)]]</f>
        <v>0</v>
      </c>
      <c r="P186" s="78">
        <f>Tabla13[[#This Row],[Needed amount of chemical (g); Ruben Leitat calculations]]</f>
        <v>0.156</v>
      </c>
      <c r="Q186" s="78">
        <f>Tabla13[[#This Row],[Needed amount of chemical (g); Stefan UFZ calculations]]</f>
        <v>0</v>
      </c>
      <c r="R186" s="2"/>
      <c r="S186" s="2" t="str">
        <f>Tabla13[[#This Row],[EC50 fish]]</f>
        <v>LC50 - Oncorhynchus mykiss (rainbow trout) - 0,03 mg/l - 96,0 h</v>
      </c>
      <c r="T186" s="2" t="str">
        <f>Tabla13[[#This Row],[EC50 daphnia]]</f>
        <v>EC50 - Daphnia magna (Water flea) - 0,26 mg/l - 48 h</v>
      </c>
      <c r="U186" s="2">
        <f>Tabla134[[#This Row],[Used amount of chemical for stocks (g)]]*1000/Tabla134[[#This Row],[Proposed stock concentration (g/L)]]</f>
        <v>0</v>
      </c>
      <c r="V186" s="100"/>
      <c r="W186" s="100">
        <f>Tabla134[[#This Row],[trials solubility (g  to be used)]]*1000/100</f>
        <v>0</v>
      </c>
      <c r="X186" s="100"/>
      <c r="Y186" s="100"/>
    </row>
    <row r="187" spans="1:25" ht="66.75" customHeight="1">
      <c r="A187" s="10" t="str">
        <f>Tabla1[[#This Row],[Compound]]</f>
        <v>Paraquat dichloride
(hydrate)</v>
      </c>
      <c r="B187" s="10">
        <f>Tabla1[[#This Row],[Prec.Tox code]]</f>
        <v>0</v>
      </c>
      <c r="C187" s="2" t="str">
        <f>Tabla1[[#This Row],[CAS number]]</f>
        <v>1910-42-5
(75365-73-0)</v>
      </c>
      <c r="D187" s="2"/>
      <c r="E187" s="2">
        <f>Tabla13[[#This Row],['[max.'] to reach 100% mortality (mg/L)]]/1000</f>
        <v>0.64800000000000002</v>
      </c>
      <c r="F187" s="90">
        <f>Tabla13[[#This Row],[Needed amount of chemical (g); Stefan UFZ calculations]]/5</f>
        <v>0</v>
      </c>
      <c r="G187" s="2">
        <f>MAX(Tabla134[[#This Row],['[max.'] to reach 100% mortality (g/L) Leitat]:['[max.'] to reach baseline toxicity (g/L) UFZ]])*1000</f>
        <v>648</v>
      </c>
      <c r="H187" s="2">
        <f>Tabla1[[#This Row],[Solubility (DMSO)]]</f>
        <v>0</v>
      </c>
      <c r="I187" s="2">
        <f>Tabla1[[#This Row],[Solubility (H2O)]]</f>
        <v>0</v>
      </c>
      <c r="J187" s="2"/>
      <c r="K187" s="92">
        <v>50</v>
      </c>
      <c r="L187" s="89">
        <f>Tabla134[[#This Row],[V DMSO to be used to perform the stocks]]/10</f>
        <v>0</v>
      </c>
      <c r="M187" s="83" t="str">
        <f>Tabla1[[#This Row],[(exempted g or ml)]]</f>
        <v>Not regulated; any amount limit in internal packages</v>
      </c>
      <c r="N187" s="74">
        <f>Tabla134[[#This Row],[Purchased amount (g or ml)]]*0.8</f>
        <v>0</v>
      </c>
      <c r="O187" s="70">
        <f>Tabla13[[#This Row],[Total amount to be purchased (g or ml)]]</f>
        <v>0</v>
      </c>
      <c r="P187" s="78">
        <f>Tabla13[[#This Row],[Needed amount of chemical (g); Ruben Leitat calculations]]</f>
        <v>3.8879999999999999</v>
      </c>
      <c r="Q187" s="78">
        <f>Tabla13[[#This Row],[Needed amount of chemical (g); Stefan UFZ calculations]]</f>
        <v>0</v>
      </c>
      <c r="R187" s="2"/>
      <c r="S187" s="2" t="str">
        <f>Tabla13[[#This Row],[EC50 fish]]</f>
        <v>flow-through test LC50 - Pimephales promelas (fathead minnow) - 6,48 mg/l - 96 h</v>
      </c>
      <c r="T187" s="2" t="str">
        <f>Tabla13[[#This Row],[EC50 daphnia]]</f>
        <v>static test EC50 - Daphnia magna (Water flea) - 4,4 mg/l - 48 h</v>
      </c>
      <c r="U187" s="2">
        <f>Tabla134[[#This Row],[Used amount of chemical for stocks (g)]]*1000/Tabla134[[#This Row],[Proposed stock concentration (g/L)]]</f>
        <v>0</v>
      </c>
      <c r="V187" s="100"/>
      <c r="W187" s="100">
        <f>Tabla134[[#This Row],[trials solubility (g  to be used)]]*1000/100</f>
        <v>0</v>
      </c>
      <c r="X187" s="100"/>
      <c r="Y187" s="100"/>
    </row>
    <row r="188" spans="1:25" ht="66.75" customHeight="1">
      <c r="A188" s="10" t="str">
        <f>Tabla1[[#This Row],[Compound]]</f>
        <v>Amiodarone
(hydrochloride)</v>
      </c>
      <c r="B188" s="10">
        <f>Tabla1[[#This Row],[Prec.Tox code]]</f>
        <v>0</v>
      </c>
      <c r="C188" s="2" t="str">
        <f>Tabla1[[#This Row],[CAS number]]</f>
        <v>1951-25-3
(19774-82-4)</v>
      </c>
      <c r="D188" s="2"/>
      <c r="E188" s="2">
        <f>Tabla13[[#This Row],['[max.'] to reach 100% mortality (mg/L)]]/1000</f>
        <v>3.2266000000000004</v>
      </c>
      <c r="F188" s="90">
        <f>Tabla13[[#This Row],[Needed amount of chemical (g); Stefan UFZ calculations]]/5</f>
        <v>0</v>
      </c>
      <c r="G188" s="2">
        <f>MAX(Tabla134[[#This Row],['[max.'] to reach 100% mortality (g/L) Leitat]:['[max.'] to reach baseline toxicity (g/L) UFZ]])*1000</f>
        <v>3226.6000000000004</v>
      </c>
      <c r="H188" s="2">
        <f>Tabla1[[#This Row],[Solubility (DMSO)]]</f>
        <v>0</v>
      </c>
      <c r="I188" s="2">
        <f>Tabla1[[#This Row],[Solubility (H2O)]]</f>
        <v>0</v>
      </c>
      <c r="J188" s="2"/>
      <c r="K188" s="92">
        <v>50</v>
      </c>
      <c r="L188" s="89">
        <f>Tabla134[[#This Row],[V DMSO to be used to perform the stocks]]/10</f>
        <v>0</v>
      </c>
      <c r="M188" s="83" t="str">
        <f>Tabla1[[#This Row],[(exempted g or ml)]]</f>
        <v>Not regulated; any amount limit in internal packages</v>
      </c>
      <c r="N188" s="74">
        <f>Tabla134[[#This Row],[Purchased amount (g or ml)]]*0.8</f>
        <v>0</v>
      </c>
      <c r="O188" s="70">
        <f>Tabla13[[#This Row],[Total amount to be purchased (g or ml)]]</f>
        <v>0</v>
      </c>
      <c r="P188" s="78">
        <f>Tabla13[[#This Row],[Needed amount of chemical (g); Ruben Leitat calculations]]</f>
        <v>19.359600000000004</v>
      </c>
      <c r="Q188" s="78">
        <f>Tabla13[[#This Row],[Needed amount of chemical (g); Stefan UFZ calculations]]</f>
        <v>0</v>
      </c>
      <c r="R188" s="2"/>
      <c r="S188" s="2" t="str">
        <f>Tabla13[[#This Row],[EC50 fish]]</f>
        <v>Around 50 μM (other species)</v>
      </c>
      <c r="T188" s="2" t="str">
        <f>Tabla13[[#This Row],[EC50 daphnia]]</f>
        <v>Around 50 μM (other species)</v>
      </c>
      <c r="U188" s="2">
        <f>Tabla134[[#This Row],[Used amount of chemical for stocks (g)]]*1000/Tabla134[[#This Row],[Proposed stock concentration (g/L)]]</f>
        <v>0</v>
      </c>
      <c r="V188" s="100"/>
      <c r="W188" s="100">
        <f>Tabla134[[#This Row],[trials solubility (g  to be used)]]*1000/100</f>
        <v>0</v>
      </c>
      <c r="X188" s="100"/>
      <c r="Y188" s="100"/>
    </row>
    <row r="189" spans="1:25" ht="66.75" customHeight="1">
      <c r="A189" s="10" t="str">
        <f>Tabla1[[#This Row],[Compound]]</f>
        <v>Clothianidin
(E)-1-(2-Chloro-1,3-thiazol-5-yl methyl)-3-methyl-2-nitroguanidine</v>
      </c>
      <c r="B189" s="10">
        <f>Tabla1[[#This Row],[Prec.Tox code]]</f>
        <v>0</v>
      </c>
      <c r="C189" s="2" t="str">
        <f>Tabla1[[#This Row],[CAS number]]</f>
        <v>210880-92-5</v>
      </c>
      <c r="D189" s="2"/>
      <c r="E189" s="2">
        <f>Tabla13[[#This Row],['[max.'] to reach 100% mortality (mg/L)]]/1000</f>
        <v>11.9</v>
      </c>
      <c r="F189" s="90">
        <f>Tabla13[[#This Row],[Needed amount of chemical (g); Stefan UFZ calculations]]/5</f>
        <v>0</v>
      </c>
      <c r="G189" s="2">
        <f>MAX(Tabla134[[#This Row],['[max.'] to reach 100% mortality (g/L) Leitat]:['[max.'] to reach baseline toxicity (g/L) UFZ]])*1000</f>
        <v>11900</v>
      </c>
      <c r="H189" s="2">
        <f>Tabla1[[#This Row],[Solubility (DMSO)]]</f>
        <v>0</v>
      </c>
      <c r="I189" s="2">
        <f>Tabla1[[#This Row],[Solubility (H2O)]]</f>
        <v>0</v>
      </c>
      <c r="J189" s="2"/>
      <c r="K189" s="92">
        <v>50</v>
      </c>
      <c r="L189" s="89">
        <f>Tabla134[[#This Row],[V DMSO to be used to perform the stocks]]/10</f>
        <v>0</v>
      </c>
      <c r="M189" s="83" t="str">
        <f>Tabla1[[#This Row],[(exempted g or ml)]]</f>
        <v>Not regulated; any amount limit in internal packages</v>
      </c>
      <c r="N189" s="74">
        <f>Tabla134[[#This Row],[Purchased amount (g or ml)]]*0.8</f>
        <v>0</v>
      </c>
      <c r="O189" s="70">
        <f>Tabla13[[#This Row],[Total amount to be purchased (g or ml)]]</f>
        <v>0</v>
      </c>
      <c r="P189" s="78">
        <f>Tabla13[[#This Row],[Needed amount of chemical (g); Ruben Leitat calculations]]</f>
        <v>71.400000000000006</v>
      </c>
      <c r="Q189" s="78">
        <f>Tabla13[[#This Row],[Needed amount of chemical (g); Stefan UFZ calculations]]</f>
        <v>0</v>
      </c>
      <c r="R189" s="2"/>
      <c r="S189" s="2" t="str">
        <f>Tabla13[[#This Row],[EC50 fish]]</f>
        <v>LC50 - Oncorhynchus mykiss (rainbow trout) - &gt; 104,2 mg/l - 96,0h</v>
      </c>
      <c r="T189" s="2" t="str">
        <f>Tabla13[[#This Row],[EC50 daphnia]]</f>
        <v>EC50 - Daphnia magna (Water flea) - &gt; 119 mg/l - 48 h</v>
      </c>
      <c r="U189" s="2">
        <f>Tabla134[[#This Row],[Used amount of chemical for stocks (g)]]*1000/Tabla134[[#This Row],[Proposed stock concentration (g/L)]]</f>
        <v>0</v>
      </c>
      <c r="V189" s="100"/>
      <c r="W189" s="100">
        <f>Tabla134[[#This Row],[trials solubility (g  to be used)]]*1000/100</f>
        <v>0</v>
      </c>
      <c r="X189" s="100"/>
      <c r="Y189" s="100"/>
    </row>
    <row r="190" spans="1:25" ht="66.75" customHeight="1">
      <c r="A190" s="10" t="str">
        <f>Tabla1[[#This Row],[Compound]]</f>
        <v>Methylimidazoliumpropyl p-phenylenediamine HCl (A166)</v>
      </c>
      <c r="B190" s="10">
        <f>Tabla1[[#This Row],[Prec.Tox code]]</f>
        <v>0</v>
      </c>
      <c r="C190" s="2" t="str">
        <f>Tabla1[[#This Row],[CAS number]]</f>
        <v>220158-86-1</v>
      </c>
      <c r="D190" s="2"/>
      <c r="E190" s="2" t="e">
        <f>Tabla13[[#This Row],['[max.'] to reach 100% mortality (mg/L)]]/1000</f>
        <v>#VALUE!</v>
      </c>
      <c r="F190" s="90">
        <f>Tabla13[[#This Row],[Needed amount of chemical (g); Stefan UFZ calculations]]/5</f>
        <v>0</v>
      </c>
      <c r="G190" s="2" t="e">
        <f>MAX(Tabla134[[#This Row],['[max.'] to reach 100% mortality (g/L) Leitat]:['[max.'] to reach baseline toxicity (g/L) UFZ]])*1000</f>
        <v>#VALUE!</v>
      </c>
      <c r="H190" s="2">
        <f>Tabla1[[#This Row],[Solubility (DMSO)]]</f>
        <v>0</v>
      </c>
      <c r="I190" s="2">
        <f>Tabla1[[#This Row],[Solubility (H2O)]]</f>
        <v>0</v>
      </c>
      <c r="J190" s="2"/>
      <c r="K190" s="92">
        <v>50</v>
      </c>
      <c r="L190" s="89">
        <f>Tabla134[[#This Row],[V DMSO to be used to perform the stocks]]/10</f>
        <v>0</v>
      </c>
      <c r="M190" s="83" t="str">
        <f>Tabla1[[#This Row],[(exempted g or ml)]]</f>
        <v>Not regulated; any amount limit in internal packages</v>
      </c>
      <c r="N190" s="74">
        <f>Tabla134[[#This Row],[Purchased amount (g or ml)]]*0.8</f>
        <v>0</v>
      </c>
      <c r="O190" s="70">
        <f>Tabla13[[#This Row],[Total amount to be purchased (g or ml)]]</f>
        <v>0</v>
      </c>
      <c r="P190" s="78" t="str">
        <f>Tabla13[[#This Row],[Needed amount of chemical (g); Ruben Leitat calculations]]</f>
        <v>unknown</v>
      </c>
      <c r="Q190" s="78">
        <f>Tabla13[[#This Row],[Needed amount of chemical (g); Stefan UFZ calculations]]</f>
        <v>0</v>
      </c>
      <c r="R190" s="2"/>
      <c r="S190" s="2">
        <f>Tabla13[[#This Row],[EC50 fish]]</f>
        <v>0</v>
      </c>
      <c r="T190" s="2">
        <f>Tabla13[[#This Row],[EC50 daphnia]]</f>
        <v>0</v>
      </c>
      <c r="U190" s="2">
        <f>Tabla134[[#This Row],[Used amount of chemical for stocks (g)]]*1000/Tabla134[[#This Row],[Proposed stock concentration (g/L)]]</f>
        <v>0</v>
      </c>
      <c r="V190" s="100"/>
      <c r="W190" s="100">
        <f>Tabla134[[#This Row],[trials solubility (g  to be used)]]*1000/100</f>
        <v>0</v>
      </c>
      <c r="X190" s="100"/>
      <c r="Y190" s="100"/>
    </row>
    <row r="191" spans="1:25" ht="66.75" customHeight="1">
      <c r="A191" s="10" t="str">
        <f>Tabla1[[#This Row],[Compound]]</f>
        <v>Methylmercury (MeHg)
(methylercury chloride)</v>
      </c>
      <c r="B191" s="10">
        <f>Tabla1[[#This Row],[Prec.Tox code]]</f>
        <v>0</v>
      </c>
      <c r="C191" s="2" t="str">
        <f>Tabla1[[#This Row],[CAS number]]</f>
        <v>22967-92-6
(115-09-3)</v>
      </c>
      <c r="D191" s="2"/>
      <c r="E191" s="2">
        <f>Tabla13[[#This Row],['[max.'] to reach 100% mortality (mg/L)]]/1000</f>
        <v>2.3999999999999998E-3</v>
      </c>
      <c r="F191" s="90">
        <f>Tabla13[[#This Row],[Needed amount of chemical (g); Stefan UFZ calculations]]/5</f>
        <v>0</v>
      </c>
      <c r="G191" s="2">
        <f>MAX(Tabla134[[#This Row],['[max.'] to reach 100% mortality (g/L) Leitat]:['[max.'] to reach baseline toxicity (g/L) UFZ]])*1000</f>
        <v>2.4</v>
      </c>
      <c r="H191" s="2">
        <f>Tabla1[[#This Row],[Solubility (DMSO)]]</f>
        <v>0</v>
      </c>
      <c r="I191" s="2">
        <f>Tabla1[[#This Row],[Solubility (H2O)]]</f>
        <v>0</v>
      </c>
      <c r="J191" s="2"/>
      <c r="K191" s="92">
        <v>50</v>
      </c>
      <c r="L191" s="89">
        <f>Tabla134[[#This Row],[V DMSO to be used to perform the stocks]]/10</f>
        <v>0</v>
      </c>
      <c r="M191" s="83" t="str">
        <f>Tabla1[[#This Row],[(exempted g or ml)]]</f>
        <v>Not regulated; any amount limit in internal packages</v>
      </c>
      <c r="N191" s="74">
        <f>Tabla134[[#This Row],[Purchased amount (g or ml)]]*0.8</f>
        <v>0</v>
      </c>
      <c r="O191" s="70">
        <f>Tabla13[[#This Row],[Total amount to be purchased (g or ml)]]</f>
        <v>0</v>
      </c>
      <c r="P191" s="78">
        <f>Tabla13[[#This Row],[Needed amount of chemical (g); Ruben Leitat calculations]]</f>
        <v>1.44E-2</v>
      </c>
      <c r="Q191" s="78">
        <f>Tabla13[[#This Row],[Needed amount of chemical (g); Stefan UFZ calculations]]</f>
        <v>0</v>
      </c>
      <c r="R191" s="2"/>
      <c r="S191" s="2" t="str">
        <f>Tabla13[[#This Row],[EC50 fish]]</f>
        <v>LC50 - Oncorhynchus mykiss (rainbow trout) - 0,024 mg/l - 96 h</v>
      </c>
      <c r="T191" s="2" t="str">
        <f>Tabla13[[#This Row],[EC50 daphnia]]</f>
        <v>0.0052 mg/L</v>
      </c>
      <c r="U191" s="2">
        <f>Tabla134[[#This Row],[Used amount of chemical for stocks (g)]]*1000/Tabla134[[#This Row],[Proposed stock concentration (g/L)]]</f>
        <v>0</v>
      </c>
      <c r="V191" s="100"/>
      <c r="W191" s="100">
        <f>Tabla134[[#This Row],[trials solubility (g  to be used)]]*1000/100</f>
        <v>0</v>
      </c>
      <c r="X191" s="100"/>
      <c r="Y191" s="100"/>
    </row>
    <row r="192" spans="1:25" ht="66.75" customHeight="1">
      <c r="A192" s="10" t="str">
        <f>Tabla1[[#This Row],[Compound]]</f>
        <v>T0901317
N-(4-(1,1,1,3,3,3-Hexafluoro-2-hydroxy-propan-2-yl)phenyl)-N-(2,2,2-trifluoroethyl)benzenesulfonamide</v>
      </c>
      <c r="B192" s="10">
        <f>Tabla1[[#This Row],[Prec.Tox code]]</f>
        <v>0</v>
      </c>
      <c r="C192" s="2" t="str">
        <f>Tabla1[[#This Row],[CAS number]]</f>
        <v>293754-55-9</v>
      </c>
      <c r="D192" s="2"/>
      <c r="E192" s="2">
        <f>Tabla13[[#This Row],['[max.'] to reach 100% mortality (mg/L)]]/1000</f>
        <v>2.40665</v>
      </c>
      <c r="F192" s="90">
        <f>Tabla13[[#This Row],[Needed amount of chemical (g); Stefan UFZ calculations]]/5</f>
        <v>0</v>
      </c>
      <c r="G192" s="2">
        <f>MAX(Tabla134[[#This Row],['[max.'] to reach 100% mortality (g/L) Leitat]:['[max.'] to reach baseline toxicity (g/L) UFZ]])*1000</f>
        <v>2406.65</v>
      </c>
      <c r="H192" s="2" t="str">
        <f>Tabla1[[#This Row],[Solubility (DMSO)]]</f>
        <v>≥24.05g/L in DMSO</v>
      </c>
      <c r="I192" s="2">
        <f>Tabla1[[#This Row],[Solubility (H2O)]]</f>
        <v>0</v>
      </c>
      <c r="J192" s="2"/>
      <c r="K192" s="92">
        <v>50</v>
      </c>
      <c r="L192" s="89">
        <f>Tabla134[[#This Row],[V DMSO to be used to perform the stocks]]/10</f>
        <v>0</v>
      </c>
      <c r="M192" s="83" t="str">
        <f>Tabla1[[#This Row],[(exempted g or ml)]]</f>
        <v>Not regulated; any amount limit in internal packages</v>
      </c>
      <c r="N192" s="74">
        <f>Tabla134[[#This Row],[Purchased amount (g or ml)]]*0.8</f>
        <v>0</v>
      </c>
      <c r="O192" s="70">
        <f>Tabla13[[#This Row],[Total amount to be purchased (g or ml)]]</f>
        <v>0</v>
      </c>
      <c r="P192" s="78">
        <f>Tabla13[[#This Row],[Needed amount of chemical (g); Ruben Leitat calculations]]</f>
        <v>14.439900000000002</v>
      </c>
      <c r="Q192" s="78">
        <f>Tabla13[[#This Row],[Needed amount of chemical (g); Stefan UFZ calculations]]</f>
        <v>0</v>
      </c>
      <c r="R192" s="2"/>
      <c r="S192" s="2" t="str">
        <f>Tabla13[[#This Row],[EC50 fish]]</f>
        <v>effective concentration: 5 μM</v>
      </c>
      <c r="T192" s="2" t="str">
        <f>Tabla13[[#This Row],[EC50 daphnia]]</f>
        <v>effective concentration: 5 μM</v>
      </c>
      <c r="U192" s="2">
        <f>Tabla134[[#This Row],[Used amount of chemical for stocks (g)]]*1000/Tabla134[[#This Row],[Proposed stock concentration (g/L)]]</f>
        <v>0</v>
      </c>
      <c r="V192" s="100"/>
      <c r="W192" s="100">
        <f>Tabla134[[#This Row],[trials solubility (g  to be used)]]*1000/100</f>
        <v>0</v>
      </c>
      <c r="X192" s="100"/>
      <c r="Y192" s="100"/>
    </row>
    <row r="193" spans="1:25" ht="66.75" customHeight="1">
      <c r="A193" s="10" t="str">
        <f>Tabla1[[#This Row],[Compound]]</f>
        <v>Basic violet 2</v>
      </c>
      <c r="B193" s="10">
        <f>Tabla1[[#This Row],[Prec.Tox code]]</f>
        <v>0</v>
      </c>
      <c r="C193" s="2" t="str">
        <f>Tabla1[[#This Row],[CAS number]]</f>
        <v>3248-91-7</v>
      </c>
      <c r="D193" s="2"/>
      <c r="E193" s="2">
        <f>Tabla13[[#This Row],['[max.'] to reach 100% mortality (mg/L)]]/1000</f>
        <v>50.866</v>
      </c>
      <c r="F193" s="90">
        <f>Tabla13[[#This Row],[Needed amount of chemical (g); Stefan UFZ calculations]]/5</f>
        <v>0</v>
      </c>
      <c r="G193" s="2">
        <f>MAX(Tabla134[[#This Row],['[max.'] to reach 100% mortality (g/L) Leitat]:['[max.'] to reach baseline toxicity (g/L) UFZ]])*1000</f>
        <v>50866</v>
      </c>
      <c r="H193" s="2">
        <f>Tabla1[[#This Row],[Solubility (DMSO)]]</f>
        <v>0</v>
      </c>
      <c r="I193" s="2">
        <f>Tabla1[[#This Row],[Solubility (H2O)]]</f>
        <v>0</v>
      </c>
      <c r="J193" s="2"/>
      <c r="K193" s="92">
        <v>50</v>
      </c>
      <c r="L193" s="89">
        <f>Tabla134[[#This Row],[V DMSO to be used to perform the stocks]]/10</f>
        <v>0</v>
      </c>
      <c r="M193" s="83" t="str">
        <f>Tabla1[[#This Row],[(exempted g or ml)]]</f>
        <v>Not regulated; any amount limit in internal packages</v>
      </c>
      <c r="N193" s="74">
        <f>Tabla134[[#This Row],[Purchased amount (g or ml)]]*0.8</f>
        <v>0</v>
      </c>
      <c r="O193" s="70">
        <f>Tabla13[[#This Row],[Total amount to be purchased (g or ml)]]</f>
        <v>0</v>
      </c>
      <c r="P193" s="78">
        <f>Tabla13[[#This Row],[Needed amount of chemical (g); Ruben Leitat calculations]]</f>
        <v>305.19600000000003</v>
      </c>
      <c r="Q193" s="78">
        <f>Tabla13[[#This Row],[Needed amount of chemical (g); Stefan UFZ calculations]]</f>
        <v>0</v>
      </c>
      <c r="R193" s="2"/>
      <c r="S193" s="2" t="str">
        <f>Tabla13[[#This Row],[EC50 fish]]</f>
        <v>?</v>
      </c>
      <c r="T193" s="2" t="str">
        <f>Tabla13[[#This Row],[EC50 daphnia]]</f>
        <v>508.66 mg/L</v>
      </c>
      <c r="U193" s="2">
        <f>Tabla134[[#This Row],[Used amount of chemical for stocks (g)]]*1000/Tabla134[[#This Row],[Proposed stock concentration (g/L)]]</f>
        <v>0</v>
      </c>
      <c r="V193" s="100"/>
      <c r="W193" s="100">
        <f>Tabla134[[#This Row],[trials solubility (g  to be used)]]*1000/100</f>
        <v>0</v>
      </c>
      <c r="X193" s="100"/>
      <c r="Y193" s="100"/>
    </row>
    <row r="194" spans="1:25" ht="66.75" customHeight="1">
      <c r="A194" s="10" t="str">
        <f>Tabla1[[#This Row],[Compound]]</f>
        <v>paraquat</v>
      </c>
      <c r="B194" s="10">
        <f>Tabla1[[#This Row],[Prec.Tox code]]</f>
        <v>0</v>
      </c>
      <c r="C194" s="2" t="str">
        <f>Tabla1[[#This Row],[CAS number]]</f>
        <v>4685-14-7</v>
      </c>
      <c r="D194" s="2"/>
      <c r="E194" s="2" t="e">
        <f>Tabla13[[#This Row],['[max.'] to reach 100% mortality (mg/L)]]/1000</f>
        <v>#VALUE!</v>
      </c>
      <c r="F194" s="90">
        <f>Tabla13[[#This Row],[Needed amount of chemical (g); Stefan UFZ calculations]]/5</f>
        <v>0</v>
      </c>
      <c r="G194" s="2" t="e">
        <f>MAX(Tabla134[[#This Row],['[max.'] to reach 100% mortality (g/L) Leitat]:['[max.'] to reach baseline toxicity (g/L) UFZ]])*1000</f>
        <v>#VALUE!</v>
      </c>
      <c r="H194" s="2">
        <f>Tabla1[[#This Row],[Solubility (DMSO)]]</f>
        <v>0</v>
      </c>
      <c r="I194" s="2">
        <f>Tabla1[[#This Row],[Solubility (H2O)]]</f>
        <v>0</v>
      </c>
      <c r="J194" s="2"/>
      <c r="K194" s="92">
        <v>50</v>
      </c>
      <c r="L194" s="89">
        <f>Tabla134[[#This Row],[V DMSO to be used to perform the stocks]]/10</f>
        <v>0</v>
      </c>
      <c r="M194" s="83" t="str">
        <f>Tabla1[[#This Row],[(exempted g or ml)]]</f>
        <v>Not regulated; any amount limit in internal packages</v>
      </c>
      <c r="N194" s="74">
        <f>Tabla134[[#This Row],[Purchased amount (g or ml)]]*0.8</f>
        <v>0</v>
      </c>
      <c r="O194" s="70">
        <f>Tabla13[[#This Row],[Total amount to be purchased (g or ml)]]</f>
        <v>0</v>
      </c>
      <c r="P194" s="78" t="str">
        <f>Tabla13[[#This Row],[Needed amount of chemical (g); Ruben Leitat calculations]]</f>
        <v>unknown</v>
      </c>
      <c r="Q194" s="78">
        <f>Tabla13[[#This Row],[Needed amount of chemical (g); Stefan UFZ calculations]]</f>
        <v>0</v>
      </c>
      <c r="R194" s="2"/>
      <c r="S194" s="2">
        <f>Tabla13[[#This Row],[EC50 fish]]</f>
        <v>0</v>
      </c>
      <c r="T194" s="2">
        <f>Tabla13[[#This Row],[EC50 daphnia]]</f>
        <v>0</v>
      </c>
      <c r="U194" s="2">
        <f>Tabla134[[#This Row],[Used amount of chemical for stocks (g)]]*1000/Tabla134[[#This Row],[Proposed stock concentration (g/L)]]</f>
        <v>0</v>
      </c>
      <c r="V194" s="100"/>
      <c r="W194" s="100">
        <f>Tabla134[[#This Row],[trials solubility (g  to be used)]]*1000/100</f>
        <v>0</v>
      </c>
      <c r="X194" s="100"/>
      <c r="Y194" s="100"/>
    </row>
    <row r="195" spans="1:25" ht="66.75" customHeight="1">
      <c r="A195" s="10" t="str">
        <f>Tabla1[[#This Row],[Compound]]</f>
        <v>Decamethylcyclopentasiloxane D5</v>
      </c>
      <c r="B195" s="10">
        <f>Tabla1[[#This Row],[Prec.Tox code]]</f>
        <v>0</v>
      </c>
      <c r="C195" s="2" t="str">
        <f>Tabla1[[#This Row],[CAS number]]</f>
        <v>541-02-6</v>
      </c>
      <c r="D195" s="2"/>
      <c r="E195" s="2">
        <f>Tabla13[[#This Row],['[max.'] to reach 100% mortality (mg/L)]]/1000</f>
        <v>1.6000000000000001E-3</v>
      </c>
      <c r="F195" s="90">
        <f>Tabla13[[#This Row],[Needed amount of chemical (g); Stefan UFZ calculations]]/5</f>
        <v>0</v>
      </c>
      <c r="G195" s="2">
        <f>MAX(Tabla134[[#This Row],['[max.'] to reach 100% mortality (g/L) Leitat]:['[max.'] to reach baseline toxicity (g/L) UFZ]])*1000</f>
        <v>1.6</v>
      </c>
      <c r="H195" s="2">
        <f>Tabla1[[#This Row],[Solubility (DMSO)]]</f>
        <v>0</v>
      </c>
      <c r="I195" s="2">
        <f>Tabla1[[#This Row],[Solubility (H2O)]]</f>
        <v>0</v>
      </c>
      <c r="J195" s="2"/>
      <c r="K195" s="92">
        <v>50</v>
      </c>
      <c r="L195" s="89">
        <f>Tabla134[[#This Row],[V DMSO to be used to perform the stocks]]/10</f>
        <v>0</v>
      </c>
      <c r="M195" s="83" t="str">
        <f>Tabla1[[#This Row],[(exempted g or ml)]]</f>
        <v>Not regulated; any amount limit in internal packages</v>
      </c>
      <c r="N195" s="74">
        <f>Tabla134[[#This Row],[Purchased amount (g or ml)]]*0.8</f>
        <v>0</v>
      </c>
      <c r="O195" s="70">
        <f>Tabla13[[#This Row],[Total amount to be purchased (g or ml)]]</f>
        <v>0</v>
      </c>
      <c r="P195" s="78">
        <f>Tabla13[[#This Row],[Needed amount of chemical (g); Ruben Leitat calculations]]</f>
        <v>9.6000000000000009E-3</v>
      </c>
      <c r="Q195" s="78">
        <f>Tabla13[[#This Row],[Needed amount of chemical (g); Stefan UFZ calculations]]</f>
        <v>0</v>
      </c>
      <c r="R195" s="2"/>
      <c r="S195" s="2" t="str">
        <f>Tabla13[[#This Row],[EC50 fish]]</f>
        <v>96 h and 14 d LC50 &gt;16 µg/L, Oncorhynchus mykiss (beyond solubility?)</v>
      </c>
      <c r="T195" s="2" t="str">
        <f>Tabla13[[#This Row],[EC50 daphnia]]</f>
        <v>48 h EC50 &gt;2.9 µg/L, Daphnia magna (beyond solubility?)</v>
      </c>
      <c r="U195" s="2">
        <f>Tabla134[[#This Row],[Used amount of chemical for stocks (g)]]*1000/Tabla134[[#This Row],[Proposed stock concentration (g/L)]]</f>
        <v>0</v>
      </c>
      <c r="V195" s="100"/>
      <c r="W195" s="100">
        <f>Tabla134[[#This Row],[trials solubility (g  to be used)]]*1000/100</f>
        <v>0</v>
      </c>
      <c r="X195" s="100"/>
      <c r="Y195" s="100"/>
    </row>
    <row r="196" spans="1:25" ht="66.75" customHeight="1">
      <c r="A196" s="10" t="str">
        <f>Tabla1[[#This Row],[Compound]]</f>
        <v>Carbon tetrachloride (CCl4)</v>
      </c>
      <c r="B196" s="10">
        <f>Tabla1[[#This Row],[Prec.Tox code]]</f>
        <v>0</v>
      </c>
      <c r="C196" s="2" t="str">
        <f>Tabla1[[#This Row],[CAS number]]</f>
        <v>56-23-5</v>
      </c>
      <c r="D196" s="2"/>
      <c r="E196" s="2">
        <f>Tabla13[[#This Row],['[max.'] to reach 100% mortality (mg/L)]]/1000</f>
        <v>3.5</v>
      </c>
      <c r="F196" s="90">
        <f>Tabla13[[#This Row],[Needed amount of chemical (g); Stefan UFZ calculations]]/5</f>
        <v>0</v>
      </c>
      <c r="G196" s="2">
        <f>MAX(Tabla134[[#This Row],['[max.'] to reach 100% mortality (g/L) Leitat]:['[max.'] to reach baseline toxicity (g/L) UFZ]])*1000</f>
        <v>3500</v>
      </c>
      <c r="H196" s="2">
        <f>Tabla1[[#This Row],[Solubility (DMSO)]]</f>
        <v>0</v>
      </c>
      <c r="I196" s="2">
        <f>Tabla1[[#This Row],[Solubility (H2O)]]</f>
        <v>0</v>
      </c>
      <c r="J196" s="2"/>
      <c r="K196" s="92">
        <v>50</v>
      </c>
      <c r="L196" s="89">
        <f>Tabla134[[#This Row],[V DMSO to be used to perform the stocks]]/10</f>
        <v>0</v>
      </c>
      <c r="M196" s="83" t="str">
        <f>Tabla1[[#This Row],[(exempted g or ml)]]</f>
        <v>Not regulated; any amount limit in internal packages</v>
      </c>
      <c r="N196" s="74">
        <f>Tabla134[[#This Row],[Purchased amount (g or ml)]]*0.8</f>
        <v>0</v>
      </c>
      <c r="O196" s="70">
        <f>Tabla13[[#This Row],[Total amount to be purchased (g or ml)]]</f>
        <v>0</v>
      </c>
      <c r="P196" s="78">
        <f>Tabla13[[#This Row],[Needed amount of chemical (g); Ruben Leitat calculations]]</f>
        <v>21</v>
      </c>
      <c r="Q196" s="78">
        <f>Tabla13[[#This Row],[Needed amount of chemical (g); Stefan UFZ calculations]]</f>
        <v>0</v>
      </c>
      <c r="R196" s="2"/>
      <c r="S196" s="2" t="str">
        <f>Tabla13[[#This Row],[EC50 fish]]</f>
        <v>mortality LC50 - Danio rerio (zebra fish) - 24,3 mg/l - 96 h</v>
      </c>
      <c r="T196" s="2" t="str">
        <f>Tabla13[[#This Row],[EC50 daphnia]]</f>
        <v>Immobilization EC50 - Daphnia magna (Water flea) - 35 mg/l - 48 h</v>
      </c>
      <c r="U196" s="2">
        <f>Tabla134[[#This Row],[Used amount of chemical for stocks (g)]]*1000/Tabla134[[#This Row],[Proposed stock concentration (g/L)]]</f>
        <v>0</v>
      </c>
      <c r="V196" s="100"/>
      <c r="W196" s="100">
        <f>Tabla134[[#This Row],[trials solubility (g  to be used)]]*1000/100</f>
        <v>0</v>
      </c>
      <c r="X196" s="100"/>
      <c r="Y196" s="100"/>
    </row>
    <row r="197" spans="1:25" ht="66.75" customHeight="1">
      <c r="A197" s="10" t="str">
        <f>Tabla1[[#This Row],[Compound]]</f>
        <v>Cetylpyridinium chloride monohydrate</v>
      </c>
      <c r="B197" s="10">
        <f>Tabla1[[#This Row],[Prec.Tox code]]</f>
        <v>0</v>
      </c>
      <c r="C197" s="2" t="str">
        <f>Tabla1[[#This Row],[CAS number]]</f>
        <v>6004-24-6</v>
      </c>
      <c r="D197" s="2"/>
      <c r="E197" s="2" t="e">
        <f>Tabla13[[#This Row],['[max.'] to reach 100% mortality (mg/L)]]/1000</f>
        <v>#VALUE!</v>
      </c>
      <c r="F197" s="90">
        <f>Tabla13[[#This Row],[Needed amount of chemical (g); Stefan UFZ calculations]]/5</f>
        <v>0</v>
      </c>
      <c r="G197" s="2" t="e">
        <f>MAX(Tabla134[[#This Row],['[max.'] to reach 100% mortality (g/L) Leitat]:['[max.'] to reach baseline toxicity (g/L) UFZ]])*1000</f>
        <v>#VALUE!</v>
      </c>
      <c r="H197" s="2">
        <f>Tabla1[[#This Row],[Solubility (DMSO)]]</f>
        <v>0</v>
      </c>
      <c r="I197" s="2">
        <f>Tabla1[[#This Row],[Solubility (H2O)]]</f>
        <v>0</v>
      </c>
      <c r="J197" s="2"/>
      <c r="K197" s="92">
        <v>50</v>
      </c>
      <c r="L197" s="89">
        <f>Tabla134[[#This Row],[V DMSO to be used to perform the stocks]]/10</f>
        <v>0</v>
      </c>
      <c r="M197" s="83" t="str">
        <f>Tabla1[[#This Row],[(exempted g or ml)]]</f>
        <v>Not regulated; any amount limit in internal packages</v>
      </c>
      <c r="N197" s="74">
        <f>Tabla134[[#This Row],[Purchased amount (g or ml)]]*0.8</f>
        <v>0</v>
      </c>
      <c r="O197" s="70">
        <f>Tabla13[[#This Row],[Total amount to be purchased (g or ml)]]</f>
        <v>0</v>
      </c>
      <c r="P197" s="78" t="str">
        <f>Tabla13[[#This Row],[Needed amount of chemical (g); Ruben Leitat calculations]]</f>
        <v>unknown</v>
      </c>
      <c r="Q197" s="78">
        <f>Tabla13[[#This Row],[Needed amount of chemical (g); Stefan UFZ calculations]]</f>
        <v>0</v>
      </c>
      <c r="R197" s="2"/>
      <c r="S197" s="2">
        <f>Tabla13[[#This Row],[EC50 fish]]</f>
        <v>0</v>
      </c>
      <c r="T197" s="2">
        <f>Tabla13[[#This Row],[EC50 daphnia]]</f>
        <v>0</v>
      </c>
      <c r="U197" s="2">
        <f>Tabla134[[#This Row],[Used amount of chemical for stocks (g)]]*1000/Tabla134[[#This Row],[Proposed stock concentration (g/L)]]</f>
        <v>0</v>
      </c>
      <c r="V197" s="100"/>
      <c r="W197" s="100">
        <f>Tabla134[[#This Row],[trials solubility (g  to be used)]]*1000/100</f>
        <v>0</v>
      </c>
      <c r="X197" s="100"/>
      <c r="Y197" s="100"/>
    </row>
    <row r="198" spans="1:25" ht="66.75" customHeight="1">
      <c r="A198" s="10" t="str">
        <f>Tabla1[[#This Row],[Compound]]</f>
        <v>Chloroform (aka: trichloromethane)</v>
      </c>
      <c r="B198" s="10">
        <f>Tabla1[[#This Row],[Prec.Tox code]]</f>
        <v>0</v>
      </c>
      <c r="C198" s="2" t="str">
        <f>Tabla1[[#This Row],[CAS number]]</f>
        <v>67-66-3</v>
      </c>
      <c r="D198" s="2"/>
      <c r="E198" s="2">
        <f>Tabla13[[#This Row],['[max.'] to reach 100% mortality (mg/L)]]/1000</f>
        <v>15.25</v>
      </c>
      <c r="F198" s="90">
        <f>Tabla13[[#This Row],[Needed amount of chemical (g); Stefan UFZ calculations]]/5</f>
        <v>0</v>
      </c>
      <c r="G198" s="2">
        <f>MAX(Tabla134[[#This Row],['[max.'] to reach 100% mortality (g/L) Leitat]:['[max.'] to reach baseline toxicity (g/L) UFZ]])*1000</f>
        <v>15250</v>
      </c>
      <c r="H198" s="2">
        <f>Tabla1[[#This Row],[Solubility (DMSO)]]</f>
        <v>0</v>
      </c>
      <c r="I198" s="2">
        <f>Tabla1[[#This Row],[Solubility (H2O)]]</f>
        <v>0</v>
      </c>
      <c r="J198" s="2"/>
      <c r="K198" s="92">
        <v>50</v>
      </c>
      <c r="L198" s="89">
        <f>Tabla134[[#This Row],[V DMSO to be used to perform the stocks]]/10</f>
        <v>0</v>
      </c>
      <c r="M198" s="83" t="str">
        <f>Tabla1[[#This Row],[(exempted g or ml)]]</f>
        <v>Not regulated; any amount limit in internal packages</v>
      </c>
      <c r="N198" s="74">
        <f>Tabla134[[#This Row],[Purchased amount (g or ml)]]*0.8</f>
        <v>0</v>
      </c>
      <c r="O198" s="70">
        <f>Tabla13[[#This Row],[Total amount to be purchased (g or ml)]]</f>
        <v>0</v>
      </c>
      <c r="P198" s="78">
        <f>Tabla13[[#This Row],[Needed amount of chemical (g); Ruben Leitat calculations]]</f>
        <v>91.5</v>
      </c>
      <c r="Q198" s="78">
        <f>Tabla13[[#This Row],[Needed amount of chemical (g); Stefan UFZ calculations]]</f>
        <v>0</v>
      </c>
      <c r="R198" s="2"/>
      <c r="S198" s="2" t="str">
        <f>Tabla13[[#This Row],[EC50 fish]]</f>
        <v>96h: 18-28 mg/L</v>
      </c>
      <c r="T198" s="2" t="str">
        <f>Tabla13[[#This Row],[EC50 daphnia]]</f>
        <v>48h (D magna): 152.5 mg/L</v>
      </c>
      <c r="U198" s="2">
        <f>Tabla134[[#This Row],[Used amount of chemical for stocks (g)]]*1000/Tabla134[[#This Row],[Proposed stock concentration (g/L)]]</f>
        <v>0</v>
      </c>
      <c r="V198" s="100"/>
      <c r="W198" s="100">
        <f>Tabla134[[#This Row],[trials solubility (g  to be used)]]*1000/100</f>
        <v>0</v>
      </c>
      <c r="X198" s="100"/>
      <c r="Y198" s="100"/>
    </row>
    <row r="199" spans="1:25" ht="66.75" customHeight="1">
      <c r="A199" s="10" t="str">
        <f>Tabla1[[#This Row],[Compound]]</f>
        <v>Tributyltin</v>
      </c>
      <c r="B199" s="10">
        <f>Tabla1[[#This Row],[Prec.Tox code]]</f>
        <v>0</v>
      </c>
      <c r="C199" s="2" t="str">
        <f>Tabla1[[#This Row],[CAS number]]</f>
        <v>688-73-3</v>
      </c>
      <c r="D199" s="2"/>
      <c r="E199" s="2" t="e">
        <f>Tabla13[[#This Row],['[max.'] to reach 100% mortality (mg/L)]]/1000</f>
        <v>#VALUE!</v>
      </c>
      <c r="F199" s="90">
        <f>Tabla13[[#This Row],[Needed amount of chemical (g); Stefan UFZ calculations]]/5</f>
        <v>0</v>
      </c>
      <c r="G199" s="2" t="e">
        <f>MAX(Tabla134[[#This Row],['[max.'] to reach 100% mortality (g/L) Leitat]:['[max.'] to reach baseline toxicity (g/L) UFZ]])*1000</f>
        <v>#VALUE!</v>
      </c>
      <c r="H199" s="2">
        <f>Tabla1[[#This Row],[Solubility (DMSO)]]</f>
        <v>0</v>
      </c>
      <c r="I199" s="2">
        <f>Tabla1[[#This Row],[Solubility (H2O)]]</f>
        <v>0</v>
      </c>
      <c r="J199" s="2"/>
      <c r="K199" s="92">
        <v>50</v>
      </c>
      <c r="L199" s="89">
        <f>Tabla134[[#This Row],[V DMSO to be used to perform the stocks]]/10</f>
        <v>0</v>
      </c>
      <c r="M199" s="83" t="str">
        <f>Tabla1[[#This Row],[(exempted g or ml)]]</f>
        <v>Not regulated; any amount limit in internal packages</v>
      </c>
      <c r="N199" s="74">
        <f>Tabla134[[#This Row],[Purchased amount (g or ml)]]*0.8</f>
        <v>0</v>
      </c>
      <c r="O199" s="70">
        <f>Tabla13[[#This Row],[Total amount to be purchased (g or ml)]]</f>
        <v>0</v>
      </c>
      <c r="P199" s="78" t="str">
        <f>Tabla13[[#This Row],[Needed amount of chemical (g); Ruben Leitat calculations]]</f>
        <v>-</v>
      </c>
      <c r="Q199" s="78">
        <f>Tabla13[[#This Row],[Needed amount of chemical (g); Stefan UFZ calculations]]</f>
        <v>0</v>
      </c>
      <c r="R199" s="2"/>
      <c r="S199" s="2" t="str">
        <f>Tabla13[[#This Row],[EC50 fish]]</f>
        <v>-</v>
      </c>
      <c r="T199" s="2" t="str">
        <f>Tabla13[[#This Row],[EC50 daphnia]]</f>
        <v>-</v>
      </c>
      <c r="U199" s="2">
        <f>Tabla134[[#This Row],[Used amount of chemical for stocks (g)]]*1000/Tabla134[[#This Row],[Proposed stock concentration (g/L)]]</f>
        <v>0</v>
      </c>
      <c r="V199" s="100"/>
      <c r="W199" s="100">
        <f>Tabla134[[#This Row],[trials solubility (g  to be used)]]*1000/100</f>
        <v>0</v>
      </c>
      <c r="X199" s="100"/>
      <c r="Y199" s="100"/>
    </row>
    <row r="200" spans="1:25" ht="66.75" customHeight="1">
      <c r="A200" s="10" t="str">
        <f>Tabla1[[#This Row],[Compound]]</f>
        <v>Fialuridine</v>
      </c>
      <c r="B200" s="10">
        <f>Tabla1[[#This Row],[Prec.Tox code]]</f>
        <v>0</v>
      </c>
      <c r="C200" s="2" t="str">
        <f>Tabla1[[#This Row],[CAS number]]</f>
        <v>69123-98-4</v>
      </c>
      <c r="D200" s="2"/>
      <c r="E200" s="2" t="e">
        <f>Tabla13[[#This Row],['[max.'] to reach 100% mortality (mg/L)]]/1000</f>
        <v>#VALUE!</v>
      </c>
      <c r="F200" s="90">
        <f>Tabla13[[#This Row],[Needed amount of chemical (g); Stefan UFZ calculations]]/5</f>
        <v>0</v>
      </c>
      <c r="G200" s="2" t="e">
        <f>MAX(Tabla134[[#This Row],['[max.'] to reach 100% mortality (g/L) Leitat]:['[max.'] to reach baseline toxicity (g/L) UFZ]])*1000</f>
        <v>#VALUE!</v>
      </c>
      <c r="H200" s="2">
        <f>Tabla1[[#This Row],[Solubility (DMSO)]]</f>
        <v>0</v>
      </c>
      <c r="I200" s="2">
        <f>Tabla1[[#This Row],[Solubility (H2O)]]</f>
        <v>0</v>
      </c>
      <c r="J200" s="2"/>
      <c r="K200" s="92">
        <v>50</v>
      </c>
      <c r="L200" s="89">
        <f>Tabla134[[#This Row],[V DMSO to be used to perform the stocks]]/10</f>
        <v>0</v>
      </c>
      <c r="M200" s="83" t="str">
        <f>Tabla1[[#This Row],[(exempted g or ml)]]</f>
        <v>Not regulated; any amount limit in internal packages</v>
      </c>
      <c r="N200" s="74">
        <f>Tabla134[[#This Row],[Purchased amount (g or ml)]]*0.8</f>
        <v>0</v>
      </c>
      <c r="O200" s="70">
        <f>Tabla13[[#This Row],[Total amount to be purchased (g or ml)]]</f>
        <v>0</v>
      </c>
      <c r="P200" s="78" t="str">
        <f>Tabla13[[#This Row],[Needed amount of chemical (g); Ruben Leitat calculations]]</f>
        <v>unknown</v>
      </c>
      <c r="Q200" s="78">
        <f>Tabla13[[#This Row],[Needed amount of chemical (g); Stefan UFZ calculations]]</f>
        <v>0</v>
      </c>
      <c r="R200" s="2"/>
      <c r="S200" s="2" t="str">
        <f>Tabla13[[#This Row],[EC50 fish]]</f>
        <v>?</v>
      </c>
      <c r="T200" s="2" t="str">
        <f>Tabla13[[#This Row],[EC50 daphnia]]</f>
        <v>?</v>
      </c>
      <c r="U200" s="2">
        <f>Tabla134[[#This Row],[Used amount of chemical for stocks (g)]]*1000/Tabla134[[#This Row],[Proposed stock concentration (g/L)]]</f>
        <v>0</v>
      </c>
      <c r="V200" s="100"/>
      <c r="W200" s="100">
        <f>Tabla134[[#This Row],[trials solubility (g  to be used)]]*1000/100</f>
        <v>0</v>
      </c>
      <c r="X200" s="100"/>
      <c r="Y200" s="100"/>
    </row>
    <row r="201" spans="1:25" ht="66.75" customHeight="1">
      <c r="A201" s="10" t="str">
        <f>Tabla1[[#This Row],[Compound]]</f>
        <v>lead (Pb)
(Pb acetate)</v>
      </c>
      <c r="B201" s="10">
        <f>Tabla1[[#This Row],[Prec.Tox code]]</f>
        <v>0</v>
      </c>
      <c r="C201" s="2" t="str">
        <f>Tabla1[[#This Row],[CAS number]]</f>
        <v>7439-92-1
(6080-56-4)</v>
      </c>
      <c r="D201" s="2"/>
      <c r="E201" s="2">
        <f>Tabla13[[#This Row],['[max.'] to reach 100% mortality (mg/L)]]/1000</f>
        <v>4.3600000000000003</v>
      </c>
      <c r="F201" s="90">
        <f>Tabla13[[#This Row],[Needed amount of chemical (g); Stefan UFZ calculations]]/5</f>
        <v>0</v>
      </c>
      <c r="G201" s="2">
        <f>MAX(Tabla134[[#This Row],['[max.'] to reach 100% mortality (g/L) Leitat]:['[max.'] to reach baseline toxicity (g/L) UFZ]])*1000</f>
        <v>4360</v>
      </c>
      <c r="H201" s="2">
        <f>Tabla1[[#This Row],[Solubility (DMSO)]]</f>
        <v>0</v>
      </c>
      <c r="I201" s="2">
        <f>Tabla1[[#This Row],[Solubility (H2O)]]</f>
        <v>0</v>
      </c>
      <c r="J201" s="2"/>
      <c r="K201" s="92">
        <v>50</v>
      </c>
      <c r="L201" s="89">
        <f>Tabla134[[#This Row],[V DMSO to be used to perform the stocks]]/10</f>
        <v>0</v>
      </c>
      <c r="M201" s="83" t="str">
        <f>Tabla1[[#This Row],[(exempted g or ml)]]</f>
        <v>Not regulated; any amount limit in internal packages</v>
      </c>
      <c r="N201" s="74">
        <f>Tabla134[[#This Row],[Purchased amount (g or ml)]]*0.8</f>
        <v>0</v>
      </c>
      <c r="O201" s="70">
        <f>Tabla13[[#This Row],[Total amount to be purchased (g or ml)]]</f>
        <v>0</v>
      </c>
      <c r="P201" s="78">
        <f>Tabla13[[#This Row],[Needed amount of chemical (g); Ruben Leitat calculations]]</f>
        <v>26.160000000000004</v>
      </c>
      <c r="Q201" s="78">
        <f>Tabla13[[#This Row],[Needed amount of chemical (g); Stefan UFZ calculations]]</f>
        <v>0</v>
      </c>
      <c r="R201" s="2"/>
      <c r="S201" s="2" t="str">
        <f>Tabla13[[#This Row],[EC50 fish]]</f>
        <v>LC50: Fathead minnow 43.6 mg/L 96 h
LC50=0,14 mg/l (S. Gairdneri, 96 hours)</v>
      </c>
      <c r="T201" s="2" t="str">
        <f>Tabla13[[#This Row],[EC50 daphnia]]</f>
        <v xml:space="preserve">Daphnia magna: EC50=2,5 mg/l </v>
      </c>
      <c r="U201" s="2">
        <f>Tabla134[[#This Row],[Used amount of chemical for stocks (g)]]*1000/Tabla134[[#This Row],[Proposed stock concentration (g/L)]]</f>
        <v>0</v>
      </c>
      <c r="V201" s="100"/>
      <c r="W201" s="100">
        <f>Tabla134[[#This Row],[trials solubility (g  to be used)]]*1000/100</f>
        <v>0</v>
      </c>
      <c r="X201" s="100"/>
      <c r="Y201" s="100"/>
    </row>
    <row r="202" spans="1:25" ht="66.75" customHeight="1">
      <c r="A202" s="10" t="str">
        <f>Tabla1[[#This Row],[Compound]]</f>
        <v>arsenic (As)</v>
      </c>
      <c r="B202" s="10">
        <f>Tabla1[[#This Row],[Prec.Tox code]]</f>
        <v>0</v>
      </c>
      <c r="C202" s="2" t="str">
        <f>Tabla1[[#This Row],[CAS number]]</f>
        <v>7440-38-2</v>
      </c>
      <c r="D202" s="2"/>
      <c r="E202" s="2" t="e">
        <f>Tabla13[[#This Row],['[max.'] to reach 100% mortality (mg/L)]]/1000</f>
        <v>#VALUE!</v>
      </c>
      <c r="F202" s="90">
        <f>Tabla13[[#This Row],[Needed amount of chemical (g); Stefan UFZ calculations]]/5</f>
        <v>0</v>
      </c>
      <c r="G202" s="2" t="e">
        <f>MAX(Tabla134[[#This Row],['[max.'] to reach 100% mortality (g/L) Leitat]:['[max.'] to reach baseline toxicity (g/L) UFZ]])*1000</f>
        <v>#VALUE!</v>
      </c>
      <c r="H202" s="2">
        <f>Tabla1[[#This Row],[Solubility (DMSO)]]</f>
        <v>0</v>
      </c>
      <c r="I202" s="2">
        <f>Tabla1[[#This Row],[Solubility (H2O)]]</f>
        <v>0</v>
      </c>
      <c r="J202" s="2"/>
      <c r="K202" s="92">
        <v>50</v>
      </c>
      <c r="L202" s="89">
        <f>Tabla134[[#This Row],[V DMSO to be used to perform the stocks]]/10</f>
        <v>0</v>
      </c>
      <c r="M202" s="83" t="str">
        <f>Tabla1[[#This Row],[(exempted g or ml)]]</f>
        <v>Not regulated; any amount limit in internal packages</v>
      </c>
      <c r="N202" s="74">
        <f>Tabla134[[#This Row],[Purchased amount (g or ml)]]*0.8</f>
        <v>0</v>
      </c>
      <c r="O202" s="70">
        <f>Tabla13[[#This Row],[Total amount to be purchased (g or ml)]]</f>
        <v>0</v>
      </c>
      <c r="P202" s="78" t="str">
        <f>Tabla13[[#This Row],[Needed amount of chemical (g); Ruben Leitat calculations]]</f>
        <v>-</v>
      </c>
      <c r="Q202" s="78">
        <f>Tabla13[[#This Row],[Needed amount of chemical (g); Stefan UFZ calculations]]</f>
        <v>0</v>
      </c>
      <c r="R202" s="2"/>
      <c r="S202" s="2" t="str">
        <f>Tabla13[[#This Row],[EC50 fish]]</f>
        <v>-</v>
      </c>
      <c r="T202" s="2" t="str">
        <f>Tabla13[[#This Row],[EC50 daphnia]]</f>
        <v>-</v>
      </c>
      <c r="U202" s="2">
        <f>Tabla134[[#This Row],[Used amount of chemical for stocks (g)]]*1000/Tabla134[[#This Row],[Proposed stock concentration (g/L)]]</f>
        <v>0</v>
      </c>
      <c r="V202" s="100"/>
      <c r="W202" s="100">
        <f>Tabla134[[#This Row],[trials solubility (g  to be used)]]*1000/100</f>
        <v>0</v>
      </c>
      <c r="X202" s="100"/>
      <c r="Y202" s="100"/>
    </row>
    <row r="203" spans="1:25" ht="66.75" customHeight="1">
      <c r="A203" s="10" t="str">
        <f>Tabla1[[#This Row],[Compound]]</f>
        <v>HC blue 15</v>
      </c>
      <c r="B203" s="10">
        <f>Tabla1[[#This Row],[Prec.Tox code]]</f>
        <v>0</v>
      </c>
      <c r="C203" s="2" t="str">
        <f>Tabla1[[#This Row],[CAS number]]</f>
        <v>74578-10-2</v>
      </c>
      <c r="D203" s="2"/>
      <c r="E203" s="2">
        <f>Tabla13[[#This Row],['[max.'] to reach 100% mortality (mg/L)]]/1000</f>
        <v>0.1</v>
      </c>
      <c r="F203" s="90">
        <f>Tabla13[[#This Row],[Needed amount of chemical (g); Stefan UFZ calculations]]/5</f>
        <v>0</v>
      </c>
      <c r="G203" s="2">
        <f>MAX(Tabla134[[#This Row],['[max.'] to reach 100% mortality (g/L) Leitat]:['[max.'] to reach baseline toxicity (g/L) UFZ]])*1000</f>
        <v>100</v>
      </c>
      <c r="H203" s="2">
        <f>Tabla1[[#This Row],[Solubility (DMSO)]]</f>
        <v>0</v>
      </c>
      <c r="I203" s="2">
        <f>Tabla1[[#This Row],[Solubility (H2O)]]</f>
        <v>0</v>
      </c>
      <c r="J203" s="2"/>
      <c r="K203" s="92">
        <v>50</v>
      </c>
      <c r="L203" s="89">
        <f>Tabla134[[#This Row],[V DMSO to be used to perform the stocks]]/10</f>
        <v>0</v>
      </c>
      <c r="M203" s="83" t="str">
        <f>Tabla1[[#This Row],[(exempted g or ml)]]</f>
        <v>Not regulated; any amount limit in internal packages</v>
      </c>
      <c r="N203" s="74">
        <f>Tabla134[[#This Row],[Purchased amount (g or ml)]]*0.8</f>
        <v>0</v>
      </c>
      <c r="O203" s="70">
        <f>Tabla13[[#This Row],[Total amount to be purchased (g or ml)]]</f>
        <v>0</v>
      </c>
      <c r="P203" s="78">
        <f>Tabla13[[#This Row],[Needed amount of chemical (g); Ruben Leitat calculations]]</f>
        <v>0.60000000000000009</v>
      </c>
      <c r="Q203" s="78">
        <f>Tabla13[[#This Row],[Needed amount of chemical (g); Stefan UFZ calculations]]</f>
        <v>0</v>
      </c>
      <c r="R203" s="2"/>
      <c r="S203" s="2" t="str">
        <f>Tabla13[[#This Row],[EC50 fish]]</f>
        <v>LC50/96h &lt;1 mg/l (fish)</v>
      </c>
      <c r="T203" s="2" t="str">
        <f>Tabla13[[#This Row],[EC50 daphnia]]</f>
        <v>?</v>
      </c>
      <c r="U203" s="2">
        <f>Tabla134[[#This Row],[Used amount of chemical for stocks (g)]]*1000/Tabla134[[#This Row],[Proposed stock concentration (g/L)]]</f>
        <v>0</v>
      </c>
      <c r="V203" s="100"/>
      <c r="W203" s="100">
        <f>Tabla134[[#This Row],[trials solubility (g  to be used)]]*1000/100</f>
        <v>0</v>
      </c>
      <c r="X203" s="100"/>
      <c r="Y203" s="100"/>
    </row>
    <row r="204" spans="1:25" ht="66.75" customHeight="1">
      <c r="A204" s="10" t="str">
        <f>Tabla1[[#This Row],[Compound]]</f>
        <v>vinyl chloride (aka: vinyl chloride monomer (VCM) or chloroethene)</v>
      </c>
      <c r="B204" s="10">
        <f>Tabla1[[#This Row],[Prec.Tox code]]</f>
        <v>0</v>
      </c>
      <c r="C204" s="2" t="str">
        <f>Tabla1[[#This Row],[CAS number]]</f>
        <v>75-01-4</v>
      </c>
      <c r="D204" s="2"/>
      <c r="E204" s="2">
        <f>Tabla13[[#This Row],['[max.'] to reach 100% mortality (mg/L)]]/1000</f>
        <v>21</v>
      </c>
      <c r="F204" s="90">
        <f>Tabla13[[#This Row],[Needed amount of chemical (g); Stefan UFZ calculations]]/5</f>
        <v>0</v>
      </c>
      <c r="G204" s="2">
        <f>MAX(Tabla134[[#This Row],['[max.'] to reach 100% mortality (g/L) Leitat]:['[max.'] to reach baseline toxicity (g/L) UFZ]])*1000</f>
        <v>21000</v>
      </c>
      <c r="H204" s="2">
        <f>Tabla1[[#This Row],[Solubility (DMSO)]]</f>
        <v>0</v>
      </c>
      <c r="I204" s="2">
        <f>Tabla1[[#This Row],[Solubility (H2O)]]</f>
        <v>0</v>
      </c>
      <c r="J204" s="2"/>
      <c r="K204" s="92">
        <v>50</v>
      </c>
      <c r="L204" s="89">
        <f>Tabla134[[#This Row],[V DMSO to be used to perform the stocks]]/10</f>
        <v>0</v>
      </c>
      <c r="M204" s="83" t="str">
        <f>Tabla1[[#This Row],[(exempted g or ml)]]</f>
        <v>Not regulated; any amount limit in internal packages</v>
      </c>
      <c r="N204" s="74">
        <f>Tabla134[[#This Row],[Purchased amount (g or ml)]]*0.8</f>
        <v>0</v>
      </c>
      <c r="O204" s="70">
        <f>Tabla13[[#This Row],[Total amount to be purchased (g or ml)]]</f>
        <v>0</v>
      </c>
      <c r="P204" s="78">
        <f>Tabla13[[#This Row],[Needed amount of chemical (g); Ruben Leitat calculations]]</f>
        <v>126</v>
      </c>
      <c r="Q204" s="78">
        <f>Tabla13[[#This Row],[Needed amount of chemical (g); Stefan UFZ calculations]]</f>
        <v>0</v>
      </c>
      <c r="R204" s="2"/>
      <c r="S204" s="2" t="str">
        <f>Tabla13[[#This Row],[EC50 fish]]</f>
        <v>96-h LC50 is 210 mg/l in the fresh water species Brachydanio rerio</v>
      </c>
      <c r="T204" s="2" t="str">
        <f>Tabla13[[#This Row],[EC50 daphnia]]</f>
        <v>48-h LC50 is estimated to be 119 mg/l in aquatic invertebrates</v>
      </c>
      <c r="U204" s="2">
        <f>Tabla134[[#This Row],[Used amount of chemical for stocks (g)]]*1000/Tabla134[[#This Row],[Proposed stock concentration (g/L)]]</f>
        <v>0</v>
      </c>
      <c r="V204" s="100"/>
      <c r="W204" s="100">
        <f>Tabla134[[#This Row],[trials solubility (g  to be used)]]*1000/100</f>
        <v>0</v>
      </c>
      <c r="X204" s="100"/>
      <c r="Y204" s="100"/>
    </row>
    <row r="205" spans="1:25" ht="66.75" customHeight="1">
      <c r="A205" s="10" t="str">
        <f>Tabla1[[#This Row],[Compound]]</f>
        <v>1,1,2-trichloroethane (1,1,2-TCA)</v>
      </c>
      <c r="B205" s="10">
        <f>Tabla1[[#This Row],[Prec.Tox code]]</f>
        <v>0</v>
      </c>
      <c r="C205" s="2" t="str">
        <f>Tabla1[[#This Row],[CAS number]]</f>
        <v>79-00-5</v>
      </c>
      <c r="D205" s="2"/>
      <c r="E205" s="2">
        <f>Tabla13[[#This Row],['[max.'] to reach 100% mortality (mg/L)]]/1000</f>
        <v>8.1599999999999984</v>
      </c>
      <c r="F205" s="90">
        <f>Tabla13[[#This Row],[Needed amount of chemical (g); Stefan UFZ calculations]]/5</f>
        <v>0</v>
      </c>
      <c r="G205" s="2">
        <f>MAX(Tabla134[[#This Row],['[max.'] to reach 100% mortality (g/L) Leitat]:['[max.'] to reach baseline toxicity (g/L) UFZ]])*1000</f>
        <v>8159.9999999999982</v>
      </c>
      <c r="H205" s="2">
        <f>Tabla1[[#This Row],[Solubility (DMSO)]]</f>
        <v>0</v>
      </c>
      <c r="I205" s="2" t="str">
        <f>Tabla1[[#This Row],[Solubility (H2O)]]</f>
        <v>'soluble'</v>
      </c>
      <c r="J205" s="2"/>
      <c r="K205" s="92">
        <v>50</v>
      </c>
      <c r="L205" s="89">
        <f>Tabla134[[#This Row],[V DMSO to be used to perform the stocks]]/10</f>
        <v>0</v>
      </c>
      <c r="M205" s="83" t="str">
        <f>Tabla1[[#This Row],[(exempted g or ml)]]</f>
        <v>Not regulated; any amount limit in internal packages</v>
      </c>
      <c r="N205" s="74">
        <f>Tabla134[[#This Row],[Purchased amount (g or ml)]]*0.8</f>
        <v>0</v>
      </c>
      <c r="O205" s="70">
        <f>Tabla13[[#This Row],[Total amount to be purchased (g or ml)]]</f>
        <v>0</v>
      </c>
      <c r="P205" s="78">
        <f>Tabla13[[#This Row],[Needed amount of chemical (g); Ruben Leitat calculations]]</f>
        <v>48.959999999999994</v>
      </c>
      <c r="Q205" s="78">
        <f>Tabla13[[#This Row],[Needed amount of chemical (g); Stefan UFZ calculations]]</f>
        <v>0</v>
      </c>
      <c r="R205" s="2"/>
      <c r="S205" s="2" t="str">
        <f>Tabla13[[#This Row],[EC50 fish]]</f>
        <v>LC50 - Pimephales promelas (fathead minnow) - 81,60 mg/l - 96 h</v>
      </c>
      <c r="T205" s="2" t="str">
        <f>Tabla13[[#This Row],[EC50 daphnia]]</f>
        <v>EC50 - Daphnia magna (Water flea) - 43,00 mg/l - 48 h</v>
      </c>
      <c r="U205" s="2">
        <f>Tabla134[[#This Row],[Used amount of chemical for stocks (g)]]*1000/Tabla134[[#This Row],[Proposed stock concentration (g/L)]]</f>
        <v>0</v>
      </c>
      <c r="V205" s="100"/>
      <c r="W205" s="100">
        <f>Tabla134[[#This Row],[trials solubility (g  to be used)]]*1000/100</f>
        <v>0</v>
      </c>
      <c r="X205" s="100"/>
      <c r="Y205" s="100"/>
    </row>
    <row r="206" spans="1:25" ht="66.75" customHeight="1">
      <c r="A206" s="10" t="str">
        <f>Tabla1[[#This Row],[Compound]]</f>
        <v>Trichloroethylene (TCE )</v>
      </c>
      <c r="B206" s="10">
        <f>Tabla1[[#This Row],[Prec.Tox code]]</f>
        <v>0</v>
      </c>
      <c r="C206" s="2" t="str">
        <f>Tabla1[[#This Row],[CAS number]]</f>
        <v>79-01-6</v>
      </c>
      <c r="D206" s="2"/>
      <c r="E206" s="2">
        <f>Tabla13[[#This Row],['[max.'] to reach 100% mortality (mg/L)]]/1000</f>
        <v>2.83</v>
      </c>
      <c r="F206" s="90">
        <f>Tabla13[[#This Row],[Needed amount of chemical (g); Stefan UFZ calculations]]/5</f>
        <v>0</v>
      </c>
      <c r="G206" s="2">
        <f>MAX(Tabla134[[#This Row],['[max.'] to reach 100% mortality (g/L) Leitat]:['[max.'] to reach baseline toxicity (g/L) UFZ]])*1000</f>
        <v>2830</v>
      </c>
      <c r="H206" s="2">
        <f>Tabla1[[#This Row],[Solubility (DMSO)]]</f>
        <v>0</v>
      </c>
      <c r="I206" s="2">
        <f>Tabla1[[#This Row],[Solubility (H2O)]]</f>
        <v>0</v>
      </c>
      <c r="J206" s="2"/>
      <c r="K206" s="92">
        <v>50</v>
      </c>
      <c r="L206" s="89">
        <f>Tabla134[[#This Row],[V DMSO to be used to perform the stocks]]/10</f>
        <v>0</v>
      </c>
      <c r="M206" s="83" t="str">
        <f>Tabla1[[#This Row],[(exempted g or ml)]]</f>
        <v>Not regulated; any amount limit in internal packages</v>
      </c>
      <c r="N206" s="74">
        <f>Tabla134[[#This Row],[Purchased amount (g or ml)]]*0.8</f>
        <v>0</v>
      </c>
      <c r="O206" s="70">
        <f>Tabla13[[#This Row],[Total amount to be purchased (g or ml)]]</f>
        <v>0</v>
      </c>
      <c r="P206" s="78">
        <f>Tabla13[[#This Row],[Needed amount of chemical (g); Ruben Leitat calculations]]</f>
        <v>16.98</v>
      </c>
      <c r="Q206" s="78">
        <f>Tabla13[[#This Row],[Needed amount of chemical (g); Stefan UFZ calculations]]</f>
        <v>0</v>
      </c>
      <c r="R206" s="2"/>
      <c r="S206" s="2" t="str">
        <f>Tabla13[[#This Row],[EC50 fish]]</f>
        <v>flow-through test LC50 - Jordanella floridae - 28,3 mg/l - 96 h</v>
      </c>
      <c r="T206" s="2" t="str">
        <f>Tabla13[[#This Row],[EC50 daphnia]]</f>
        <v>48h LC50 for Ceriodaphnia dubia was 17 mg/l</v>
      </c>
      <c r="U206" s="2">
        <f>Tabla134[[#This Row],[Used amount of chemical for stocks (g)]]*1000/Tabla134[[#This Row],[Proposed stock concentration (g/L)]]</f>
        <v>0</v>
      </c>
      <c r="V206" s="100"/>
      <c r="W206" s="100">
        <f>Tabla134[[#This Row],[trials solubility (g  to be used)]]*1000/100</f>
        <v>0</v>
      </c>
      <c r="X206" s="100"/>
      <c r="Y206" s="100"/>
    </row>
    <row r="207" spans="1:25" ht="66.75" customHeight="1">
      <c r="A207" s="10" t="str">
        <f>Tabla1[[#This Row],[Compound]]</f>
        <v>Butylphenyl methylpropional (p-BMHCA)</v>
      </c>
      <c r="B207" s="10">
        <f>Tabla1[[#This Row],[Prec.Tox code]]</f>
        <v>0</v>
      </c>
      <c r="C207" s="2" t="str">
        <f>Tabla1[[#This Row],[CAS number]]</f>
        <v>80-54-6</v>
      </c>
      <c r="D207" s="2"/>
      <c r="E207" s="2">
        <f>Tabla13[[#This Row],['[max.'] to reach 100% mortality (mg/L)]]/1000</f>
        <v>1.07</v>
      </c>
      <c r="F207" s="90">
        <f>Tabla13[[#This Row],[Needed amount of chemical (g); Stefan UFZ calculations]]/5</f>
        <v>0</v>
      </c>
      <c r="G207" s="2">
        <f>MAX(Tabla134[[#This Row],['[max.'] to reach 100% mortality (g/L) Leitat]:['[max.'] to reach baseline toxicity (g/L) UFZ]])*1000</f>
        <v>1070</v>
      </c>
      <c r="H207" s="2">
        <f>Tabla1[[#This Row],[Solubility (DMSO)]]</f>
        <v>0</v>
      </c>
      <c r="I207" s="2">
        <f>Tabla1[[#This Row],[Solubility (H2O)]]</f>
        <v>0</v>
      </c>
      <c r="J207" s="2"/>
      <c r="K207" s="92">
        <v>50</v>
      </c>
      <c r="L207" s="89">
        <f>Tabla134[[#This Row],[V DMSO to be used to perform the stocks]]/10</f>
        <v>0</v>
      </c>
      <c r="M207" s="83" t="str">
        <f>Tabla1[[#This Row],[(exempted g or ml)]]</f>
        <v>Not regulated; any amount limit in internal packages</v>
      </c>
      <c r="N207" s="74">
        <f>Tabla134[[#This Row],[Purchased amount (g or ml)]]*0.8</f>
        <v>0</v>
      </c>
      <c r="O207" s="70">
        <f>Tabla13[[#This Row],[Total amount to be purchased (g or ml)]]</f>
        <v>0</v>
      </c>
      <c r="P207" s="78">
        <f>Tabla13[[#This Row],[Needed amount of chemical (g); Ruben Leitat calculations]]</f>
        <v>6.42</v>
      </c>
      <c r="Q207" s="78">
        <f>Tabla13[[#This Row],[Needed amount of chemical (g); Stefan UFZ calculations]]</f>
        <v>0</v>
      </c>
      <c r="R207" s="2"/>
      <c r="S207" s="2" t="str">
        <f>Tabla13[[#This Row],[EC50 fish]]</f>
        <v>flow-through test LC50 - Danio rerio (zebra fish) - 2,04 mg/l - 96 h</v>
      </c>
      <c r="T207" s="2" t="str">
        <f>Tabla13[[#This Row],[EC50 daphnia]]</f>
        <v>static test EC50 - Daphnia magna (Water flea) - 10,7 mg/l - 48 h</v>
      </c>
      <c r="U207" s="2">
        <f>Tabla134[[#This Row],[Used amount of chemical for stocks (g)]]*1000/Tabla134[[#This Row],[Proposed stock concentration (g/L)]]</f>
        <v>0</v>
      </c>
      <c r="V207" s="100"/>
      <c r="W207" s="100">
        <f>Tabla134[[#This Row],[trials solubility (g  to be used)]]*1000/100</f>
        <v>0</v>
      </c>
      <c r="X207" s="100"/>
      <c r="Y207" s="100"/>
    </row>
    <row r="208" spans="1:25" ht="66.75" customHeight="1">
      <c r="A208" s="10" t="str">
        <f>Tabla1[[#This Row],[Compound]]</f>
        <v>Hydroxyethyl-p-phenylenediamine sulphate</v>
      </c>
      <c r="B208" s="10">
        <f>Tabla1[[#This Row],[Prec.Tox code]]</f>
        <v>0</v>
      </c>
      <c r="C208" s="2" t="str">
        <f>Tabla1[[#This Row],[CAS number]]</f>
        <v>93841-25-9</v>
      </c>
      <c r="D208" s="2"/>
      <c r="E208" s="2">
        <f>Tabla13[[#This Row],['[max.'] to reach 100% mortality (mg/L)]]/1000</f>
        <v>7.7900000000000009</v>
      </c>
      <c r="F208" s="90">
        <f>Tabla13[[#This Row],[Needed amount of chemical (g); Stefan UFZ calculations]]/5</f>
        <v>0</v>
      </c>
      <c r="G208" s="2">
        <f>MAX(Tabla134[[#This Row],['[max.'] to reach 100% mortality (g/L) Leitat]:['[max.'] to reach baseline toxicity (g/L) UFZ]])*1000</f>
        <v>7790.0000000000009</v>
      </c>
      <c r="H208" s="2">
        <f>Tabla1[[#This Row],[Solubility (DMSO)]]</f>
        <v>0</v>
      </c>
      <c r="I208" s="2">
        <f>Tabla1[[#This Row],[Solubility (H2O)]]</f>
        <v>0</v>
      </c>
      <c r="J208" s="2"/>
      <c r="K208" s="92">
        <v>50</v>
      </c>
      <c r="L208" s="89">
        <f>Tabla134[[#This Row],[V DMSO to be used to perform the stocks]]/10</f>
        <v>0</v>
      </c>
      <c r="M208" s="83" t="str">
        <f>Tabla1[[#This Row],[(exempted g or ml)]]</f>
        <v>Not regulated; any amount limit in internal packages</v>
      </c>
      <c r="N208" s="74">
        <f>Tabla134[[#This Row],[Purchased amount (g or ml)]]*0.8</f>
        <v>0</v>
      </c>
      <c r="O208" s="70">
        <f>Tabla13[[#This Row],[Total amount to be purchased (g or ml)]]</f>
        <v>0</v>
      </c>
      <c r="P208" s="78">
        <f>Tabla13[[#This Row],[Needed amount of chemical (g); Ruben Leitat calculations]]</f>
        <v>46.740000000000009</v>
      </c>
      <c r="Q208" s="78">
        <f>Tabla13[[#This Row],[Needed amount of chemical (g); Stefan UFZ calculations]]</f>
        <v>0</v>
      </c>
      <c r="R208" s="2"/>
      <c r="S208" s="2" t="str">
        <f>Tabla13[[#This Row],[EC50 fish]]</f>
        <v>LC50 to Danio rerio after 96 hours was determined to be &gt;77.9mg/L</v>
      </c>
      <c r="T208" s="2" t="str">
        <f>Tabla13[[#This Row],[EC50 daphnia]]</f>
        <v>48 hour EC50 for Daphnia magna was determined to be 3.48 mg/L.</v>
      </c>
      <c r="U208" s="2">
        <f>Tabla134[[#This Row],[Used amount of chemical for stocks (g)]]*1000/Tabla134[[#This Row],[Proposed stock concentration (g/L)]]</f>
        <v>0</v>
      </c>
      <c r="V208" s="100"/>
      <c r="W208" s="100">
        <f>Tabla134[[#This Row],[trials solubility (g  to be used)]]*1000/100</f>
        <v>0</v>
      </c>
      <c r="X208" s="100"/>
      <c r="Y208" s="100"/>
    </row>
    <row r="209" spans="1:25" ht="66.75" customHeight="1">
      <c r="A209" s="10" t="str">
        <f>Tabla1[[#This Row],[Compound]]</f>
        <v>Valproic acid</v>
      </c>
      <c r="B209" s="10">
        <f>Tabla1[[#This Row],[Prec.Tox code]]</f>
        <v>0</v>
      </c>
      <c r="C209" s="2" t="str">
        <f>Tabla1[[#This Row],[CAS number]]</f>
        <v>99-66-1</v>
      </c>
      <c r="D209" s="2"/>
      <c r="E209" s="2" t="e">
        <f>Tabla13[[#This Row],['[max.'] to reach 100% mortality (mg/L)]]/1000</f>
        <v>#VALUE!</v>
      </c>
      <c r="F209" s="90">
        <f>Tabla13[[#This Row],[Needed amount of chemical (g); Stefan UFZ calculations]]/5</f>
        <v>0</v>
      </c>
      <c r="G209" s="2" t="e">
        <f>MAX(Tabla134[[#This Row],['[max.'] to reach 100% mortality (g/L) Leitat]:['[max.'] to reach baseline toxicity (g/L) UFZ]])*1000</f>
        <v>#VALUE!</v>
      </c>
      <c r="H209" s="2">
        <f>Tabla1[[#This Row],[Solubility (DMSO)]]</f>
        <v>0</v>
      </c>
      <c r="I209" s="2">
        <f>Tabla1[[#This Row],[Solubility (H2O)]]</f>
        <v>0</v>
      </c>
      <c r="J209" s="2"/>
      <c r="K209" s="92">
        <v>50</v>
      </c>
      <c r="L209" s="89">
        <f>Tabla134[[#This Row],[V DMSO to be used to perform the stocks]]/10</f>
        <v>0</v>
      </c>
      <c r="M209" s="83" t="str">
        <f>Tabla1[[#This Row],[(exempted g or ml)]]</f>
        <v>Not regulated; any amount limit in internal packages</v>
      </c>
      <c r="N209" s="74">
        <f>Tabla134[[#This Row],[Purchased amount (g or ml)]]*0.8</f>
        <v>0</v>
      </c>
      <c r="O209" s="70">
        <f>Tabla13[[#This Row],[Total amount to be purchased (g or ml)]]</f>
        <v>0</v>
      </c>
      <c r="P209" s="78" t="str">
        <f>Tabla13[[#This Row],[Needed amount of chemical (g); Ruben Leitat calculations]]</f>
        <v>-</v>
      </c>
      <c r="Q209" s="78">
        <f>Tabla13[[#This Row],[Needed amount of chemical (g); Stefan UFZ calculations]]</f>
        <v>0</v>
      </c>
      <c r="R209" s="2"/>
      <c r="S209" s="2">
        <f>Tabla13[[#This Row],[EC50 fish]]</f>
        <v>0</v>
      </c>
      <c r="T209" s="2">
        <f>Tabla13[[#This Row],[EC50 daphnia]]</f>
        <v>0</v>
      </c>
      <c r="U209" s="2">
        <f>Tabla134[[#This Row],[Used amount of chemical for stocks (g)]]*1000/Tabla134[[#This Row],[Proposed stock concentration (g/L)]]</f>
        <v>0</v>
      </c>
      <c r="V209" s="100"/>
      <c r="W209" s="100">
        <f>Tabla134[[#This Row],[trials solubility (g  to be used)]]*1000/100</f>
        <v>0</v>
      </c>
      <c r="X209" s="100"/>
      <c r="Y209" s="100"/>
    </row>
    <row r="210" spans="1:25" ht="66.75" customHeight="1">
      <c r="A210" s="10" t="str">
        <f>Tabla1[[#This Row],[Compound]]</f>
        <v>Doxycycline
(monohydrate)</v>
      </c>
      <c r="B210" s="10">
        <f>Tabla1[[#This Row],[Prec.Tox code]]</f>
        <v>0</v>
      </c>
      <c r="C210" s="2" t="str">
        <f>Tabla1[[#This Row],[CAS number]]</f>
        <v>564-25-0
(17086-28-1)</v>
      </c>
      <c r="D210" s="2"/>
      <c r="E210" s="2" t="e">
        <f>Tabla13[[#This Row],['[max.'] to reach 100% mortality (mg/L)]]/1000</f>
        <v>#VALUE!</v>
      </c>
      <c r="F210" s="90">
        <f>Tabla13[[#This Row],[Needed amount of chemical (g); Stefan UFZ calculations]]/5</f>
        <v>0</v>
      </c>
      <c r="G210" s="2" t="e">
        <f>MAX(Tabla134[[#This Row],['[max.'] to reach 100% mortality (g/L) Leitat]:['[max.'] to reach baseline toxicity (g/L) UFZ]])*1000</f>
        <v>#VALUE!</v>
      </c>
      <c r="H210" s="2">
        <f>Tabla1[[#This Row],[Solubility (DMSO)]]</f>
        <v>0</v>
      </c>
      <c r="I210" s="2">
        <f>Tabla1[[#This Row],[Solubility (H2O)]]</f>
        <v>0</v>
      </c>
      <c r="J210" s="2"/>
      <c r="K210" s="92">
        <v>50</v>
      </c>
      <c r="L210" s="89">
        <f>Tabla134[[#This Row],[V DMSO to be used to perform the stocks]]/10</f>
        <v>0</v>
      </c>
      <c r="M210" s="83" t="str">
        <f>Tabla1[[#This Row],[(exempted g or ml)]]</f>
        <v>Not regulated; any amount limit in internal packages</v>
      </c>
      <c r="N210" s="74">
        <f>Tabla134[[#This Row],[Purchased amount (g or ml)]]*0.8</f>
        <v>0</v>
      </c>
      <c r="O210" s="70">
        <f>Tabla13[[#This Row],[Total amount to be purchased (g or ml)]]</f>
        <v>0</v>
      </c>
      <c r="P210" s="78" t="str">
        <f>Tabla13[[#This Row],[Needed amount of chemical (g); Ruben Leitat calculations]]</f>
        <v>unknown</v>
      </c>
      <c r="Q210" s="78">
        <f>Tabla13[[#This Row],[Needed amount of chemical (g); Stefan UFZ calculations]]</f>
        <v>0</v>
      </c>
      <c r="R210" s="2"/>
      <c r="S210" s="2" t="str">
        <f>Tabla13[[#This Row],[EC50 fish]]</f>
        <v>?</v>
      </c>
      <c r="T210" s="2" t="str">
        <f>Tabla13[[#This Row],[EC50 daphnia]]</f>
        <v>?</v>
      </c>
      <c r="U210" s="2">
        <f>Tabla134[[#This Row],[Used amount of chemical for stocks (g)]]*1000/Tabla134[[#This Row],[Proposed stock concentration (g/L)]]</f>
        <v>0</v>
      </c>
      <c r="V210" s="100"/>
      <c r="W210" s="100">
        <f>Tabla134[[#This Row],[trials solubility (g  to be used)]]*1000/100</f>
        <v>0</v>
      </c>
      <c r="X210" s="100"/>
      <c r="Y210" s="100"/>
    </row>
    <row r="211" spans="1:25" ht="66.75" customHeight="1">
      <c r="A211" s="10" t="str">
        <f>Tabla1[[#This Row],[Compound]]</f>
        <v>tetracycline</v>
      </c>
      <c r="B211" s="10">
        <f>Tabla1[[#This Row],[Prec.Tox code]]</f>
        <v>0</v>
      </c>
      <c r="C211" s="2" t="str">
        <f>Tabla1[[#This Row],[CAS number]]</f>
        <v>60-54-8</v>
      </c>
      <c r="D211" s="2"/>
      <c r="E211" s="2" t="e">
        <f>Tabla13[[#This Row],['[max.'] to reach 100% mortality (mg/L)]]/1000</f>
        <v>#VALUE!</v>
      </c>
      <c r="F211" s="90">
        <f>Tabla13[[#This Row],[Needed amount of chemical (g); Stefan UFZ calculations]]/5</f>
        <v>0</v>
      </c>
      <c r="G211" s="2" t="e">
        <f>MAX(Tabla134[[#This Row],['[max.'] to reach 100% mortality (g/L) Leitat]:['[max.'] to reach baseline toxicity (g/L) UFZ]])*1000</f>
        <v>#VALUE!</v>
      </c>
      <c r="H211" s="2">
        <f>Tabla1[[#This Row],[Solubility (DMSO)]]</f>
        <v>0</v>
      </c>
      <c r="I211" s="2">
        <f>Tabla1[[#This Row],[Solubility (H2O)]]</f>
        <v>0</v>
      </c>
      <c r="J211" s="2"/>
      <c r="K211" s="92">
        <v>50</v>
      </c>
      <c r="L211" s="89">
        <f>Tabla134[[#This Row],[V DMSO to be used to perform the stocks]]/10</f>
        <v>0</v>
      </c>
      <c r="M211" s="83" t="str">
        <f>Tabla1[[#This Row],[(exempted g or ml)]]</f>
        <v>Not regulated; any amount limit in internal packages</v>
      </c>
      <c r="N211" s="74">
        <f>Tabla134[[#This Row],[Purchased amount (g or ml)]]*0.8</f>
        <v>0</v>
      </c>
      <c r="O211" s="70">
        <f>Tabla13[[#This Row],[Total amount to be purchased (g or ml)]]</f>
        <v>0</v>
      </c>
      <c r="P211" s="78" t="e">
        <f>Tabla13[[#This Row],[Needed amount of chemical (g); Ruben Leitat calculations]]</f>
        <v>#VALUE!</v>
      </c>
      <c r="Q211" s="78">
        <f>Tabla13[[#This Row],[Needed amount of chemical (g); Stefan UFZ calculations]]</f>
        <v>0</v>
      </c>
      <c r="R211" s="2"/>
      <c r="S211" s="2">
        <f>Tabla13[[#This Row],[EC50 fish]]</f>
        <v>0</v>
      </c>
      <c r="T211" s="2">
        <f>Tabla13[[#This Row],[EC50 daphnia]]</f>
        <v>0</v>
      </c>
      <c r="U211" s="2">
        <f>Tabla134[[#This Row],[Used amount of chemical for stocks (g)]]*1000/Tabla134[[#This Row],[Proposed stock concentration (g/L)]]</f>
        <v>0</v>
      </c>
      <c r="V211" s="100"/>
      <c r="W211" s="100">
        <f>Tabla134[[#This Row],[trials solubility (g  to be used)]]*1000/100</f>
        <v>0</v>
      </c>
      <c r="X211" s="100"/>
      <c r="Y211" s="100"/>
    </row>
    <row r="212" spans="1:25" ht="66.75" customHeight="1">
      <c r="A212" s="10" t="str">
        <f>Tabla1[[#This Row],[Compound]]</f>
        <v>minocycline
(hydrochloride)</v>
      </c>
      <c r="B212" s="10">
        <f>Tabla1[[#This Row],[Prec.Tox code]]</f>
        <v>0</v>
      </c>
      <c r="C212" s="2" t="str">
        <f>Tabla1[[#This Row],[CAS number]]</f>
        <v>10118-90-8
(13614-98-7)</v>
      </c>
      <c r="D212" s="2"/>
      <c r="E212" s="2" t="e">
        <f>Tabla13[[#This Row],['[max.'] to reach 100% mortality (mg/L)]]/1000</f>
        <v>#VALUE!</v>
      </c>
      <c r="F212" s="90">
        <f>Tabla13[[#This Row],[Needed amount of chemical (g); Stefan UFZ calculations]]/5</f>
        <v>0</v>
      </c>
      <c r="G212" s="2" t="e">
        <f>MAX(Tabla134[[#This Row],['[max.'] to reach 100% mortality (g/L) Leitat]:['[max.'] to reach baseline toxicity (g/L) UFZ]])*1000</f>
        <v>#VALUE!</v>
      </c>
      <c r="H212" s="2">
        <f>Tabla1[[#This Row],[Solubility (DMSO)]]</f>
        <v>0</v>
      </c>
      <c r="I212" s="2">
        <f>Tabla1[[#This Row],[Solubility (H2O)]]</f>
        <v>0</v>
      </c>
      <c r="J212" s="2"/>
      <c r="K212" s="92">
        <v>50</v>
      </c>
      <c r="L212" s="89">
        <f>Tabla134[[#This Row],[V DMSO to be used to perform the stocks]]/10</f>
        <v>0</v>
      </c>
      <c r="M212" s="83" t="str">
        <f>Tabla1[[#This Row],[(exempted g or ml)]]</f>
        <v>Not regulated; any amount limit in internal packages</v>
      </c>
      <c r="N212" s="74">
        <f>Tabla134[[#This Row],[Purchased amount (g or ml)]]*0.8</f>
        <v>0</v>
      </c>
      <c r="O212" s="70">
        <f>Tabla13[[#This Row],[Total amount to be purchased (g or ml)]]</f>
        <v>0</v>
      </c>
      <c r="P212" s="78" t="str">
        <f>Tabla13[[#This Row],[Needed amount of chemical (g); Ruben Leitat calculations]]</f>
        <v>unknown</v>
      </c>
      <c r="Q212" s="78">
        <f>Tabla13[[#This Row],[Needed amount of chemical (g); Stefan UFZ calculations]]</f>
        <v>0</v>
      </c>
      <c r="R212" s="2"/>
      <c r="S212" s="2" t="str">
        <f>Tabla13[[#This Row],[EC50 fish]]</f>
        <v>?</v>
      </c>
      <c r="T212" s="2" t="str">
        <f>Tabla13[[#This Row],[EC50 daphnia]]</f>
        <v>?</v>
      </c>
      <c r="U212" s="2">
        <f>Tabla134[[#This Row],[Used amount of chemical for stocks (g)]]*1000/Tabla134[[#This Row],[Proposed stock concentration (g/L)]]</f>
        <v>0</v>
      </c>
      <c r="V212" s="100"/>
      <c r="W212" s="100">
        <f>Tabla134[[#This Row],[trials solubility (g  to be used)]]*1000/100</f>
        <v>0</v>
      </c>
      <c r="X212" s="100"/>
      <c r="Y212" s="100"/>
    </row>
    <row r="213" spans="1:25" ht="66.75" customHeight="1">
      <c r="A213" s="10" t="str">
        <f>Tabla1[[#This Row],[Compound]]</f>
        <v>Amikacin </v>
      </c>
      <c r="B213" s="10">
        <f>Tabla1[[#This Row],[Prec.Tox code]]</f>
        <v>0</v>
      </c>
      <c r="C213" s="2" t="str">
        <f>Tabla1[[#This Row],[CAS number]]</f>
        <v>37517-28-5</v>
      </c>
      <c r="D213" s="2"/>
      <c r="E213" s="2">
        <f>Tabla13[[#This Row],['[max.'] to reach 100% mortality (mg/L)]]/1000</f>
        <v>1.3</v>
      </c>
      <c r="F213" s="90">
        <f>Tabla13[[#This Row],[Needed amount of chemical (g); Stefan UFZ calculations]]/5</f>
        <v>0</v>
      </c>
      <c r="G213" s="2">
        <f>MAX(Tabla134[[#This Row],['[max.'] to reach 100% mortality (g/L) Leitat]:['[max.'] to reach baseline toxicity (g/L) UFZ]])*1000</f>
        <v>1300</v>
      </c>
      <c r="H213" s="2">
        <f>Tabla1[[#This Row],[Solubility (DMSO)]]</f>
        <v>0</v>
      </c>
      <c r="I213" s="2">
        <f>Tabla1[[#This Row],[Solubility (H2O)]]</f>
        <v>0</v>
      </c>
      <c r="J213" s="2"/>
      <c r="K213" s="92">
        <v>50</v>
      </c>
      <c r="L213" s="89">
        <f>Tabla134[[#This Row],[V DMSO to be used to perform the stocks]]/10</f>
        <v>0</v>
      </c>
      <c r="M213" s="83" t="str">
        <f>Tabla1[[#This Row],[(exempted g or ml)]]</f>
        <v>Not regulated; any amount limit in internal packages</v>
      </c>
      <c r="N213" s="74">
        <f>Tabla134[[#This Row],[Purchased amount (g or ml)]]*0.8</f>
        <v>0</v>
      </c>
      <c r="O213" s="70">
        <f>Tabla13[[#This Row],[Total amount to be purchased (g or ml)]]</f>
        <v>0</v>
      </c>
      <c r="P213" s="78">
        <f>Tabla13[[#This Row],[Needed amount of chemical (g); Ruben Leitat calculations]]</f>
        <v>7.8</v>
      </c>
      <c r="Q213" s="78">
        <f>Tabla13[[#This Row],[Needed amount of chemical (g); Stefan UFZ calculations]]</f>
        <v>0</v>
      </c>
      <c r="R213" s="2"/>
      <c r="S213" s="2" t="str">
        <f>Tabla13[[#This Row],[EC50 fish]]</f>
        <v>&gt;13 mg/L</v>
      </c>
      <c r="T213" s="2" t="str">
        <f>Tabla13[[#This Row],[EC50 daphnia]]</f>
        <v>&gt;1.7 mg/L</v>
      </c>
      <c r="U213" s="2">
        <f>Tabla134[[#This Row],[Used amount of chemical for stocks (g)]]*1000/Tabla134[[#This Row],[Proposed stock concentration (g/L)]]</f>
        <v>0</v>
      </c>
      <c r="V213" s="100"/>
      <c r="W213" s="100">
        <f>Tabla134[[#This Row],[trials solubility (g  to be used)]]*1000/100</f>
        <v>0</v>
      </c>
      <c r="X213" s="100"/>
      <c r="Y213" s="100"/>
    </row>
    <row r="214" spans="1:25" ht="66.75" customHeight="1">
      <c r="A214" s="10" t="str">
        <f>Tabla1[[#This Row],[Compound]]</f>
        <v>Imipramine  </v>
      </c>
      <c r="B214" s="10">
        <f>Tabla1[[#This Row],[Prec.Tox code]]</f>
        <v>0</v>
      </c>
      <c r="C214" s="2" t="str">
        <f>Tabla1[[#This Row],[CAS number]]</f>
        <v>50-49-7</v>
      </c>
      <c r="D214" s="2"/>
      <c r="E214" s="2">
        <f>Tabla13[[#This Row],['[max.'] to reach 100% mortality (mg/L)]]/1000</f>
        <v>0.1</v>
      </c>
      <c r="F214" s="90">
        <f>Tabla13[[#This Row],[Needed amount of chemical (g); Stefan UFZ calculations]]/5</f>
        <v>0</v>
      </c>
      <c r="G214" s="2">
        <f>MAX(Tabla134[[#This Row],['[max.'] to reach 100% mortality (g/L) Leitat]:['[max.'] to reach baseline toxicity (g/L) UFZ]])*1000</f>
        <v>100</v>
      </c>
      <c r="H214" s="2">
        <f>Tabla1[[#This Row],[Solubility (DMSO)]]</f>
        <v>0</v>
      </c>
      <c r="I214" s="2">
        <f>Tabla1[[#This Row],[Solubility (H2O)]]</f>
        <v>0</v>
      </c>
      <c r="J214" s="2"/>
      <c r="K214" s="92">
        <v>50</v>
      </c>
      <c r="L214" s="89">
        <f>Tabla134[[#This Row],[V DMSO to be used to perform the stocks]]/10</f>
        <v>0</v>
      </c>
      <c r="M214" s="83" t="str">
        <f>Tabla1[[#This Row],[(exempted g or ml)]]</f>
        <v>Not regulated; any amount limit in internal packages</v>
      </c>
      <c r="N214" s="74">
        <f>Tabla134[[#This Row],[Purchased amount (g or ml)]]*0.8</f>
        <v>0</v>
      </c>
      <c r="O214" s="70">
        <f>Tabla13[[#This Row],[Total amount to be purchased (g or ml)]]</f>
        <v>0</v>
      </c>
      <c r="P214" s="78">
        <f>Tabla13[[#This Row],[Needed amount of chemical (g); Ruben Leitat calculations]]</f>
        <v>0.60000000000000009</v>
      </c>
      <c r="Q214" s="78">
        <f>Tabla13[[#This Row],[Needed amount of chemical (g); Stefan UFZ calculations]]</f>
        <v>0</v>
      </c>
      <c r="R214" s="2"/>
      <c r="S214" s="2" t="str">
        <f>Tabla13[[#This Row],[EC50 fish]]</f>
        <v>≥ 1 mg/l (96h)</v>
      </c>
      <c r="T214" s="2" t="str">
        <f>Tabla13[[#This Row],[EC50 daphnia]]</f>
        <v>?</v>
      </c>
      <c r="U214" s="2">
        <f>Tabla134[[#This Row],[Used amount of chemical for stocks (g)]]*1000/Tabla134[[#This Row],[Proposed stock concentration (g/L)]]</f>
        <v>0</v>
      </c>
      <c r="V214" s="100"/>
      <c r="W214" s="100">
        <f>Tabla134[[#This Row],[trials solubility (g  to be used)]]*1000/100</f>
        <v>0</v>
      </c>
      <c r="X214" s="100"/>
      <c r="Y214" s="100"/>
    </row>
    <row r="215" spans="1:25" ht="66.75" customHeight="1">
      <c r="A215" s="10" t="str">
        <f>Tabla1[[#This Row],[Compound]]</f>
        <v>Cumene hydroperoxide  </v>
      </c>
      <c r="B215" s="10">
        <f>Tabla1[[#This Row],[Prec.Tox code]]</f>
        <v>0</v>
      </c>
      <c r="C215" s="2" t="str">
        <f>Tabla1[[#This Row],[CAS number]]</f>
        <v>80-15-9</v>
      </c>
      <c r="D215" s="2"/>
      <c r="E215" s="2">
        <f>Tabla13[[#This Row],['[max.'] to reach 100% mortality (mg/L)]]/1000</f>
        <v>1.8839999999999999</v>
      </c>
      <c r="F215" s="90">
        <f>Tabla13[[#This Row],[Needed amount of chemical (g); Stefan UFZ calculations]]/5</f>
        <v>0</v>
      </c>
      <c r="G215" s="2">
        <f>MAX(Tabla134[[#This Row],['[max.'] to reach 100% mortality (g/L) Leitat]:['[max.'] to reach baseline toxicity (g/L) UFZ]])*1000</f>
        <v>1884</v>
      </c>
      <c r="H215" s="2">
        <f>Tabla1[[#This Row],[Solubility (DMSO)]]</f>
        <v>0</v>
      </c>
      <c r="I215" s="2">
        <f>Tabla1[[#This Row],[Solubility (H2O)]]</f>
        <v>0</v>
      </c>
      <c r="J215" s="2"/>
      <c r="K215" s="92">
        <v>50</v>
      </c>
      <c r="L215" s="89">
        <f>Tabla134[[#This Row],[V DMSO to be used to perform the stocks]]/10</f>
        <v>0</v>
      </c>
      <c r="M215" s="83" t="str">
        <f>Tabla1[[#This Row],[(exempted g or ml)]]</f>
        <v>Not regulated; any amount limit in internal packages</v>
      </c>
      <c r="N215" s="74">
        <f>Tabla134[[#This Row],[Purchased amount (g or ml)]]*0.8</f>
        <v>0</v>
      </c>
      <c r="O215" s="70">
        <f>Tabla13[[#This Row],[Total amount to be purchased (g or ml)]]</f>
        <v>0</v>
      </c>
      <c r="P215" s="78">
        <f>Tabla13[[#This Row],[Needed amount of chemical (g); Ruben Leitat calculations]]</f>
        <v>11.304</v>
      </c>
      <c r="Q215" s="78">
        <f>Tabla13[[#This Row],[Needed amount of chemical (g); Stefan UFZ calculations]]</f>
        <v>0</v>
      </c>
      <c r="R215" s="2"/>
      <c r="S215" s="2" t="str">
        <f>Tabla13[[#This Row],[EC50 fish]]</f>
        <v>Cumol hydroperoxide:
LC50 - Oncorhynchus mykiss (rainbow trout) - 3,9 mg/l - 96 h
Cumene:
LC50 - Cyprinodon variegatus (sheepshead minnow) - 4,7 mg/l - 96 h</v>
      </c>
      <c r="T215" s="2" t="str">
        <f>Tabla13[[#This Row],[EC50 daphnia]]</f>
        <v>Cumol hydroperoxide:
EC50 - Daphnia magna (Water flea) - 18,84 mg/l - 48 h
Cumene:
EC50 - Daphnia magna (Water flea) - 2,14 mg/l - 48 h</v>
      </c>
      <c r="U215" s="2">
        <f>Tabla134[[#This Row],[Used amount of chemical for stocks (g)]]*1000/Tabla134[[#This Row],[Proposed stock concentration (g/L)]]</f>
        <v>0</v>
      </c>
      <c r="V215" s="100"/>
      <c r="W215" s="100">
        <f>Tabla134[[#This Row],[trials solubility (g  to be used)]]*1000/100</f>
        <v>0</v>
      </c>
      <c r="X215" s="100"/>
      <c r="Y215" s="100"/>
    </row>
    <row r="216" spans="1:25" ht="66.75" customHeight="1">
      <c r="A216" s="10" t="str">
        <f>Tabla1[[#This Row],[Compound]]</f>
        <v>Colchicine  </v>
      </c>
      <c r="B216" s="10">
        <f>Tabla1[[#This Row],[Prec.Tox code]]</f>
        <v>0</v>
      </c>
      <c r="C216" s="2" t="str">
        <f>Tabla1[[#This Row],[CAS number]]</f>
        <v>64-86-8</v>
      </c>
      <c r="D216" s="2"/>
      <c r="E216" s="2">
        <f>Tabla13[[#This Row],['[max.'] to reach 100% mortality (mg/L)]]/1000</f>
        <v>11.21</v>
      </c>
      <c r="F216" s="90">
        <f>Tabla13[[#This Row],[Needed amount of chemical (g); Stefan UFZ calculations]]/5</f>
        <v>0</v>
      </c>
      <c r="G216" s="2">
        <f>MAX(Tabla134[[#This Row],['[max.'] to reach 100% mortality (g/L) Leitat]:['[max.'] to reach baseline toxicity (g/L) UFZ]])*1000</f>
        <v>11210</v>
      </c>
      <c r="H216" s="2">
        <f>Tabla1[[#This Row],[Solubility (DMSO)]]</f>
        <v>0</v>
      </c>
      <c r="I216" s="2">
        <f>Tabla1[[#This Row],[Solubility (H2O)]]</f>
        <v>0</v>
      </c>
      <c r="J216" s="2"/>
      <c r="K216" s="92">
        <v>50</v>
      </c>
      <c r="L216" s="89">
        <f>Tabla134[[#This Row],[V DMSO to be used to perform the stocks]]/10</f>
        <v>0</v>
      </c>
      <c r="M216" s="83" t="str">
        <f>Tabla1[[#This Row],[(exempted g or ml)]]</f>
        <v>Not regulated; any amount limit in internal packages</v>
      </c>
      <c r="N216" s="74">
        <f>Tabla134[[#This Row],[Purchased amount (g or ml)]]*0.8</f>
        <v>0</v>
      </c>
      <c r="O216" s="70">
        <f>Tabla13[[#This Row],[Total amount to be purchased (g or ml)]]</f>
        <v>0</v>
      </c>
      <c r="P216" s="78">
        <f>Tabla13[[#This Row],[Needed amount of chemical (g); Ruben Leitat calculations]]</f>
        <v>67.260000000000005</v>
      </c>
      <c r="Q216" s="78">
        <f>Tabla13[[#This Row],[Needed amount of chemical (g); Stefan UFZ calculations]]</f>
        <v>0</v>
      </c>
      <c r="R216" s="2"/>
      <c r="S216" s="2" t="str">
        <f>Tabla13[[#This Row],[EC50 fish]]</f>
        <v>96h - zebrafish - EC50: 112.1 mg/L</v>
      </c>
      <c r="T216" s="2" t="str">
        <f>Tabla13[[#This Row],[EC50 daphnia]]</f>
        <v xml:space="preserve">daphnia magna: EC50= 39 mg/l </v>
      </c>
      <c r="U216" s="2">
        <f>Tabla134[[#This Row],[Used amount of chemical for stocks (g)]]*1000/Tabla134[[#This Row],[Proposed stock concentration (g/L)]]</f>
        <v>0</v>
      </c>
      <c r="V216" s="100"/>
      <c r="W216" s="100">
        <f>Tabla134[[#This Row],[trials solubility (g  to be used)]]*1000/100</f>
        <v>0</v>
      </c>
      <c r="X216" s="100"/>
      <c r="Y216" s="100"/>
    </row>
    <row r="217" spans="1:25" ht="66.75" customHeight="1">
      <c r="A217" s="10" t="str">
        <f>Tabla1[[#This Row],[Compound]]</f>
        <v>Minocycline  </v>
      </c>
      <c r="B217" s="10">
        <f>Tabla1[[#This Row],[Prec.Tox code]]</f>
        <v>0</v>
      </c>
      <c r="C217" s="2" t="str">
        <f>Tabla1[[#This Row],[CAS number]]</f>
        <v>10118-90-8</v>
      </c>
      <c r="D217" s="2"/>
      <c r="E217" s="2" t="e">
        <f>Tabla13[[#This Row],['[max.'] to reach 100% mortality (mg/L)]]/1000</f>
        <v>#VALUE!</v>
      </c>
      <c r="F217" s="90">
        <f>Tabla13[[#This Row],[Needed amount of chemical (g); Stefan UFZ calculations]]/5</f>
        <v>0</v>
      </c>
      <c r="G217" s="2" t="e">
        <f>MAX(Tabla134[[#This Row],['[max.'] to reach 100% mortality (g/L) Leitat]:['[max.'] to reach baseline toxicity (g/L) UFZ]])*1000</f>
        <v>#VALUE!</v>
      </c>
      <c r="H217" s="2">
        <f>Tabla1[[#This Row],[Solubility (DMSO)]]</f>
        <v>0</v>
      </c>
      <c r="I217" s="2">
        <f>Tabla1[[#This Row],[Solubility (H2O)]]</f>
        <v>0</v>
      </c>
      <c r="J217" s="2"/>
      <c r="K217" s="92">
        <v>50</v>
      </c>
      <c r="L217" s="89">
        <f>Tabla134[[#This Row],[V DMSO to be used to perform the stocks]]/10</f>
        <v>0</v>
      </c>
      <c r="M217" s="83" t="str">
        <f>Tabla1[[#This Row],[(exempted g or ml)]]</f>
        <v>Not regulated; any amount limit in internal packages</v>
      </c>
      <c r="N217" s="74">
        <f>Tabla134[[#This Row],[Purchased amount (g or ml)]]*0.8</f>
        <v>0</v>
      </c>
      <c r="O217" s="70">
        <f>Tabla13[[#This Row],[Total amount to be purchased (g or ml)]]</f>
        <v>0</v>
      </c>
      <c r="P217" s="78">
        <f>Tabla13[[#This Row],[Needed amount of chemical (g); Ruben Leitat calculations]]</f>
        <v>0</v>
      </c>
      <c r="Q217" s="78">
        <f>Tabla13[[#This Row],[Needed amount of chemical (g); Stefan UFZ calculations]]</f>
        <v>0</v>
      </c>
      <c r="R217" s="2"/>
      <c r="S217" s="2">
        <f>Tabla13[[#This Row],[EC50 fish]]</f>
        <v>0</v>
      </c>
      <c r="T217" s="2">
        <f>Tabla13[[#This Row],[EC50 daphnia]]</f>
        <v>0</v>
      </c>
      <c r="U217" s="2">
        <f>Tabla134[[#This Row],[Used amount of chemical for stocks (g)]]*1000/Tabla134[[#This Row],[Proposed stock concentration (g/L)]]</f>
        <v>0</v>
      </c>
      <c r="V217" s="100"/>
      <c r="W217" s="100">
        <f>Tabla134[[#This Row],[trials solubility (g  to be used)]]*1000/100</f>
        <v>0</v>
      </c>
      <c r="X217" s="100"/>
      <c r="Y217" s="100"/>
    </row>
    <row r="218" spans="1:25" ht="66.75" customHeight="1">
      <c r="A218" s="10" t="str">
        <f>Tabla1[[#This Row],[Compound]]</f>
        <v>gentamicin </v>
      </c>
      <c r="B218" s="10">
        <f>Tabla1[[#This Row],[Prec.Tox code]]</f>
        <v>0</v>
      </c>
      <c r="C218" s="2" t="str">
        <f>Tabla1[[#This Row],[CAS number]]</f>
        <v>1403-66-3</v>
      </c>
      <c r="D218" s="2"/>
      <c r="E218" s="2">
        <f>Tabla13[[#This Row],['[max.'] to reach 100% mortality (mg/L)]]/1000</f>
        <v>8.6</v>
      </c>
      <c r="F218" s="90">
        <f>Tabla13[[#This Row],[Needed amount of chemical (g); Stefan UFZ calculations]]/5</f>
        <v>0</v>
      </c>
      <c r="G218" s="2">
        <f>MAX(Tabla134[[#This Row],['[max.'] to reach 100% mortality (g/L) Leitat]:['[max.'] to reach baseline toxicity (g/L) UFZ]])*1000</f>
        <v>8600</v>
      </c>
      <c r="H218" s="2">
        <f>Tabla1[[#This Row],[Solubility (DMSO)]]</f>
        <v>0</v>
      </c>
      <c r="I218" s="2">
        <f>Tabla1[[#This Row],[Solubility (H2O)]]</f>
        <v>0</v>
      </c>
      <c r="J218" s="2"/>
      <c r="K218" s="92">
        <v>50</v>
      </c>
      <c r="L218" s="89">
        <f>Tabla134[[#This Row],[V DMSO to be used to perform the stocks]]/10</f>
        <v>0</v>
      </c>
      <c r="M218" s="83" t="str">
        <f>Tabla1[[#This Row],[(exempted g or ml)]]</f>
        <v>Not regulated; any amount limit in internal packages</v>
      </c>
      <c r="N218" s="74">
        <f>Tabla134[[#This Row],[Purchased amount (g or ml)]]*0.8</f>
        <v>0</v>
      </c>
      <c r="O218" s="70">
        <f>Tabla13[[#This Row],[Total amount to be purchased (g or ml)]]</f>
        <v>0</v>
      </c>
      <c r="P218" s="78">
        <f>Tabla13[[#This Row],[Needed amount of chemical (g); Ruben Leitat calculations]]</f>
        <v>51.599999999999994</v>
      </c>
      <c r="Q218" s="78">
        <f>Tabla13[[#This Row],[Needed amount of chemical (g); Stefan UFZ calculations]]</f>
        <v>0</v>
      </c>
      <c r="R218" s="2"/>
      <c r="S218" s="2" t="str">
        <f>Tabla13[[#This Row],[EC50 fish]]</f>
        <v>Poecila reticulata (fish); LC&gt;0.08 - 30 mg/L</v>
      </c>
      <c r="T218" s="2" t="str">
        <f>Tabla13[[#This Row],[EC50 daphnia]]</f>
        <v>Daphnia magna (crustacean); EC50: 16.8 - 86 mg/L</v>
      </c>
      <c r="U218" s="2">
        <f>Tabla134[[#This Row],[Used amount of chemical for stocks (g)]]*1000/Tabla134[[#This Row],[Proposed stock concentration (g/L)]]</f>
        <v>0</v>
      </c>
      <c r="V218" s="100"/>
      <c r="W218" s="100">
        <f>Tabla134[[#This Row],[trials solubility (g  to be used)]]*1000/100</f>
        <v>0</v>
      </c>
      <c r="X218" s="100"/>
      <c r="Y218" s="100"/>
    </row>
    <row r="219" spans="1:25" ht="66.75" customHeight="1">
      <c r="A219" s="10" t="str">
        <f>Tabla1[[#This Row],[Compound]]</f>
        <v>Sodium citrate  </v>
      </c>
      <c r="B219" s="10">
        <f>Tabla1[[#This Row],[Prec.Tox code]]</f>
        <v>0</v>
      </c>
      <c r="C219" s="2" t="str">
        <f>Tabla1[[#This Row],[CAS number]]</f>
        <v>6132-04-3</v>
      </c>
      <c r="D219" s="2"/>
      <c r="E219" s="2">
        <f>Tabla13[[#This Row],['[max.'] to reach 100% mortality (mg/L)]]/1000</f>
        <v>3200</v>
      </c>
      <c r="F219" s="90">
        <f>Tabla13[[#This Row],[Needed amount of chemical (g); Stefan UFZ calculations]]/5</f>
        <v>0</v>
      </c>
      <c r="G219" s="2">
        <f>MAX(Tabla134[[#This Row],['[max.'] to reach 100% mortality (g/L) Leitat]:['[max.'] to reach baseline toxicity (g/L) UFZ]])*1000</f>
        <v>3200000</v>
      </c>
      <c r="H219" s="2">
        <f>Tabla1[[#This Row],[Solubility (DMSO)]]</f>
        <v>0</v>
      </c>
      <c r="I219" s="2">
        <f>Tabla1[[#This Row],[Solubility (H2O)]]</f>
        <v>0</v>
      </c>
      <c r="J219" s="2"/>
      <c r="K219" s="92">
        <v>50</v>
      </c>
      <c r="L219" s="89">
        <f>Tabla134[[#This Row],[V DMSO to be used to perform the stocks]]/10</f>
        <v>0</v>
      </c>
      <c r="M219" s="83" t="str">
        <f>Tabla1[[#This Row],[(exempted g or ml)]]</f>
        <v>Not regulated; any amount limit in internal packages</v>
      </c>
      <c r="N219" s="74">
        <f>Tabla134[[#This Row],[Purchased amount (g or ml)]]*0.8</f>
        <v>0</v>
      </c>
      <c r="O219" s="70">
        <f>Tabla13[[#This Row],[Total amount to be purchased (g or ml)]]</f>
        <v>0</v>
      </c>
      <c r="P219" s="78">
        <f>Tabla13[[#This Row],[Needed amount of chemical (g); Ruben Leitat calculations]]</f>
        <v>19200</v>
      </c>
      <c r="Q219" s="78">
        <f>Tabla13[[#This Row],[Needed amount of chemical (g); Stefan UFZ calculations]]</f>
        <v>0</v>
      </c>
      <c r="R219" s="2"/>
      <c r="S219" s="2" t="str">
        <f>Tabla13[[#This Row],[EC50 fish]]</f>
        <v>LC50 - Poecilia reticulata (guppy) - &gt; 18.000 - 32.000 mg/l - 96 h</v>
      </c>
      <c r="T219" s="2" t="str">
        <f>Tabla13[[#This Row],[EC50 daphnia]]</f>
        <v>EC50 - Daphnia magna (Water flea) - 5.600 - 10.000 mg/l - 48 h</v>
      </c>
      <c r="U219" s="2">
        <f>Tabla134[[#This Row],[Used amount of chemical for stocks (g)]]*1000/Tabla134[[#This Row],[Proposed stock concentration (g/L)]]</f>
        <v>0</v>
      </c>
      <c r="V219" s="100"/>
      <c r="W219" s="100">
        <f>Tabla134[[#This Row],[trials solubility (g  to be used)]]*1000/100</f>
        <v>0</v>
      </c>
      <c r="X219" s="100"/>
      <c r="Y219" s="100"/>
    </row>
    <row r="220" spans="1:25" ht="66.75" customHeight="1">
      <c r="A220" s="10" t="str">
        <f>Tabla1[[#This Row],[Compound]]</f>
        <v>Trisodium citrate</v>
      </c>
      <c r="B220" s="10">
        <f>Tabla1[[#This Row],[Prec.Tox code]]</f>
        <v>0</v>
      </c>
      <c r="C220" s="2" t="str">
        <f>Tabla1[[#This Row],[CAS number]]</f>
        <v>68-04-2</v>
      </c>
      <c r="D220" s="2"/>
      <c r="E220" s="2" t="e">
        <f>Tabla13[[#This Row],['[max.'] to reach 100% mortality (mg/L)]]/1000</f>
        <v>#VALUE!</v>
      </c>
      <c r="F220" s="90">
        <f>Tabla13[[#This Row],[Needed amount of chemical (g); Stefan UFZ calculations]]/5</f>
        <v>0</v>
      </c>
      <c r="G220" s="2" t="e">
        <f>MAX(Tabla134[[#This Row],['[max.'] to reach 100% mortality (g/L) Leitat]:['[max.'] to reach baseline toxicity (g/L) UFZ]])*1000</f>
        <v>#VALUE!</v>
      </c>
      <c r="H220" s="2">
        <f>Tabla1[[#This Row],[Solubility (DMSO)]]</f>
        <v>0</v>
      </c>
      <c r="I220" s="2">
        <f>Tabla1[[#This Row],[Solubility (H2O)]]</f>
        <v>0</v>
      </c>
      <c r="J220" s="2"/>
      <c r="K220" s="92">
        <v>50</v>
      </c>
      <c r="L220" s="89">
        <f>Tabla134[[#This Row],[V DMSO to be used to perform the stocks]]/10</f>
        <v>0</v>
      </c>
      <c r="M220" s="83" t="str">
        <f>Tabla1[[#This Row],[(exempted g or ml)]]</f>
        <v>Not regulated; any amount limit in internal packages</v>
      </c>
      <c r="N220" s="74">
        <f>Tabla134[[#This Row],[Purchased amount (g or ml)]]*0.8</f>
        <v>0</v>
      </c>
      <c r="O220" s="70">
        <f>Tabla13[[#This Row],[Total amount to be purchased (g or ml)]]</f>
        <v>0</v>
      </c>
      <c r="P220" s="78">
        <f>Tabla13[[#This Row],[Needed amount of chemical (g); Ruben Leitat calculations]]</f>
        <v>0</v>
      </c>
      <c r="Q220" s="78">
        <f>Tabla13[[#This Row],[Needed amount of chemical (g); Stefan UFZ calculations]]</f>
        <v>0</v>
      </c>
      <c r="R220" s="2"/>
      <c r="S220" s="2">
        <f>Tabla13[[#This Row],[EC50 fish]]</f>
        <v>0</v>
      </c>
      <c r="T220" s="2">
        <f>Tabla13[[#This Row],[EC50 daphnia]]</f>
        <v>0</v>
      </c>
      <c r="U220" s="2">
        <f>Tabla134[[#This Row],[Used amount of chemical for stocks (g)]]*1000/Tabla134[[#This Row],[Proposed stock concentration (g/L)]]</f>
        <v>0</v>
      </c>
      <c r="V220" s="100"/>
      <c r="W220" s="100">
        <f>Tabla134[[#This Row],[trials solubility (g  to be used)]]*1000/100</f>
        <v>0</v>
      </c>
      <c r="X220" s="100"/>
      <c r="Y220" s="100"/>
    </row>
    <row r="221" spans="1:25" ht="66.75" customHeight="1">
      <c r="A221" s="10" t="str">
        <f>Tabla1[[#This Row],[Compound]]</f>
        <v>Tigecycline  </v>
      </c>
      <c r="B221" s="10">
        <f>Tabla1[[#This Row],[Prec.Tox code]]</f>
        <v>0</v>
      </c>
      <c r="C221" s="2" t="str">
        <f>Tabla1[[#This Row],[CAS number]]</f>
        <v>220620-09-7</v>
      </c>
      <c r="D221" s="2"/>
      <c r="E221" s="2" t="e">
        <f>Tabla13[[#This Row],['[max.'] to reach 100% mortality (mg/L)]]/1000</f>
        <v>#VALUE!</v>
      </c>
      <c r="F221" s="90">
        <f>Tabla13[[#This Row],[Needed amount of chemical (g); Stefan UFZ calculations]]/5</f>
        <v>0</v>
      </c>
      <c r="G221" s="2" t="e">
        <f>MAX(Tabla134[[#This Row],['[max.'] to reach 100% mortality (g/L) Leitat]:['[max.'] to reach baseline toxicity (g/L) UFZ]])*1000</f>
        <v>#VALUE!</v>
      </c>
      <c r="H221" s="2">
        <f>Tabla1[[#This Row],[Solubility (DMSO)]]</f>
        <v>0</v>
      </c>
      <c r="I221" s="2">
        <f>Tabla1[[#This Row],[Solubility (H2O)]]</f>
        <v>0</v>
      </c>
      <c r="J221" s="2"/>
      <c r="K221" s="92">
        <v>50</v>
      </c>
      <c r="L221" s="89">
        <f>Tabla134[[#This Row],[V DMSO to be used to perform the stocks]]/10</f>
        <v>0</v>
      </c>
      <c r="M221" s="83" t="str">
        <f>Tabla1[[#This Row],[(exempted g or ml)]]</f>
        <v>Not regulated; any amount limit in internal packages</v>
      </c>
      <c r="N221" s="74">
        <f>Tabla134[[#This Row],[Purchased amount (g or ml)]]*0.8</f>
        <v>0</v>
      </c>
      <c r="O221" s="70">
        <f>Tabla13[[#This Row],[Total amount to be purchased (g or ml)]]</f>
        <v>0</v>
      </c>
      <c r="P221" s="78">
        <f>Tabla13[[#This Row],[Needed amount of chemical (g); Ruben Leitat calculations]]</f>
        <v>0</v>
      </c>
      <c r="Q221" s="78">
        <f>Tabla13[[#This Row],[Needed amount of chemical (g); Stefan UFZ calculations]]</f>
        <v>0</v>
      </c>
      <c r="R221" s="2"/>
      <c r="S221" s="2">
        <f>Tabla13[[#This Row],[EC50 fish]]</f>
        <v>0</v>
      </c>
      <c r="T221" s="2">
        <f>Tabla13[[#This Row],[EC50 daphnia]]</f>
        <v>0</v>
      </c>
      <c r="U221" s="2">
        <f>Tabla134[[#This Row],[Used amount of chemical for stocks (g)]]*1000/Tabla134[[#This Row],[Proposed stock concentration (g/L)]]</f>
        <v>0</v>
      </c>
      <c r="V221" s="100"/>
      <c r="W221" s="100">
        <f>Tabla134[[#This Row],[trials solubility (g  to be used)]]*1000/100</f>
        <v>0</v>
      </c>
      <c r="X221" s="100"/>
      <c r="Y221" s="100"/>
    </row>
    <row r="222" spans="1:25" ht="66.75" customHeight="1">
      <c r="A222" s="65" t="str">
        <f>Tabla1[[#This Row],[Compound]]</f>
        <v>others</v>
      </c>
      <c r="B222" s="10">
        <f>Tabla1[[#This Row],[Prec.Tox code]]</f>
        <v>0</v>
      </c>
      <c r="C222" s="2">
        <f>Tabla1[[#This Row],[CAS number]]</f>
        <v>0</v>
      </c>
      <c r="D222" s="2"/>
      <c r="E222" s="2">
        <f>Tabla13[[#This Row],['[max.'] to reach 100% mortality (mg/L)]]/1000</f>
        <v>0</v>
      </c>
      <c r="F222" s="90">
        <f>Tabla13[[#This Row],[Needed amount of chemical (g); Stefan UFZ calculations]]/5</f>
        <v>0</v>
      </c>
      <c r="G222" s="2">
        <f>MAX(Tabla134[[#This Row],['[max.'] to reach 100% mortality (g/L) Leitat]:['[max.'] to reach baseline toxicity (g/L) UFZ]])*1000</f>
        <v>0</v>
      </c>
      <c r="H222" s="2">
        <f>Tabla1[[#This Row],[Solubility (DMSO)]]</f>
        <v>0</v>
      </c>
      <c r="I222" s="2">
        <f>Tabla1[[#This Row],[Solubility (H2O)]]</f>
        <v>0</v>
      </c>
      <c r="J222" s="2"/>
      <c r="K222" s="92">
        <v>50</v>
      </c>
      <c r="L222" s="89">
        <f>Tabla134[[#This Row],[V DMSO to be used to perform the stocks]]/10</f>
        <v>0</v>
      </c>
      <c r="M222" s="83" t="str">
        <f>Tabla1[[#This Row],[(exempted g or ml)]]</f>
        <v>Not regulated; any amount limit in internal packages</v>
      </c>
      <c r="N222" s="74">
        <f>Tabla134[[#This Row],[Purchased amount (g or ml)]]*0.8</f>
        <v>0</v>
      </c>
      <c r="O222" s="70">
        <f>Tabla13[[#This Row],[Total amount to be purchased (g or ml)]]</f>
        <v>0</v>
      </c>
      <c r="P222" s="78">
        <f>Tabla13[[#This Row],[Needed amount of chemical (g); Ruben Leitat calculations]]</f>
        <v>0</v>
      </c>
      <c r="Q222" s="78">
        <f>Tabla13[[#This Row],[Needed amount of chemical (g); Stefan UFZ calculations]]</f>
        <v>0</v>
      </c>
      <c r="R222" s="2"/>
      <c r="S222" s="2">
        <f>Tabla13[[#This Row],[EC50 fish]]</f>
        <v>0</v>
      </c>
      <c r="T222" s="2">
        <f>Tabla13[[#This Row],[EC50 daphnia]]</f>
        <v>0</v>
      </c>
      <c r="U222" s="2">
        <f>Tabla134[[#This Row],[Used amount of chemical for stocks (g)]]*1000/Tabla134[[#This Row],[Proposed stock concentration (g/L)]]</f>
        <v>0</v>
      </c>
      <c r="V222" s="100"/>
      <c r="W222" s="100">
        <f>Tabla134[[#This Row],[trials solubility (g  to be used)]]*1000/100</f>
        <v>0</v>
      </c>
      <c r="X222" s="100"/>
      <c r="Y222" s="100"/>
    </row>
    <row r="223" spans="1:25" ht="66.75" customHeight="1">
      <c r="A223" s="10" t="str">
        <f>Tabla1[[#This Row],[Compound]]</f>
        <v>Acetaminophen</v>
      </c>
      <c r="B223" s="10" t="str">
        <f>Tabla1[[#This Row],[Prec.Tox code]]</f>
        <v>PTX072</v>
      </c>
      <c r="C223" s="2" t="str">
        <f>Tabla1[[#This Row],[CAS number]]</f>
        <v>103-90-2</v>
      </c>
      <c r="D223" s="2"/>
      <c r="E223" s="2">
        <f>Tabla13[[#This Row],['[max.'] to reach 100% mortality (mg/L)]]/1000</f>
        <v>16</v>
      </c>
      <c r="F223" s="90" t="e">
        <f>Tabla13[[#This Row],[Needed amount of chemical (g); Stefan UFZ calculations]]/5</f>
        <v>#VALUE!</v>
      </c>
      <c r="G223" s="2" t="e">
        <f>MAX(Tabla134[[#This Row],['[max.'] to reach 100% mortality (g/L) Leitat]:['[max.'] to reach baseline toxicity (g/L) UFZ]])*1000</f>
        <v>#VALUE!</v>
      </c>
      <c r="H223" s="2" t="str">
        <f>Tabla1[[#This Row],[Solubility (DMSO)]]</f>
        <v>20 g/l</v>
      </c>
      <c r="I223" s="2" t="str">
        <f>Tabla1[[#This Row],[Solubility (H2O)]]</f>
        <v>19 g/l</v>
      </c>
      <c r="J223" s="2" t="s">
        <v>2459</v>
      </c>
      <c r="K223" s="92" t="s">
        <v>34</v>
      </c>
      <c r="L223" s="89">
        <v>9</v>
      </c>
      <c r="M223" s="83" t="str">
        <f>Tabla1[[#This Row],[(exempted g or ml)]]</f>
        <v>Not regulated; any amount limit in internal packages</v>
      </c>
      <c r="N223" s="74">
        <f>Tabla134[[#This Row],[Proposed stock volume (per partner; ml -or g-)]]*10</f>
        <v>90</v>
      </c>
      <c r="O223" s="70">
        <f>Tabla13[[#This Row],[Total amount to be purchased (g or ml)]]</f>
        <v>100</v>
      </c>
      <c r="P223" s="78">
        <f>Tabla13[[#This Row],[Needed amount of chemical (g); Ruben Leitat calculations]]</f>
        <v>96</v>
      </c>
      <c r="Q223" s="78" t="str">
        <f>Tabla13[[#This Row],[Needed amount of chemical (g); Stefan UFZ calculations]]</f>
        <v>?</v>
      </c>
      <c r="R223" s="2"/>
      <c r="S223" s="2" t="str">
        <f>Tabla13[[#This Row],[EC50 fish]]</f>
        <v>flow-through test LC50 - Oryzias latipes (Orange-red killifish) - 160 mg/l - 96 h</v>
      </c>
      <c r="T223" s="2" t="str">
        <f>Tabla13[[#This Row],[EC50 daphnia]]</f>
        <v xml:space="preserve">48 h D. magna EC50: 11.85 mg/L </v>
      </c>
      <c r="U223" s="2" t="e">
        <f>Tabla134[[#This Row],[Used amount of chemical for stocks (g)]]*1000/Tabla134[[#This Row],[Proposed stock concentration (g/L)]]</f>
        <v>#VALUE!</v>
      </c>
      <c r="V223" s="100"/>
      <c r="W223" s="100"/>
      <c r="X223" s="100"/>
      <c r="Y223" s="100"/>
    </row>
    <row r="224" spans="1:25" ht="31.5">
      <c r="A224" s="65" t="str">
        <f>Tabla1[[#This Row],[Compound]]</f>
        <v>DNT case study</v>
      </c>
      <c r="B224" s="10"/>
      <c r="C224" s="2"/>
      <c r="D224" s="2"/>
      <c r="E224" s="2"/>
      <c r="F224" s="90"/>
      <c r="G224" s="2"/>
      <c r="H224" s="2"/>
      <c r="I224" s="2"/>
      <c r="J224" s="2"/>
      <c r="K224" s="92"/>
      <c r="L224" s="89"/>
      <c r="M224" s="83"/>
      <c r="N224" s="74"/>
      <c r="O224" s="70"/>
      <c r="P224" s="78"/>
      <c r="Q224" s="78"/>
      <c r="R224" s="2"/>
      <c r="S224" s="2"/>
      <c r="T224" s="2"/>
      <c r="U224" s="2"/>
      <c r="V224" s="100"/>
      <c r="W224" s="100"/>
      <c r="X224" s="100"/>
      <c r="Y224" s="100"/>
    </row>
    <row r="225" spans="1:25" ht="33.75" customHeight="1">
      <c r="A225" s="10" t="str">
        <f>Tabla1[[#This Row],[Compound]]</f>
        <v>Trichlorfon</v>
      </c>
      <c r="B225" s="10" t="str">
        <f>Tabla1[[#This Row],[Prec.Tox code]]</f>
        <v>PTX077</v>
      </c>
      <c r="C225" s="2" t="str">
        <f>Tabla1[[#This Row],[CAS number]]</f>
        <v>52-68-6</v>
      </c>
      <c r="D225" s="2"/>
      <c r="E225" s="2">
        <f>Tabla13[[#This Row],['[max.'] to reach 100% mortality (mg/L)]]/1000</f>
        <v>7.0000000000000007E-2</v>
      </c>
      <c r="F225" s="90">
        <f>Tabla13[[#This Row],[Needed amount of chemical (g); Stefan UFZ calculations]]/5</f>
        <v>13.885267300462999</v>
      </c>
      <c r="G225" s="2">
        <f>MAX(Tabla134[[#This Row],['[max.'] to reach 100% mortality (g/L) Leitat]:['[max.'] to reach baseline toxicity (g/L) UFZ]])*1000</f>
        <v>13885.267300463</v>
      </c>
      <c r="H225" s="2">
        <f>Tabla1[[#This Row],[Solubility (DMSO)]]</f>
        <v>0</v>
      </c>
      <c r="I225" s="2" t="str">
        <f>Tabla1[[#This Row],[Solubility (H2O)]]</f>
        <v>'soluble'</v>
      </c>
      <c r="J225" s="2"/>
      <c r="K225" s="92" t="s">
        <v>34</v>
      </c>
      <c r="L225" s="89"/>
      <c r="M225" s="83">
        <f>Tabla1[[#This Row],[(exempted g or ml)]]</f>
        <v>30</v>
      </c>
      <c r="N225" s="74">
        <f>Tabla134[[#This Row],[Proposed stock volume (per partner; ml -or g-)]]*10</f>
        <v>0</v>
      </c>
      <c r="O225" s="70">
        <f>Tabla13[[#This Row],[Total amount to be purchased (g or ml)]]</f>
        <v>5</v>
      </c>
      <c r="P225" s="78">
        <f>Tabla13[[#This Row],[Needed amount of chemical (g); Ruben Leitat calculations]]</f>
        <v>0.7</v>
      </c>
      <c r="Q225" s="78">
        <f>Tabla13[[#This Row],[Needed amount of chemical (g); Stefan UFZ calculations]]</f>
        <v>69.426336502314996</v>
      </c>
      <c r="R225" s="2"/>
      <c r="S225" s="2">
        <f>Tabla13[[#This Row],[EC50 fish]]</f>
        <v>0.7</v>
      </c>
      <c r="T225" s="2">
        <f>Tabla13[[#This Row],[EC50 daphnia]]</f>
        <v>5.0000000000000002E-5</v>
      </c>
      <c r="U225" s="2" t="e">
        <f>Tabla134[[#This Row],[Used amount of chemical for stocks (g)]]*1000/Tabla134[[#This Row],[Proposed stock concentration (g/L)]]</f>
        <v>#VALUE!</v>
      </c>
      <c r="V225" s="100"/>
      <c r="W225" s="100"/>
      <c r="X225" s="100"/>
      <c r="Y225" s="100"/>
    </row>
    <row r="226" spans="1:25" ht="33.75" customHeight="1">
      <c r="A226" s="10" t="str">
        <f>Tabla1[[#This Row],[Compound]]</f>
        <v>5,5-Diphenylhydantoin</v>
      </c>
      <c r="B226" s="10" t="str">
        <f>Tabla1[[#This Row],[Prec.Tox code]]</f>
        <v>PTX078</v>
      </c>
      <c r="C226" s="2" t="str">
        <f>Tabla1[[#This Row],[CAS number]]</f>
        <v>57-41-0</v>
      </c>
      <c r="D226" s="2"/>
      <c r="E226" s="2">
        <f>Tabla13[[#This Row],['[max.'] to reach 100% mortality (mg/L)]]/1000</f>
        <v>0.86999999999999988</v>
      </c>
      <c r="F226" s="90">
        <f>Tabla13[[#This Row],[Needed amount of chemical (g); Stefan UFZ calculations]]/5</f>
        <v>0.20578498464665212</v>
      </c>
      <c r="G226" s="2">
        <f>MAX(Tabla134[[#This Row],['[max.'] to reach 100% mortality (g/L) Leitat]:['[max.'] to reach baseline toxicity (g/L) UFZ]])*1000</f>
        <v>869.99999999999989</v>
      </c>
      <c r="H226" s="2">
        <f>Tabla1[[#This Row],[Solubility (DMSO)]]</f>
        <v>0</v>
      </c>
      <c r="I226" s="2" t="str">
        <f>Tabla1[[#This Row],[Solubility (H2O)]]</f>
        <v>'slightly soluble'</v>
      </c>
      <c r="J226" s="2"/>
      <c r="K226" s="92" t="s">
        <v>34</v>
      </c>
      <c r="L226" s="89"/>
      <c r="M226" s="83" t="str">
        <f>Tabla1[[#This Row],[(exempted g or ml)]]</f>
        <v>Not regulated; any amount limit in internal packages</v>
      </c>
      <c r="N226" s="74">
        <f>Tabla134[[#This Row],[Proposed stock volume (per partner; ml -or g-)]]*10</f>
        <v>0</v>
      </c>
      <c r="O226" s="70">
        <f>Tabla13[[#This Row],[Total amount to be purchased (g or ml)]]</f>
        <v>100</v>
      </c>
      <c r="P226" s="78">
        <f>Tabla13[[#This Row],[Needed amount of chemical (g); Ruben Leitat calculations]]</f>
        <v>8.6999999999999993</v>
      </c>
      <c r="Q226" s="78">
        <f>Tabla13[[#This Row],[Needed amount of chemical (g); Stefan UFZ calculations]]</f>
        <v>1.0289249232332607</v>
      </c>
      <c r="R226" s="2"/>
      <c r="S226" s="2" t="str">
        <f>Tabla13[[#This Row],[EC50 fish]]</f>
        <v>-</v>
      </c>
      <c r="T226" s="2">
        <f>Tabla13[[#This Row],[EC50 daphnia]]</f>
        <v>8.6999999999999993</v>
      </c>
      <c r="U226" s="2" t="e">
        <f>Tabla134[[#This Row],[Used amount of chemical for stocks (g)]]*1000/Tabla134[[#This Row],[Proposed stock concentration (g/L)]]</f>
        <v>#VALUE!</v>
      </c>
      <c r="V226" s="100"/>
      <c r="W226" s="100"/>
      <c r="X226" s="100"/>
      <c r="Y226" s="100"/>
    </row>
    <row r="227" spans="1:25" ht="33.75" customHeight="1">
      <c r="A227" s="10" t="str">
        <f>Tabla1[[#This Row],[Compound]]</f>
        <v>Tebuconazole</v>
      </c>
      <c r="B227" s="10" t="str">
        <f>Tabla1[[#This Row],[Prec.Tox code]]</f>
        <v>PTX079</v>
      </c>
      <c r="C227" s="2" t="str">
        <f>Tabla1[[#This Row],[CAS number]]</f>
        <v>107534-96-3</v>
      </c>
      <c r="D227" s="2"/>
      <c r="E227" s="2">
        <f>Tabla13[[#This Row],['[max.'] to reach 100% mortality (mg/L)]]/1000</f>
        <v>0.86999999999999988</v>
      </c>
      <c r="F227" s="90">
        <f>Tabla13[[#This Row],[Needed amount of chemical (g); Stefan UFZ calculations]]/5</f>
        <v>6.7545564231069971E-2</v>
      </c>
      <c r="G227" s="2">
        <f>MAX(Tabla134[[#This Row],['[max.'] to reach 100% mortality (g/L) Leitat]:['[max.'] to reach baseline toxicity (g/L) UFZ]])*1000</f>
        <v>869.99999999999989</v>
      </c>
      <c r="H227" s="2">
        <f>Tabla1[[#This Row],[Solubility (DMSO)]]</f>
        <v>0</v>
      </c>
      <c r="I227" s="2" t="str">
        <f>Tabla1[[#This Row],[Solubility (H2O)]]</f>
        <v>?</v>
      </c>
      <c r="J227" s="2"/>
      <c r="K227" s="92" t="s">
        <v>34</v>
      </c>
      <c r="L227" s="89"/>
      <c r="M227" s="83">
        <f>Tabla1[[#This Row],[(exempted g or ml)]]</f>
        <v>30</v>
      </c>
      <c r="N227" s="74">
        <f>Tabla134[[#This Row],[Proposed stock volume (per partner; ml -or g-)]]*10</f>
        <v>0</v>
      </c>
      <c r="O227" s="70">
        <f>Tabla13[[#This Row],[Total amount to be purchased (g or ml)]]</f>
        <v>10</v>
      </c>
      <c r="P227" s="78">
        <f>Tabla13[[#This Row],[Needed amount of chemical (g); Ruben Leitat calculations]]</f>
        <v>8.6999999999999993</v>
      </c>
      <c r="Q227" s="78">
        <f>Tabla13[[#This Row],[Needed amount of chemical (g); Stefan UFZ calculations]]</f>
        <v>0.33772782115534983</v>
      </c>
      <c r="R227" s="2"/>
      <c r="S227" s="2">
        <f>Tabla13[[#This Row],[EC50 fish]]</f>
        <v>8.6999999999999993</v>
      </c>
      <c r="T227" s="2" t="str">
        <f>Tabla13[[#This Row],[EC50 daphnia]]</f>
        <v>?</v>
      </c>
      <c r="U227" s="2" t="e">
        <f>Tabla134[[#This Row],[Used amount of chemical for stocks (g)]]*1000/Tabla134[[#This Row],[Proposed stock concentration (g/L)]]</f>
        <v>#VALUE!</v>
      </c>
      <c r="V227" s="100"/>
      <c r="W227" s="100"/>
      <c r="X227" s="100"/>
      <c r="Y227" s="100"/>
    </row>
    <row r="228" spans="1:25" ht="33.75" customHeight="1">
      <c r="A228" s="10" t="str">
        <f>Tabla1[[#This Row],[Compound]]</f>
        <v>Hexachlorophene</v>
      </c>
      <c r="B228" s="10" t="str">
        <f>Tabla1[[#This Row],[Prec.Tox code]]</f>
        <v>PTX080</v>
      </c>
      <c r="C228" s="2" t="str">
        <f>Tabla1[[#This Row],[CAS number]]</f>
        <v>70-30-4</v>
      </c>
      <c r="D228" s="2"/>
      <c r="E228" s="2">
        <f>Tabla13[[#This Row],['[max.'] to reach 100% mortality (mg/L)]]/1000</f>
        <v>0.02</v>
      </c>
      <c r="F228" s="90">
        <f>Tabla13[[#This Row],[Needed amount of chemical (g); Stefan UFZ calculations]]/5</f>
        <v>1.8158630138147806E-4</v>
      </c>
      <c r="G228" s="2">
        <f>MAX(Tabla134[[#This Row],['[max.'] to reach 100% mortality (g/L) Leitat]:['[max.'] to reach baseline toxicity (g/L) UFZ]])*1000</f>
        <v>20</v>
      </c>
      <c r="H228" s="2" t="str">
        <f>Tabla1[[#This Row],[Solubility (DMSO)]]</f>
        <v xml:space="preserve"> ≥ 40.7 g/L</v>
      </c>
      <c r="I228" s="2" t="str">
        <f>Tabla1[[#This Row],[Solubility (H2O)]]</f>
        <v>?</v>
      </c>
      <c r="J228" s="2"/>
      <c r="K228" s="92" t="s">
        <v>34</v>
      </c>
      <c r="L228" s="89"/>
      <c r="M228" s="83">
        <f>Tabla1[[#This Row],[(exempted g or ml)]]</f>
        <v>30</v>
      </c>
      <c r="N228" s="74">
        <f>Tabla134[[#This Row],[Proposed stock volume (per partner; ml -or g-)]]*10</f>
        <v>0</v>
      </c>
      <c r="O228" s="70">
        <f>Tabla13[[#This Row],[Total amount to be purchased (g or ml)]]</f>
        <v>1</v>
      </c>
      <c r="P228" s="78">
        <f>Tabla13[[#This Row],[Needed amount of chemical (g); Ruben Leitat calculations]]</f>
        <v>0.2</v>
      </c>
      <c r="Q228" s="78">
        <f>Tabla13[[#This Row],[Needed amount of chemical (g); Stefan UFZ calculations]]</f>
        <v>9.0793150690739036E-4</v>
      </c>
      <c r="R228" s="2"/>
      <c r="S228" s="2">
        <f>Tabla13[[#This Row],[EC50 fish]]</f>
        <v>1.9E-2</v>
      </c>
      <c r="T228" s="2">
        <f>Tabla13[[#This Row],[EC50 daphnia]]</f>
        <v>0.2</v>
      </c>
      <c r="U228" s="2" t="e">
        <f>Tabla134[[#This Row],[Used amount of chemical for stocks (g)]]*1000/Tabla134[[#This Row],[Proposed stock concentration (g/L)]]</f>
        <v>#VALUE!</v>
      </c>
      <c r="V228" s="100"/>
      <c r="W228" s="100"/>
      <c r="X228" s="100"/>
      <c r="Y228" s="100"/>
    </row>
    <row r="229" spans="1:25" ht="33.75" customHeight="1">
      <c r="A229" s="10" t="str">
        <f>Tabla1[[#This Row],[Compound]]</f>
        <v>Triethyl-tin bromide</v>
      </c>
      <c r="B229" s="10" t="str">
        <f>Tabla1[[#This Row],[Prec.Tox code]]</f>
        <v>PTX081</v>
      </c>
      <c r="C229" s="2" t="str">
        <f>Tabla1[[#This Row],[CAS number]]</f>
        <v xml:space="preserve">2767-54-6 </v>
      </c>
      <c r="D229" s="2"/>
      <c r="E229" s="2">
        <f>Tabla13[[#This Row],['[max.'] to reach 100% mortality (mg/L)]]/1000</f>
        <v>7.4999999999999997E-2</v>
      </c>
      <c r="F229" s="90">
        <f>Tabla13[[#This Row],[Needed amount of chemical (g); Stefan UFZ calculations]]/5</f>
        <v>7.1949020647864783</v>
      </c>
      <c r="G229" s="2">
        <f>MAX(Tabla134[[#This Row],['[max.'] to reach 100% mortality (g/L) Leitat]:['[max.'] to reach baseline toxicity (g/L) UFZ]])*1000</f>
        <v>7194.9020647864781</v>
      </c>
      <c r="H229" s="2">
        <f>Tabla1[[#This Row],[Solubility (DMSO)]]</f>
        <v>0</v>
      </c>
      <c r="I229" s="2" t="str">
        <f>Tabla1[[#This Row],[Solubility (H2O)]]</f>
        <v>?</v>
      </c>
      <c r="J229" s="2"/>
      <c r="K229" s="92" t="s">
        <v>34</v>
      </c>
      <c r="L229" s="89"/>
      <c r="M229" s="83">
        <f>Tabla1[[#This Row],[(exempted g or ml)]]</f>
        <v>30</v>
      </c>
      <c r="N229" s="74">
        <f>Tabla134[[#This Row],[Proposed stock volume (per partner; ml -or g-)]]*10</f>
        <v>0</v>
      </c>
      <c r="O229" s="70">
        <f>Tabla13[[#This Row],[Total amount to be purchased (g or ml)]]</f>
        <v>5</v>
      </c>
      <c r="P229" s="78">
        <f>Tabla13[[#This Row],[Needed amount of chemical (g); Ruben Leitat calculations]]</f>
        <v>0.75</v>
      </c>
      <c r="Q229" s="78">
        <f>Tabla13[[#This Row],[Needed amount of chemical (g); Stefan UFZ calculations]]</f>
        <v>35.974510323932392</v>
      </c>
      <c r="R229" s="2"/>
      <c r="S229" s="2">
        <f>Tabla13[[#This Row],[EC50 fish]]</f>
        <v>0.75</v>
      </c>
      <c r="T229" s="2">
        <f>Tabla13[[#This Row],[EC50 daphnia]]</f>
        <v>0.26</v>
      </c>
      <c r="U229" s="2" t="e">
        <f>Tabla134[[#This Row],[Used amount of chemical for stocks (g)]]*1000/Tabla134[[#This Row],[Proposed stock concentration (g/L)]]</f>
        <v>#VALUE!</v>
      </c>
      <c r="V229" s="100"/>
      <c r="W229" s="100"/>
      <c r="X229" s="100"/>
      <c r="Y229" s="100"/>
    </row>
    <row r="230" spans="1:25" ht="33.75" customHeight="1">
      <c r="A230" s="10" t="str">
        <f>Tabla1[[#This Row],[Compound]]</f>
        <v>Perfluorooctanoic acid</v>
      </c>
      <c r="B230" s="10" t="str">
        <f>Tabla1[[#This Row],[Prec.Tox code]]</f>
        <v>PTX082</v>
      </c>
      <c r="C230" s="2" t="str">
        <f>Tabla1[[#This Row],[CAS number]]</f>
        <v>335-67-1</v>
      </c>
      <c r="D230" s="2"/>
      <c r="E230" s="2">
        <f>Tabla13[[#This Row],['[max.'] to reach 100% mortality (mg/L)]]/1000</f>
        <v>19.951000000000001</v>
      </c>
      <c r="F230" s="90">
        <f>Tabla13[[#This Row],[Needed amount of chemical (g); Stefan UFZ calculations]]/5</f>
        <v>669.90974424537171</v>
      </c>
      <c r="G230" s="2">
        <f>MAX(Tabla134[[#This Row],['[max.'] to reach 100% mortality (g/L) Leitat]:['[max.'] to reach baseline toxicity (g/L) UFZ]])*1000</f>
        <v>669909.74424537166</v>
      </c>
      <c r="H230" s="2">
        <f>Tabla1[[#This Row],[Solubility (DMSO)]]</f>
        <v>0</v>
      </c>
      <c r="I230" s="2" t="str">
        <f>Tabla1[[#This Row],[Solubility (H2O)]]</f>
        <v>3.4 g/L</v>
      </c>
      <c r="J230" s="2"/>
      <c r="K230" s="92" t="s">
        <v>34</v>
      </c>
      <c r="L230" s="89"/>
      <c r="M230" s="83">
        <f>Tabla1[[#This Row],[(exempted g or ml)]]</f>
        <v>30</v>
      </c>
      <c r="N230" s="74">
        <f>Tabla134[[#This Row],[Proposed stock volume (per partner; ml -or g-)]]*10</f>
        <v>0</v>
      </c>
      <c r="O230" s="70">
        <f>Tabla13[[#This Row],[Total amount to be purchased (g or ml)]]</f>
        <v>75</v>
      </c>
      <c r="P230" s="78">
        <f>Tabla13[[#This Row],[Needed amount of chemical (g); Ruben Leitat calculations]]</f>
        <v>199.51</v>
      </c>
      <c r="Q230" s="78">
        <f>Tabla13[[#This Row],[Needed amount of chemical (g); Stefan UFZ calculations]]</f>
        <v>3349.5487212268586</v>
      </c>
      <c r="R230" s="2"/>
      <c r="S230" s="2">
        <f>Tabla13[[#This Row],[EC50 fish]]</f>
        <v>51</v>
      </c>
      <c r="T230" s="2">
        <f>Tabla13[[#This Row],[EC50 daphnia]]</f>
        <v>199.51</v>
      </c>
      <c r="U230" s="2" t="e">
        <f>Tabla134[[#This Row],[Used amount of chemical for stocks (g)]]*1000/Tabla134[[#This Row],[Proposed stock concentration (g/L)]]</f>
        <v>#VALUE!</v>
      </c>
      <c r="V230" s="100"/>
      <c r="W230" s="100"/>
      <c r="X230" s="100"/>
      <c r="Y230" s="100"/>
    </row>
    <row r="231" spans="1:25" ht="33.75" customHeight="1">
      <c r="A231" s="10" t="str">
        <f>Tabla1[[#This Row],[Compound]]</f>
        <v>Trans retinoic acid</v>
      </c>
      <c r="B231" s="10" t="str">
        <f>Tabla1[[#This Row],[Prec.Tox code]]</f>
        <v>PTX083</v>
      </c>
      <c r="C231" s="2" t="str">
        <f>Tabla1[[#This Row],[CAS number]]</f>
        <v>302-79-4</v>
      </c>
      <c r="D231" s="2"/>
      <c r="E231" s="2">
        <f>Tabla13[[#This Row],['[max.'] to reach 100% mortality (mg/L)]]/1000</f>
        <v>1.47E-4</v>
      </c>
      <c r="F231" s="90">
        <f>Tabla13[[#This Row],[Needed amount of chemical (g); Stefan UFZ calculations]]/5</f>
        <v>487.2598692707117</v>
      </c>
      <c r="G231" s="2">
        <f>MAX(Tabla134[[#This Row],['[max.'] to reach 100% mortality (g/L) Leitat]:['[max.'] to reach baseline toxicity (g/L) UFZ]])*1000</f>
        <v>487259.86927071173</v>
      </c>
      <c r="H231" s="2">
        <f>Tabla1[[#This Row],[Solubility (DMSO)]]</f>
        <v>0</v>
      </c>
      <c r="I231" s="2" t="str">
        <f>Tabla1[[#This Row],[Solubility (H2O)]]</f>
        <v>?</v>
      </c>
      <c r="J231" s="2"/>
      <c r="K231" s="92" t="s">
        <v>34</v>
      </c>
      <c r="L231" s="89"/>
      <c r="M231" s="83">
        <f>Tabla1[[#This Row],[(exempted g or ml)]]</f>
        <v>30</v>
      </c>
      <c r="N231" s="74">
        <f>Tabla134[[#This Row],[Proposed stock volume (per partner; ml -or g-)]]*10</f>
        <v>0</v>
      </c>
      <c r="O231" s="70">
        <f>Tabla13[[#This Row],[Total amount to be purchased (g or ml)]]</f>
        <v>10</v>
      </c>
      <c r="P231" s="78">
        <f>Tabla13[[#This Row],[Needed amount of chemical (g); Ruben Leitat calculations]]</f>
        <v>1.47E-3</v>
      </c>
      <c r="Q231" s="78">
        <f>Tabla13[[#This Row],[Needed amount of chemical (g); Stefan UFZ calculations]]</f>
        <v>2436.2993463535586</v>
      </c>
      <c r="R231" s="2"/>
      <c r="S231" s="2">
        <f>Tabla13[[#This Row],[EC50 fish]]</f>
        <v>1.47E-3</v>
      </c>
      <c r="T231" s="2" t="str">
        <f>Tabla13[[#This Row],[EC50 daphnia]]</f>
        <v>NA/</v>
      </c>
      <c r="U231" s="2" t="e">
        <f>Tabla134[[#This Row],[Used amount of chemical for stocks (g)]]*1000/Tabla134[[#This Row],[Proposed stock concentration (g/L)]]</f>
        <v>#VALUE!</v>
      </c>
      <c r="V231" s="100"/>
      <c r="W231" s="100"/>
      <c r="X231" s="100"/>
      <c r="Y231" s="100"/>
    </row>
    <row r="232" spans="1:25" ht="33.75" customHeight="1">
      <c r="A232" s="10" t="str">
        <f>Tabla1[[#This Row],[Compound]]</f>
        <v>Haloperiodol</v>
      </c>
      <c r="B232" s="10" t="str">
        <f>Tabla1[[#This Row],[Prec.Tox code]]</f>
        <v>PTX084</v>
      </c>
      <c r="C232" s="2" t="str">
        <f>Tabla1[[#This Row],[CAS number]]</f>
        <v>52-86-8</v>
      </c>
      <c r="D232" s="2"/>
      <c r="E232" s="2">
        <f>Tabla13[[#This Row],['[max.'] to reach 100% mortality (mg/L)]]/1000</f>
        <v>2.2000000000000002</v>
      </c>
      <c r="F232" s="90">
        <f>Tabla13[[#This Row],[Needed amount of chemical (g); Stefan UFZ calculations]]/5</f>
        <v>344.77650583495671</v>
      </c>
      <c r="G232" s="2">
        <f>MAX(Tabla134[[#This Row],['[max.'] to reach 100% mortality (g/L) Leitat]:['[max.'] to reach baseline toxicity (g/L) UFZ]])*1000</f>
        <v>344776.50583495671</v>
      </c>
      <c r="H232" s="2">
        <f>Tabla1[[#This Row],[Solubility (DMSO)]]</f>
        <v>0</v>
      </c>
      <c r="I232" s="2" t="str">
        <f>Tabla1[[#This Row],[Solubility (H2O)]]</f>
        <v>?</v>
      </c>
      <c r="J232" s="2"/>
      <c r="K232" s="92" t="s">
        <v>34</v>
      </c>
      <c r="L232" s="89"/>
      <c r="M232" s="83">
        <f>Tabla1[[#This Row],[(exempted g or ml)]]</f>
        <v>30</v>
      </c>
      <c r="N232" s="74">
        <f>Tabla134[[#This Row],[Proposed stock volume (per partner; ml -or g-)]]*10</f>
        <v>0</v>
      </c>
      <c r="O232" s="70">
        <f>Tabla13[[#This Row],[Total amount to be purchased (g or ml)]]</f>
        <v>25</v>
      </c>
      <c r="P232" s="78">
        <f>Tabla13[[#This Row],[Needed amount of chemical (g); Ruben Leitat calculations]]</f>
        <v>22</v>
      </c>
      <c r="Q232" s="78">
        <f>Tabla13[[#This Row],[Needed amount of chemical (g); Stefan UFZ calculations]]</f>
        <v>1723.8825291747835</v>
      </c>
      <c r="R232" s="2"/>
      <c r="S232" s="2">
        <f>Tabla13[[#This Row],[EC50 fish]]</f>
        <v>8.3000000000000007</v>
      </c>
      <c r="T232" s="2">
        <f>Tabla13[[#This Row],[EC50 daphnia]]</f>
        <v>22</v>
      </c>
      <c r="U232" s="2" t="e">
        <f>Tabla134[[#This Row],[Used amount of chemical for stocks (g)]]*1000/Tabla134[[#This Row],[Proposed stock concentration (g/L)]]</f>
        <v>#VALUE!</v>
      </c>
      <c r="V232" s="100"/>
      <c r="W232" s="100"/>
      <c r="X232" s="100"/>
      <c r="Y232" s="100"/>
    </row>
    <row r="233" spans="1:25" ht="33.75" customHeight="1">
      <c r="A233" s="10" t="str">
        <f>Tabla1[[#This Row],[Compound]]</f>
        <v>Chlorpromazine (hydrochloride)</v>
      </c>
      <c r="B233" s="10" t="str">
        <f>Tabla1[[#This Row],[Prec.Tox code]]</f>
        <v>PTX085</v>
      </c>
      <c r="C233" s="2" t="str">
        <f>Tabla1[[#This Row],[CAS number]]</f>
        <v>50-53-3
(69-09-0)</v>
      </c>
      <c r="D233" s="2"/>
      <c r="E233" s="2">
        <f>Tabla13[[#This Row],['[max.'] to reach 100% mortality (mg/L)]]/1000</f>
        <v>180.5</v>
      </c>
      <c r="F233" s="90">
        <f>Tabla13[[#This Row],[Needed amount of chemical (g); Stefan UFZ calculations]]/5</f>
        <v>8.6092200000000008E-3</v>
      </c>
      <c r="G233" s="2">
        <f>MAX(Tabla134[[#This Row],['[max.'] to reach 100% mortality (g/L) Leitat]:['[max.'] to reach baseline toxicity (g/L) UFZ]])*1000</f>
        <v>180500</v>
      </c>
      <c r="H233" s="2">
        <f>Tabla1[[#This Row],[Solubility (DMSO)]]</f>
        <v>0</v>
      </c>
      <c r="I233" s="2" t="str">
        <f>Tabla1[[#This Row],[Solubility (H2O)]]</f>
        <v>50 g/L</v>
      </c>
      <c r="J233" s="2"/>
      <c r="K233" s="92" t="s">
        <v>34</v>
      </c>
      <c r="L233" s="89"/>
      <c r="M233" s="83" t="str">
        <f>Tabla1[[#This Row],[(exempted g or ml)]]</f>
        <v>Not regulated; any amount limit in internal packages</v>
      </c>
      <c r="N233" s="74">
        <f>Tabla134[[#This Row],[Proposed stock volume (per partner; ml -or g-)]]*10</f>
        <v>0</v>
      </c>
      <c r="O233" s="70">
        <f>Tabla13[[#This Row],[Total amount to be purchased (g or ml)]]</f>
        <v>25</v>
      </c>
      <c r="P233" s="78">
        <f>Tabla13[[#This Row],[Needed amount of chemical (g); Ruben Leitat calculations]]</f>
        <v>8.6092200000000008E-3</v>
      </c>
      <c r="Q233" s="78">
        <f>Tabla13[[#This Row],[Needed amount of chemical (g); Stefan UFZ calculations]]</f>
        <v>4.3046100000000004E-2</v>
      </c>
      <c r="R233" s="2"/>
      <c r="S233" s="2" t="str">
        <f>Tabla13[[#This Row],[EC50 fish]]</f>
        <v>NA/</v>
      </c>
      <c r="T233" s="2">
        <f>Tabla13[[#This Row],[EC50 daphnia]]</f>
        <v>1805</v>
      </c>
      <c r="U233" s="2" t="e">
        <f>Tabla134[[#This Row],[Used amount of chemical for stocks (g)]]*1000/Tabla134[[#This Row],[Proposed stock concentration (g/L)]]</f>
        <v>#VALUE!</v>
      </c>
      <c r="V233" s="100"/>
      <c r="W233" s="100"/>
      <c r="X233" s="100"/>
      <c r="Y233" s="100"/>
    </row>
    <row r="234" spans="1:25" ht="33.75" customHeight="1">
      <c r="A234" s="10" t="str">
        <f>Tabla1[[#This Row],[Compound]]</f>
        <v>Carbamazepine</v>
      </c>
      <c r="B234" s="10" t="str">
        <f>Tabla1[[#This Row],[Prec.Tox code]]</f>
        <v>PTX086</v>
      </c>
      <c r="C234" s="2" t="str">
        <f>Tabla1[[#This Row],[CAS number]]</f>
        <v>298-46-4</v>
      </c>
      <c r="D234" s="2"/>
      <c r="E234" s="2">
        <f>Tabla13[[#This Row],['[max.'] to reach 100% mortality (mg/L)]]/1000</f>
        <v>10</v>
      </c>
      <c r="F234" s="90">
        <f>Tabla13[[#This Row],[Needed amount of chemical (g); Stefan UFZ calculations]]/5</f>
        <v>7.5234308524831831E-2</v>
      </c>
      <c r="G234" s="2">
        <f>MAX(Tabla134[[#This Row],['[max.'] to reach 100% mortality (g/L) Leitat]:['[max.'] to reach baseline toxicity (g/L) UFZ]])*1000</f>
        <v>10000</v>
      </c>
      <c r="H234" s="2">
        <f>Tabla1[[#This Row],[Solubility (DMSO)]]</f>
        <v>0</v>
      </c>
      <c r="I234" s="2" t="str">
        <f>Tabla1[[#This Row],[Solubility (H2O)]]</f>
        <v>?</v>
      </c>
      <c r="J234" s="2"/>
      <c r="K234" s="92" t="s">
        <v>34</v>
      </c>
      <c r="L234" s="89"/>
      <c r="M234" s="83" t="str">
        <f>Tabla1[[#This Row],[(exempted g or ml)]]</f>
        <v>Not regulated; any amount limit in internal packages</v>
      </c>
      <c r="N234" s="74">
        <f>Tabla134[[#This Row],[Proposed stock volume (per partner; ml -or g-)]]*10</f>
        <v>0</v>
      </c>
      <c r="O234" s="70">
        <f>Tabla13[[#This Row],[Total amount to be purchased (g or ml)]]</f>
        <v>100</v>
      </c>
      <c r="P234" s="78">
        <f>Tabla13[[#This Row],[Needed amount of chemical (g); Ruben Leitat calculations]]</f>
        <v>100</v>
      </c>
      <c r="Q234" s="78">
        <f>Tabla13[[#This Row],[Needed amount of chemical (g); Stefan UFZ calculations]]</f>
        <v>0.37617154262415914</v>
      </c>
      <c r="R234" s="2"/>
      <c r="S234" s="2">
        <f>Tabla13[[#This Row],[EC50 fish]]</f>
        <v>100</v>
      </c>
      <c r="T234" s="2">
        <f>Tabla13[[#This Row],[EC50 daphnia]]</f>
        <v>97.817436000000001</v>
      </c>
      <c r="U234" s="2" t="e">
        <f>Tabla134[[#This Row],[Used amount of chemical for stocks (g)]]*1000/Tabla134[[#This Row],[Proposed stock concentration (g/L)]]</f>
        <v>#VALUE!</v>
      </c>
      <c r="V234" s="100"/>
      <c r="W234" s="100"/>
      <c r="X234" s="100"/>
      <c r="Y234" s="100"/>
    </row>
    <row r="235" spans="1:25" ht="33.75" customHeight="1">
      <c r="A235" s="10" t="str">
        <f>Tabla1[[#This Row],[Compound]]</f>
        <v>Imidacloprid</v>
      </c>
      <c r="B235" s="10" t="str">
        <f>Tabla1[[#This Row],[Prec.Tox code]]</f>
        <v>PTX087</v>
      </c>
      <c r="C235" s="2" t="str">
        <f>Tabla1[[#This Row],[CAS number]]</f>
        <v>138261-41-3</v>
      </c>
      <c r="D235" s="2"/>
      <c r="E235" s="2">
        <f>Tabla13[[#This Row],['[max.'] to reach 100% mortality (mg/L)]]/1000</f>
        <v>21.1</v>
      </c>
      <c r="F235" s="90">
        <f>Tabla13[[#This Row],[Needed amount of chemical (g); Stefan UFZ calculations]]/5</f>
        <v>0.12783</v>
      </c>
      <c r="G235" s="2">
        <f>MAX(Tabla134[[#This Row],['[max.'] to reach 100% mortality (g/L) Leitat]:['[max.'] to reach baseline toxicity (g/L) UFZ]])*1000</f>
        <v>21100</v>
      </c>
      <c r="H235" s="2">
        <f>Tabla1[[#This Row],[Solubility (DMSO)]]</f>
        <v>0</v>
      </c>
      <c r="I235" s="2" t="str">
        <f>Tabla1[[#This Row],[Solubility (H2O)]]</f>
        <v>0.61 g/L</v>
      </c>
      <c r="J235" s="2"/>
      <c r="K235" s="92" t="s">
        <v>34</v>
      </c>
      <c r="L235" s="89"/>
      <c r="M235" s="83">
        <f>Tabla1[[#This Row],[(exempted g or ml)]]</f>
        <v>30</v>
      </c>
      <c r="N235" s="74">
        <f>Tabla134[[#This Row],[Proposed stock volume (per partner; ml -or g-)]]*10</f>
        <v>0</v>
      </c>
      <c r="O235" s="70">
        <f>Tabla13[[#This Row],[Total amount to be purchased (g or ml)]]</f>
        <v>2</v>
      </c>
      <c r="P235" s="78">
        <f>Tabla13[[#This Row],[Needed amount of chemical (g); Ruben Leitat calculations]]</f>
        <v>127.83</v>
      </c>
      <c r="Q235" s="78">
        <f>Tabla13[[#This Row],[Needed amount of chemical (g); Stefan UFZ calculations]]</f>
        <v>0.63915</v>
      </c>
      <c r="R235" s="2"/>
      <c r="S235" s="2">
        <f>Tabla13[[#This Row],[EC50 fish]]</f>
        <v>211</v>
      </c>
      <c r="T235" s="2">
        <f>Tabla13[[#This Row],[EC50 daphnia]]</f>
        <v>85</v>
      </c>
      <c r="U235" s="2" t="e">
        <f>Tabla134[[#This Row],[Used amount of chemical for stocks (g)]]*1000/Tabla134[[#This Row],[Proposed stock concentration (g/L)]]</f>
        <v>#VALUE!</v>
      </c>
      <c r="V235" s="100"/>
      <c r="W235" s="100"/>
      <c r="X235" s="100"/>
      <c r="Y235" s="100"/>
    </row>
    <row r="236" spans="1:25" ht="33.75" customHeight="1">
      <c r="A236" s="10" t="str">
        <f>Tabla1[[#This Row],[Compound]]</f>
        <v>Fipronil</v>
      </c>
      <c r="B236" s="10" t="str">
        <f>Tabla1[[#This Row],[Prec.Tox code]]</f>
        <v>PTX088</v>
      </c>
      <c r="C236" s="2" t="str">
        <f>Tabla1[[#This Row],[CAS number]]</f>
        <v>120068-37-3</v>
      </c>
      <c r="D236" s="2"/>
      <c r="E236" s="2">
        <f>Tabla13[[#This Row],['[max.'] to reach 100% mortality (mg/L)]]/1000</f>
        <v>4.2999999999999997E-2</v>
      </c>
      <c r="F236" s="90">
        <f>Tabla13[[#This Row],[Needed amount of chemical (g); Stefan UFZ calculations]]/5</f>
        <v>0.40329287366643296</v>
      </c>
      <c r="G236" s="2">
        <f>MAX(Tabla134[[#This Row],['[max.'] to reach 100% mortality (g/L) Leitat]:['[max.'] to reach baseline toxicity (g/L) UFZ]])*1000</f>
        <v>403.29287366643297</v>
      </c>
      <c r="H236" s="2">
        <f>Tabla1[[#This Row],[Solubility (DMSO)]]</f>
        <v>0</v>
      </c>
      <c r="I236" s="2" t="str">
        <f>Tabla1[[#This Row],[Solubility (H2O)]]</f>
        <v>0.00397 g/l</v>
      </c>
      <c r="J236" s="2"/>
      <c r="K236" s="92" t="s">
        <v>34</v>
      </c>
      <c r="L236" s="89"/>
      <c r="M236" s="83">
        <f>Tabla1[[#This Row],[(exempted g or ml)]]</f>
        <v>30</v>
      </c>
      <c r="N236" s="74">
        <f>Tabla134[[#This Row],[Proposed stock volume (per partner; ml -or g-)]]*10</f>
        <v>0</v>
      </c>
      <c r="O236" s="70">
        <f>Tabla13[[#This Row],[Total amount to be purchased (g or ml)]]</f>
        <v>10</v>
      </c>
      <c r="P236" s="78">
        <f>Tabla13[[#This Row],[Needed amount of chemical (g); Ruben Leitat calculations]]</f>
        <v>0.43</v>
      </c>
      <c r="Q236" s="78">
        <f>Tabla13[[#This Row],[Needed amount of chemical (g); Stefan UFZ calculations]]</f>
        <v>2.0164643683321648</v>
      </c>
      <c r="R236" s="2"/>
      <c r="S236" s="2">
        <f>Tabla13[[#This Row],[EC50 fish]]</f>
        <v>0.43</v>
      </c>
      <c r="T236" s="2">
        <f>Tabla13[[#This Row],[EC50 daphnia]]</f>
        <v>1.3999999999999999E-4</v>
      </c>
      <c r="U236" s="2" t="e">
        <f>Tabla134[[#This Row],[Used amount of chemical for stocks (g)]]*1000/Tabla134[[#This Row],[Proposed stock concentration (g/L)]]</f>
        <v>#VALUE!</v>
      </c>
      <c r="V236" s="100"/>
      <c r="W236" s="100"/>
      <c r="X236" s="100"/>
      <c r="Y236" s="100"/>
    </row>
    <row r="237" spans="1:25" ht="33.75" customHeight="1">
      <c r="A237" s="10" t="str">
        <f>Tabla1[[#This Row],[Compound]]</f>
        <v>Thiamethoxam</v>
      </c>
      <c r="B237" s="10" t="str">
        <f>Tabla1[[#This Row],[Prec.Tox code]]</f>
        <v>PTX089</v>
      </c>
      <c r="C237" s="2" t="str">
        <f>Tabla1[[#This Row],[CAS number]]</f>
        <v>153719-23-4</v>
      </c>
      <c r="D237" s="2"/>
      <c r="E237" s="2">
        <f>Tabla13[[#This Row],['[max.'] to reach 100% mortality (mg/L)]]/1000</f>
        <v>12.5</v>
      </c>
      <c r="F237" s="90">
        <f>Tabla13[[#This Row],[Needed amount of chemical (g); Stefan UFZ calculations]]/5</f>
        <v>51.345676538458221</v>
      </c>
      <c r="G237" s="2">
        <f>MAX(Tabla134[[#This Row],['[max.'] to reach 100% mortality (g/L) Leitat]:['[max.'] to reach baseline toxicity (g/L) UFZ]])*1000</f>
        <v>51345.676538458218</v>
      </c>
      <c r="H237" s="2">
        <f>Tabla1[[#This Row],[Solubility (DMSO)]]</f>
        <v>0</v>
      </c>
      <c r="I237" s="2" t="str">
        <f>Tabla1[[#This Row],[Solubility (H2O)]]</f>
        <v>?</v>
      </c>
      <c r="J237" s="2"/>
      <c r="K237" s="92" t="s">
        <v>34</v>
      </c>
      <c r="L237" s="89"/>
      <c r="M237" s="83">
        <f>Tabla1[[#This Row],[(exempted g or ml)]]</f>
        <v>30</v>
      </c>
      <c r="N237" s="74">
        <f>Tabla134[[#This Row],[Proposed stock volume (per partner; ml -or g-)]]*10</f>
        <v>0</v>
      </c>
      <c r="O237" s="70">
        <f>Tabla13[[#This Row],[Total amount to be purchased (g or ml)]]</f>
        <v>25</v>
      </c>
      <c r="P237" s="78">
        <f>Tabla13[[#This Row],[Needed amount of chemical (g); Ruben Leitat calculations]]</f>
        <v>125</v>
      </c>
      <c r="Q237" s="78">
        <f>Tabla13[[#This Row],[Needed amount of chemical (g); Stefan UFZ calculations]]</f>
        <v>256.72838269229112</v>
      </c>
      <c r="R237" s="2"/>
      <c r="S237" s="2">
        <f>Tabla13[[#This Row],[EC50 fish]]</f>
        <v>125</v>
      </c>
      <c r="T237" s="2">
        <f>Tabla13[[#This Row],[EC50 daphnia]]</f>
        <v>8.4</v>
      </c>
      <c r="U237" s="2" t="e">
        <f>Tabla134[[#This Row],[Used amount of chemical for stocks (g)]]*1000/Tabla134[[#This Row],[Proposed stock concentration (g/L)]]</f>
        <v>#VALUE!</v>
      </c>
      <c r="V237" s="100"/>
      <c r="W237" s="100"/>
      <c r="X237" s="100"/>
      <c r="Y237" s="100"/>
    </row>
    <row r="238" spans="1:25" ht="33.75" customHeight="1">
      <c r="A238" s="10" t="str">
        <f>Tabla1[[#This Row],[Compound]]</f>
        <v>Azoxystrobin</v>
      </c>
      <c r="B238" s="10" t="str">
        <f>Tabla1[[#This Row],[Prec.Tox code]]</f>
        <v>PTX090</v>
      </c>
      <c r="C238" s="2" t="str">
        <f>Tabla1[[#This Row],[CAS number]]</f>
        <v>131860-33-8</v>
      </c>
      <c r="D238" s="2"/>
      <c r="E238" s="2">
        <f>Tabla13[[#This Row],['[max.'] to reach 100% mortality (mg/L)]]/1000</f>
        <v>2.5900000000000003E-2</v>
      </c>
      <c r="F238" s="90">
        <f>Tabla13[[#This Row],[Needed amount of chemical (g); Stefan UFZ calculations]]/5</f>
        <v>0.85630688185599591</v>
      </c>
      <c r="G238" s="2">
        <f>MAX(Tabla134[[#This Row],['[max.'] to reach 100% mortality (g/L) Leitat]:['[max.'] to reach baseline toxicity (g/L) UFZ]])*1000</f>
        <v>856.30688185599593</v>
      </c>
      <c r="H238" s="2">
        <f>Tabla1[[#This Row],[Solubility (DMSO)]]</f>
        <v>0</v>
      </c>
      <c r="I238" s="2" t="str">
        <f>Tabla1[[#This Row],[Solubility (H2O)]]</f>
        <v>0.006 g/l</v>
      </c>
      <c r="J238" s="2"/>
      <c r="K238" s="92" t="s">
        <v>34</v>
      </c>
      <c r="L238" s="89"/>
      <c r="M238" s="83">
        <f>Tabla1[[#This Row],[(exempted g or ml)]]</f>
        <v>30</v>
      </c>
      <c r="N238" s="74">
        <f>Tabla134[[#This Row],[Proposed stock volume (per partner; ml -or g-)]]*10</f>
        <v>0</v>
      </c>
      <c r="O238" s="70">
        <f>Tabla13[[#This Row],[Total amount to be purchased (g or ml)]]</f>
        <v>2</v>
      </c>
      <c r="P238" s="78">
        <f>Tabla13[[#This Row],[Needed amount of chemical (g); Ruben Leitat calculations]]</f>
        <v>0.25900000000000001</v>
      </c>
      <c r="Q238" s="78">
        <f>Tabla13[[#This Row],[Needed amount of chemical (g); Stefan UFZ calculations]]</f>
        <v>4.2815344092799794</v>
      </c>
      <c r="R238" s="2"/>
      <c r="S238" s="2" t="str">
        <f>Tabla13[[#This Row],[EC50 fish]]</f>
        <v>NA/</v>
      </c>
      <c r="T238" s="2">
        <f>Tabla13[[#This Row],[EC50 daphnia]]</f>
        <v>0.25900000000000001</v>
      </c>
      <c r="U238" s="2" t="e">
        <f>Tabla134[[#This Row],[Used amount of chemical for stocks (g)]]*1000/Tabla134[[#This Row],[Proposed stock concentration (g/L)]]</f>
        <v>#VALUE!</v>
      </c>
      <c r="V238" s="100"/>
      <c r="W238" s="100"/>
      <c r="X238" s="100"/>
      <c r="Y238" s="100"/>
    </row>
    <row r="239" spans="1:25" ht="33.75" customHeight="1">
      <c r="A239" s="10" t="str">
        <f>Tabla1[[#This Row],[Compound]]</f>
        <v>Camptothecin</v>
      </c>
      <c r="B239" s="10" t="str">
        <f>Tabla1[[#This Row],[Prec.Tox code]]</f>
        <v>PTX091</v>
      </c>
      <c r="C239" s="2" t="str">
        <f>Tabla1[[#This Row],[CAS number]]</f>
        <v>7689-03-4</v>
      </c>
      <c r="D239" s="2"/>
      <c r="E239" s="2">
        <f>Tabla13[[#This Row],['[max.'] to reach 100% mortality (mg/L)]]/1000</f>
        <v>0</v>
      </c>
      <c r="F239" s="90">
        <f>Tabla13[[#This Row],[Needed amount of chemical (g); Stefan UFZ calculations]]/5</f>
        <v>0.96907590511910213</v>
      </c>
      <c r="G239" s="2">
        <f>MAX(Tabla134[[#This Row],['[max.'] to reach 100% mortality (g/L) Leitat]:['[max.'] to reach baseline toxicity (g/L) UFZ]])*1000</f>
        <v>969.07590511910212</v>
      </c>
      <c r="H239" s="2">
        <f>Tabla1[[#This Row],[Solubility (DMSO)]]</f>
        <v>0</v>
      </c>
      <c r="I239" s="2" t="str">
        <f>Tabla1[[#This Row],[Solubility (H2O)]]</f>
        <v>8.7 g/L</v>
      </c>
      <c r="J239" s="2"/>
      <c r="K239" s="92" t="s">
        <v>34</v>
      </c>
      <c r="L239" s="89"/>
      <c r="M239" s="83">
        <f>Tabla1[[#This Row],[(exempted g or ml)]]</f>
        <v>30</v>
      </c>
      <c r="N239" s="74">
        <f>Tabla134[[#This Row],[Proposed stock volume (per partner; ml -or g-)]]*10</f>
        <v>0</v>
      </c>
      <c r="O239" s="70">
        <f>Tabla13[[#This Row],[Total amount to be purchased (g or ml)]]</f>
        <v>10</v>
      </c>
      <c r="P239" s="78">
        <f>Tabla13[[#This Row],[Needed amount of chemical (g); Ruben Leitat calculations]]</f>
        <v>0</v>
      </c>
      <c r="Q239" s="78">
        <f>Tabla13[[#This Row],[Needed amount of chemical (g); Stefan UFZ calculations]]</f>
        <v>4.8453795255955106</v>
      </c>
      <c r="R239" s="2"/>
      <c r="S239" s="2" t="str">
        <f>Tabla13[[#This Row],[EC50 fish]]</f>
        <v>NA/</v>
      </c>
      <c r="T239" s="2" t="str">
        <f>Tabla13[[#This Row],[EC50 daphnia]]</f>
        <v>NA/</v>
      </c>
      <c r="U239" s="2" t="e">
        <f>Tabla134[[#This Row],[Used amount of chemical for stocks (g)]]*1000/Tabla134[[#This Row],[Proposed stock concentration (g/L)]]</f>
        <v>#VALUE!</v>
      </c>
      <c r="V239" s="100"/>
      <c r="W239" s="100"/>
      <c r="X239" s="100"/>
      <c r="Y239" s="100"/>
    </row>
    <row r="240" spans="1:25" ht="33.75" customHeight="1">
      <c r="A240" s="10" t="str">
        <f>Tabla1[[#This Row],[Compound]]</f>
        <v>Tetraethylthiuram disulfide</v>
      </c>
      <c r="B240" s="10" t="str">
        <f>Tabla1[[#This Row],[Prec.Tox code]]</f>
        <v>PTX092</v>
      </c>
      <c r="C240" s="2" t="str">
        <f>Tabla1[[#This Row],[CAS number]]</f>
        <v>97-77-8</v>
      </c>
      <c r="D240" s="2"/>
      <c r="E240" s="2">
        <f>Tabla13[[#This Row],['[max.'] to reach 100% mortality (mg/L)]]/1000</f>
        <v>1.2E-2</v>
      </c>
      <c r="F240" s="90">
        <f>Tabla13[[#This Row],[Needed amount of chemical (g); Stefan UFZ calculations]]/5</f>
        <v>2.1674744734407756E-2</v>
      </c>
      <c r="G240" s="2">
        <f>MAX(Tabla134[[#This Row],['[max.'] to reach 100% mortality (g/L) Leitat]:['[max.'] to reach baseline toxicity (g/L) UFZ]])*1000</f>
        <v>21.674744734407756</v>
      </c>
      <c r="H240" s="2">
        <f>Tabla1[[#This Row],[Solubility (DMSO)]]</f>
        <v>0</v>
      </c>
      <c r="I240" s="2" t="str">
        <f>Tabla1[[#This Row],[Solubility (H2O)]]</f>
        <v>0.004 g/L</v>
      </c>
      <c r="J240" s="2"/>
      <c r="K240" s="92" t="s">
        <v>34</v>
      </c>
      <c r="L240" s="89"/>
      <c r="M240" s="83">
        <f>Tabla1[[#This Row],[(exempted g or ml)]]</f>
        <v>30</v>
      </c>
      <c r="N240" s="74">
        <f>Tabla134[[#This Row],[Proposed stock volume (per partner; ml -or g-)]]*10</f>
        <v>0</v>
      </c>
      <c r="O240" s="70">
        <f>Tabla13[[#This Row],[Total amount to be purchased (g or ml)]]</f>
        <v>100</v>
      </c>
      <c r="P240" s="78">
        <f>Tabla13[[#This Row],[Needed amount of chemical (g); Ruben Leitat calculations]]</f>
        <v>0.12</v>
      </c>
      <c r="Q240" s="78">
        <f>Tabla13[[#This Row],[Needed amount of chemical (g); Stefan UFZ calculations]]</f>
        <v>0.10837372367203878</v>
      </c>
      <c r="R240" s="2"/>
      <c r="S240" s="2">
        <f>Tabla13[[#This Row],[EC50 fish]]</f>
        <v>6.7000000000000004E-2</v>
      </c>
      <c r="T240" s="2">
        <f>Tabla13[[#This Row],[EC50 daphnia]]</f>
        <v>0.12</v>
      </c>
      <c r="U240" s="2" t="e">
        <f>Tabla134[[#This Row],[Used amount of chemical for stocks (g)]]*1000/Tabla134[[#This Row],[Proposed stock concentration (g/L)]]</f>
        <v>#VALUE!</v>
      </c>
      <c r="V240" s="100"/>
      <c r="W240" s="100"/>
      <c r="X240" s="100"/>
      <c r="Y240" s="100"/>
    </row>
    <row r="241" spans="1:25" ht="33.75" customHeight="1">
      <c r="A241" s="10" t="str">
        <f>Tabla1[[#This Row],[Compound]]</f>
        <v>Mebendazole</v>
      </c>
      <c r="B241" s="10" t="str">
        <f>Tabla1[[#This Row],[Prec.Tox code]]</f>
        <v>PTX093</v>
      </c>
      <c r="C241" s="2" t="str">
        <f>Tabla1[[#This Row],[CAS number]]</f>
        <v>31431-39-7</v>
      </c>
      <c r="D241" s="2"/>
      <c r="E241" s="2">
        <f>Tabla13[[#This Row],['[max.'] to reach 100% mortality (mg/L)]]/1000</f>
        <v>0.35299999999999998</v>
      </c>
      <c r="F241" s="90">
        <f>Tabla13[[#This Row],[Needed amount of chemical (g); Stefan UFZ calculations]]/5</f>
        <v>9.2376287739664636E-2</v>
      </c>
      <c r="G241" s="2">
        <f>MAX(Tabla134[[#This Row],['[max.'] to reach 100% mortality (g/L) Leitat]:['[max.'] to reach baseline toxicity (g/L) UFZ]])*1000</f>
        <v>353</v>
      </c>
      <c r="H241" s="2">
        <f>Tabla1[[#This Row],[Solubility (DMSO)]]</f>
        <v>0</v>
      </c>
      <c r="I241" s="2" t="str">
        <f>Tabla1[[#This Row],[Solubility (H2O)]]</f>
        <v>0.0354 g/L</v>
      </c>
      <c r="J241" s="2"/>
      <c r="K241" s="92" t="s">
        <v>34</v>
      </c>
      <c r="L241" s="89"/>
      <c r="M241" s="83" t="str">
        <f>Tabla1[[#This Row],[(exempted g or ml)]]</f>
        <v>Not regulated; any amount limit in internal packages</v>
      </c>
      <c r="N241" s="74">
        <f>Tabla134[[#This Row],[Proposed stock volume (per partner; ml -or g-)]]*10</f>
        <v>0</v>
      </c>
      <c r="O241" s="70">
        <f>Tabla13[[#This Row],[Total amount to be purchased (g or ml)]]</f>
        <v>25</v>
      </c>
      <c r="P241" s="78">
        <f>Tabla13[[#This Row],[Needed amount of chemical (g); Ruben Leitat calculations]]</f>
        <v>3.53</v>
      </c>
      <c r="Q241" s="78">
        <f>Tabla13[[#This Row],[Needed amount of chemical (g); Stefan UFZ calculations]]</f>
        <v>0.46188143869832321</v>
      </c>
      <c r="R241" s="2"/>
      <c r="S241" s="2">
        <f>Tabla13[[#This Row],[EC50 fish]]</f>
        <v>3.53</v>
      </c>
      <c r="T241" s="2" t="str">
        <f>Tabla13[[#This Row],[EC50 daphnia]]</f>
        <v>NA/</v>
      </c>
      <c r="U241" s="2" t="e">
        <f>Tabla134[[#This Row],[Used amount of chemical for stocks (g)]]*1000/Tabla134[[#This Row],[Proposed stock concentration (g/L)]]</f>
        <v>#VALUE!</v>
      </c>
      <c r="V241" s="100"/>
      <c r="W241" s="100"/>
      <c r="X241" s="100"/>
      <c r="Y241" s="100"/>
    </row>
    <row r="242" spans="1:25" ht="33.75" customHeight="1">
      <c r="A242" s="10" t="str">
        <f>Tabla1[[#This Row],[Compound]]</f>
        <v>Citalopram</v>
      </c>
      <c r="B242" s="10" t="str">
        <f>Tabla1[[#This Row],[Prec.Tox code]]</f>
        <v>PTX094</v>
      </c>
      <c r="C242" s="2" t="str">
        <f>Tabla1[[#This Row],[CAS number]]</f>
        <v>59729-33-8</v>
      </c>
      <c r="D242" s="2"/>
      <c r="E242" s="2">
        <f>Tabla13[[#This Row],['[max.'] to reach 100% mortality (mg/L)]]/1000</f>
        <v>2</v>
      </c>
      <c r="F242" s="90">
        <f>Tabla13[[#This Row],[Needed amount of chemical (g); Stefan UFZ calculations]]/5</f>
        <v>1.7019659750580729</v>
      </c>
      <c r="G242" s="2">
        <f>MAX(Tabla134[[#This Row],['[max.'] to reach 100% mortality (g/L) Leitat]:['[max.'] to reach baseline toxicity (g/L) UFZ]])*1000</f>
        <v>2000</v>
      </c>
      <c r="H242" s="2">
        <f>Tabla1[[#This Row],[Solubility (DMSO)]]</f>
        <v>0</v>
      </c>
      <c r="I242" s="2" t="str">
        <f>Tabla1[[#This Row],[Solubility (H2O)]]</f>
        <v>0.03901 g/L</v>
      </c>
      <c r="J242" s="2"/>
      <c r="K242" s="92" t="s">
        <v>34</v>
      </c>
      <c r="L242" s="89"/>
      <c r="M242" s="83" t="str">
        <f>Tabla1[[#This Row],[(exempted g or ml)]]</f>
        <v>Not regulated; any amount limit in internal packages</v>
      </c>
      <c r="N242" s="74">
        <f>Tabla134[[#This Row],[Proposed stock volume (per partner; ml -or g-)]]*10</f>
        <v>0</v>
      </c>
      <c r="O242" s="70">
        <f>Tabla13[[#This Row],[Total amount to be purchased (g or ml)]]</f>
        <v>5</v>
      </c>
      <c r="P242" s="78">
        <f>Tabla13[[#This Row],[Needed amount of chemical (g); Ruben Leitat calculations]]</f>
        <v>20</v>
      </c>
      <c r="Q242" s="78">
        <f>Tabla13[[#This Row],[Needed amount of chemical (g); Stefan UFZ calculations]]</f>
        <v>8.5098298752903645</v>
      </c>
      <c r="R242" s="2"/>
      <c r="S242" s="2" t="str">
        <f>Tabla13[[#This Row],[EC50 fish]]</f>
        <v>NA/</v>
      </c>
      <c r="T242" s="2">
        <f>Tabla13[[#This Row],[EC50 daphnia]]</f>
        <v>20</v>
      </c>
      <c r="U242" s="2" t="e">
        <f>Tabla134[[#This Row],[Used amount of chemical for stocks (g)]]*1000/Tabla134[[#This Row],[Proposed stock concentration (g/L)]]</f>
        <v>#VALUE!</v>
      </c>
      <c r="V242" s="100"/>
      <c r="W242" s="100"/>
      <c r="X242" s="100"/>
      <c r="Y242" s="100"/>
    </row>
    <row r="243" spans="1:25" ht="33.75" customHeight="1">
      <c r="A243" s="10" t="str">
        <f>Tabla1[[#This Row],[Compound]]</f>
        <v>Lidocaine</v>
      </c>
      <c r="B243" s="10" t="str">
        <f>Tabla1[[#This Row],[Prec.Tox code]]</f>
        <v>PTX095</v>
      </c>
      <c r="C243" s="2" t="str">
        <f>Tabla1[[#This Row],[CAS number]]</f>
        <v>137-58-6</v>
      </c>
      <c r="D243" s="2"/>
      <c r="E243" s="2">
        <f>Tabla13[[#This Row],['[max.'] to reach 100% mortality (mg/L)]]/1000</f>
        <v>10</v>
      </c>
      <c r="F243" s="90">
        <f>Tabla13[[#This Row],[Needed amount of chemical (g); Stefan UFZ calculations]]/5</f>
        <v>0.76086062413965838</v>
      </c>
      <c r="G243" s="2">
        <f>MAX(Tabla134[[#This Row],['[max.'] to reach 100% mortality (g/L) Leitat]:['[max.'] to reach baseline toxicity (g/L) UFZ]])*1000</f>
        <v>10000</v>
      </c>
      <c r="H243" s="2">
        <f>Tabla1[[#This Row],[Solubility (DMSO)]]</f>
        <v>0</v>
      </c>
      <c r="I243" s="2" t="str">
        <f>Tabla1[[#This Row],[Solubility (H2O)]]</f>
        <v>'practically insoluble'</v>
      </c>
      <c r="J243" s="2"/>
      <c r="K243" s="92" t="s">
        <v>34</v>
      </c>
      <c r="L243" s="89"/>
      <c r="M243" s="83" t="str">
        <f>Tabla1[[#This Row],[(exempted g or ml)]]</f>
        <v>Not regulated; any amount limit in internal packages</v>
      </c>
      <c r="N243" s="74">
        <f>Tabla134[[#This Row],[Proposed stock volume (per partner; ml -or g-)]]*10</f>
        <v>0</v>
      </c>
      <c r="O243" s="70">
        <f>Tabla13[[#This Row],[Total amount to be purchased (g or ml)]]</f>
        <v>100</v>
      </c>
      <c r="P243" s="78">
        <f>Tabla13[[#This Row],[Needed amount of chemical (g); Ruben Leitat calculations]]</f>
        <v>100</v>
      </c>
      <c r="Q243" s="78">
        <f>Tabla13[[#This Row],[Needed amount of chemical (g); Stefan UFZ calculations]]</f>
        <v>3.8043031206982918</v>
      </c>
      <c r="R243" s="2"/>
      <c r="S243" s="2" t="str">
        <f>Tabla13[[#This Row],[EC50 fish]]</f>
        <v>NA/</v>
      </c>
      <c r="T243" s="2">
        <f>Tabla13[[#This Row],[EC50 daphnia]]</f>
        <v>100</v>
      </c>
      <c r="U243" s="2" t="e">
        <f>Tabla134[[#This Row],[Used amount of chemical for stocks (g)]]*1000/Tabla134[[#This Row],[Proposed stock concentration (g/L)]]</f>
        <v>#VALUE!</v>
      </c>
      <c r="V243" s="100"/>
      <c r="W243" s="100"/>
      <c r="X243" s="100"/>
      <c r="Y243" s="100"/>
    </row>
    <row r="244" spans="1:25" ht="33.75" customHeight="1">
      <c r="A244" s="10" t="str">
        <f>Tabla1[[#This Row],[Compound]]</f>
        <v>Cyclophosphamide (monohydrate)</v>
      </c>
      <c r="B244" s="10" t="str">
        <f>Tabla1[[#This Row],[Prec.Tox code]]</f>
        <v>PTX096</v>
      </c>
      <c r="C244" s="2" t="str">
        <f>Tabla1[[#This Row],[CAS number]]</f>
        <v>50-18-0
(6055-19-2)</v>
      </c>
      <c r="D244" s="2"/>
      <c r="E244" s="2">
        <f>Tabla13[[#This Row],['[max.'] to reach 100% mortality (mg/L)]]/1000</f>
        <v>100</v>
      </c>
      <c r="F244" s="90">
        <f>Tabla13[[#This Row],[Needed amount of chemical (g); Stefan UFZ calculations]]/5</f>
        <v>1.6630795999999997</v>
      </c>
      <c r="G244" s="2">
        <f>MAX(Tabla134[[#This Row],['[max.'] to reach 100% mortality (g/L) Leitat]:['[max.'] to reach baseline toxicity (g/L) UFZ]])*1000</f>
        <v>100000</v>
      </c>
      <c r="H244" s="2">
        <f>Tabla1[[#This Row],[Solubility (DMSO)]]</f>
        <v>0</v>
      </c>
      <c r="I244" s="2" t="str">
        <f>Tabla1[[#This Row],[Solubility (H2O)]]</f>
        <v>10 - 50 g/L</v>
      </c>
      <c r="J244" s="2"/>
      <c r="K244" s="92" t="s">
        <v>34</v>
      </c>
      <c r="L244" s="89"/>
      <c r="M244" s="83">
        <f>Tabla1[[#This Row],[(exempted g or ml)]]</f>
        <v>30</v>
      </c>
      <c r="N244" s="74">
        <f>Tabla134[[#This Row],[Proposed stock volume (per partner; ml -or g-)]]*10</f>
        <v>0</v>
      </c>
      <c r="O244" s="70">
        <f>Tabla13[[#This Row],[Total amount to be purchased (g or ml)]]</f>
        <v>25</v>
      </c>
      <c r="P244" s="78">
        <f>Tabla13[[#This Row],[Needed amount of chemical (g); Ruben Leitat calculations]]</f>
        <v>130.54</v>
      </c>
      <c r="Q244" s="78">
        <f>Tabla13[[#This Row],[Needed amount of chemical (g); Stefan UFZ calculations]]</f>
        <v>8.3153979999999983</v>
      </c>
      <c r="R244" s="2"/>
      <c r="S244" s="2" t="str">
        <f>Tabla13[[#This Row],[EC50 fish]]</f>
        <v>NA/</v>
      </c>
      <c r="T244" s="2">
        <f>Tabla13[[#This Row],[EC50 daphnia]]</f>
        <v>1000</v>
      </c>
      <c r="U244" s="2" t="e">
        <f>Tabla134[[#This Row],[Used amount of chemical for stocks (g)]]*1000/Tabla134[[#This Row],[Proposed stock concentration (g/L)]]</f>
        <v>#VALUE!</v>
      </c>
      <c r="V244" s="100"/>
      <c r="W244" s="100"/>
      <c r="X244" s="100"/>
      <c r="Y244" s="100"/>
    </row>
    <row r="245" spans="1:25" ht="33.75" customHeight="1">
      <c r="A245" s="10" t="str">
        <f>Tabla1[[#This Row],[Compound]]</f>
        <v>Propylthiouracil</v>
      </c>
      <c r="B245" s="10" t="str">
        <f>Tabla1[[#This Row],[Prec.Tox code]]</f>
        <v>PTX097</v>
      </c>
      <c r="C245" s="2" t="str">
        <f>Tabla1[[#This Row],[CAS number]]</f>
        <v>51-52-5</v>
      </c>
      <c r="D245" s="2"/>
      <c r="E245" s="2">
        <f>Tabla13[[#This Row],['[max.'] to reach 100% mortality (mg/L)]]/1000</f>
        <v>0.27500000000000002</v>
      </c>
      <c r="F245" s="90">
        <f>Tabla13[[#This Row],[Needed amount of chemical (g); Stefan UFZ calculations]]/5</f>
        <v>0.76603500000000002</v>
      </c>
      <c r="G245" s="2">
        <f>MAX(Tabla134[[#This Row],['[max.'] to reach 100% mortality (g/L) Leitat]:['[max.'] to reach baseline toxicity (g/L) UFZ]])*1000</f>
        <v>766.03499999999997</v>
      </c>
      <c r="H245" s="2">
        <f>Tabla1[[#This Row],[Solubility (DMSO)]]</f>
        <v>0</v>
      </c>
      <c r="I245" s="2" t="str">
        <f>Tabla1[[#This Row],[Solubility (H2O)]]</f>
        <v>1.1 g/L</v>
      </c>
      <c r="J245" s="2"/>
      <c r="K245" s="92" t="s">
        <v>34</v>
      </c>
      <c r="L245" s="89"/>
      <c r="M245" s="83" t="str">
        <f>Tabla1[[#This Row],[(exempted g or ml)]]</f>
        <v>Not regulated; any amount limit in internal packages</v>
      </c>
      <c r="N245" s="74">
        <f>Tabla134[[#This Row],[Proposed stock volume (per partner; ml -or g-)]]*10</f>
        <v>0</v>
      </c>
      <c r="O245" s="70">
        <f>Tabla13[[#This Row],[Total amount to be purchased (g or ml)]]</f>
        <v>100</v>
      </c>
      <c r="P245" s="78">
        <f>Tabla13[[#This Row],[Needed amount of chemical (g); Ruben Leitat calculations]]</f>
        <v>766.03499999999997</v>
      </c>
      <c r="Q245" s="78">
        <f>Tabla13[[#This Row],[Needed amount of chemical (g); Stefan UFZ calculations]]</f>
        <v>3.8301750000000001</v>
      </c>
      <c r="R245" s="2"/>
      <c r="S245" s="2">
        <f>Tabla13[[#This Row],[EC50 fish]]</f>
        <v>2.75</v>
      </c>
      <c r="T245" s="2" t="str">
        <f>Tabla13[[#This Row],[EC50 daphnia]]</f>
        <v>?</v>
      </c>
      <c r="U245" s="2" t="e">
        <f>Tabla134[[#This Row],[Used amount of chemical for stocks (g)]]*1000/Tabla134[[#This Row],[Proposed stock concentration (g/L)]]</f>
        <v>#VALUE!</v>
      </c>
      <c r="V245" s="100"/>
      <c r="W245" s="100"/>
      <c r="X245" s="100"/>
      <c r="Y245" s="100"/>
    </row>
    <row r="246" spans="1:25" ht="33.75" customHeight="1">
      <c r="A246" s="10" t="str">
        <f>Tabla1[[#This Row],[Compound]]</f>
        <v>Methimazole</v>
      </c>
      <c r="B246" s="10" t="str">
        <f>Tabla1[[#This Row],[Prec.Tox code]]</f>
        <v>PTX098</v>
      </c>
      <c r="C246" s="2" t="str">
        <f>Tabla1[[#This Row],[CAS number]]</f>
        <v>60-56-0</v>
      </c>
      <c r="D246" s="2"/>
      <c r="E246" s="2">
        <f>Tabla13[[#This Row],['[max.'] to reach 100% mortality (mg/L)]]/1000</f>
        <v>0.754</v>
      </c>
      <c r="F246" s="90">
        <f>Tabla13[[#This Row],[Needed amount of chemical (g); Stefan UFZ calculations]]/5</f>
        <v>31.529563961000001</v>
      </c>
      <c r="G246" s="2">
        <f>MAX(Tabla134[[#This Row],['[max.'] to reach 100% mortality (g/L) Leitat]:['[max.'] to reach baseline toxicity (g/L) UFZ]])*1000</f>
        <v>31529.563961</v>
      </c>
      <c r="H246" s="2">
        <f>Tabla1[[#This Row],[Solubility (DMSO)]]</f>
        <v>0</v>
      </c>
      <c r="I246" s="2" t="str">
        <f>Tabla1[[#This Row],[Solubility (H2O)]]</f>
        <v>200 g/L</v>
      </c>
      <c r="J246" s="2"/>
      <c r="K246" s="92" t="s">
        <v>34</v>
      </c>
      <c r="L246" s="89"/>
      <c r="M246" s="83" t="str">
        <f>Tabla1[[#This Row],[(exempted g or ml)]]</f>
        <v>Not regulated; any amount limit in internal packages</v>
      </c>
      <c r="N246" s="74">
        <f>Tabla134[[#This Row],[Proposed stock volume (per partner; ml -or g-)]]*10</f>
        <v>0</v>
      </c>
      <c r="O246" s="70">
        <f>Tabla13[[#This Row],[Total amount to be purchased (g or ml)]]</f>
        <v>100</v>
      </c>
      <c r="P246" s="78">
        <f>Tabla13[[#This Row],[Needed amount of chemical (g); Ruben Leitat calculations]]</f>
        <v>7.54</v>
      </c>
      <c r="Q246" s="78">
        <f>Tabla13[[#This Row],[Needed amount of chemical (g); Stefan UFZ calculations]]</f>
        <v>157.64781980500001</v>
      </c>
      <c r="R246" s="2"/>
      <c r="S246" s="2" t="str">
        <f>Tabla13[[#This Row],[EC50 fish]]</f>
        <v>?</v>
      </c>
      <c r="T246" s="2">
        <f>Tabla13[[#This Row],[EC50 daphnia]]</f>
        <v>7.54</v>
      </c>
      <c r="U246" s="2" t="e">
        <f>Tabla134[[#This Row],[Used amount of chemical for stocks (g)]]*1000/Tabla134[[#This Row],[Proposed stock concentration (g/L)]]</f>
        <v>#VALUE!</v>
      </c>
      <c r="V246" s="100"/>
      <c r="W246" s="100"/>
      <c r="X246" s="100"/>
      <c r="Y246" s="100"/>
    </row>
    <row r="247" spans="1:25" ht="33.75" customHeight="1">
      <c r="A247" s="10" t="str">
        <f>Tabla1[[#This Row],[Compound]]</f>
        <v>Azacytidine</v>
      </c>
      <c r="B247" s="10" t="str">
        <f>Tabla1[[#This Row],[Prec.Tox code]]</f>
        <v>PTX099</v>
      </c>
      <c r="C247" s="2" t="str">
        <f>Tabla1[[#This Row],[CAS number]]</f>
        <v>320-67-2</v>
      </c>
      <c r="D247" s="2"/>
      <c r="E247" s="2">
        <f>Tabla13[[#This Row],['[max.'] to reach 100% mortality (mg/L)]]/1000</f>
        <v>0.36666666666666664</v>
      </c>
      <c r="F247" s="90">
        <f>Tabla13[[#This Row],[Needed amount of chemical (g); Stefan UFZ calculations]]/5</f>
        <v>396.04600199999999</v>
      </c>
      <c r="G247" s="2">
        <f>MAX(Tabla134[[#This Row],['[max.'] to reach 100% mortality (g/L) Leitat]:['[max.'] to reach baseline toxicity (g/L) UFZ]])*1000</f>
        <v>396046.00199999998</v>
      </c>
      <c r="H247" s="2">
        <f>Tabla1[[#This Row],[Solubility (DMSO)]]</f>
        <v>0</v>
      </c>
      <c r="I247" s="2" t="str">
        <f>Tabla1[[#This Row],[Solubility (H2O)]]</f>
        <v>5 -10 g/L</v>
      </c>
      <c r="J247" s="2"/>
      <c r="K247" s="92" t="s">
        <v>34</v>
      </c>
      <c r="L247" s="89"/>
      <c r="M247" s="83">
        <f>Tabla1[[#This Row],[(exempted g or ml)]]</f>
        <v>30</v>
      </c>
      <c r="N247" s="74">
        <f>Tabla134[[#This Row],[Proposed stock volume (per partner; ml -or g-)]]*10</f>
        <v>0</v>
      </c>
      <c r="O247" s="70">
        <f>Tabla13[[#This Row],[Total amount to be purchased (g or ml)]]</f>
        <v>5</v>
      </c>
      <c r="P247" s="78">
        <f>Tabla13[[#This Row],[Needed amount of chemical (g); Ruben Leitat calculations]]</f>
        <v>3.6666666666666665</v>
      </c>
      <c r="Q247" s="78">
        <f>Tabla13[[#This Row],[Needed amount of chemical (g); Stefan UFZ calculations]]</f>
        <v>1980.23001</v>
      </c>
      <c r="R247" s="2"/>
      <c r="S247" s="2">
        <f>Tabla13[[#This Row],[EC50 fish]]</f>
        <v>2.4166666666666665</v>
      </c>
      <c r="T247" s="2">
        <f>Tabla13[[#This Row],[EC50 daphnia]]</f>
        <v>3.6666666666666665</v>
      </c>
      <c r="U247" s="2" t="e">
        <f>Tabla134[[#This Row],[Used amount of chemical for stocks (g)]]*1000/Tabla134[[#This Row],[Proposed stock concentration (g/L)]]</f>
        <v>#VALUE!</v>
      </c>
      <c r="V247" s="100"/>
      <c r="W247" s="100"/>
      <c r="X247" s="100"/>
      <c r="Y247" s="100"/>
    </row>
    <row r="248" spans="1:25" ht="33.75" customHeight="1">
      <c r="A248" s="10" t="str">
        <f>Tabla1[[#This Row],[Compound]]</f>
        <v>Cytosine arabinoside</v>
      </c>
      <c r="B248" s="10" t="str">
        <f>Tabla1[[#This Row],[Prec.Tox code]]</f>
        <v>PTX100</v>
      </c>
      <c r="C248" s="2" t="str">
        <f>Tabla1[[#This Row],[CAS number]]</f>
        <v>147-94-4</v>
      </c>
      <c r="D248" s="2"/>
      <c r="E248" s="2">
        <f>Tabla13[[#This Row],['[max.'] to reach 100% mortality (mg/L)]]/1000</f>
        <v>20</v>
      </c>
      <c r="F248" s="90">
        <f>Tabla13[[#This Row],[Needed amount of chemical (g); Stefan UFZ calculations]]/5</f>
        <v>394.45662819999995</v>
      </c>
      <c r="G248" s="2">
        <f>MAX(Tabla134[[#This Row],['[max.'] to reach 100% mortality (g/L) Leitat]:['[max.'] to reach baseline toxicity (g/L) UFZ]])*1000</f>
        <v>394456.62819999998</v>
      </c>
      <c r="H248" s="2">
        <f>Tabla1[[#This Row],[Solubility (DMSO)]]</f>
        <v>0</v>
      </c>
      <c r="I248" s="2" t="str">
        <f>Tabla1[[#This Row],[Solubility (H2O)]]</f>
        <v>50 g/L</v>
      </c>
      <c r="J248" s="2"/>
      <c r="K248" s="92" t="s">
        <v>34</v>
      </c>
      <c r="L248" s="89"/>
      <c r="M248" s="83" t="str">
        <f>Tabla1[[#This Row],[(exempted g or ml)]]</f>
        <v>Not regulated; any amount limit in internal packages</v>
      </c>
      <c r="N248" s="74">
        <f>Tabla134[[#This Row],[Proposed stock volume (per partner; ml -or g-)]]*10</f>
        <v>0</v>
      </c>
      <c r="O248" s="70">
        <f>Tabla13[[#This Row],[Total amount to be purchased (g or ml)]]</f>
        <v>50</v>
      </c>
      <c r="P248" s="78">
        <f>Tabla13[[#This Row],[Needed amount of chemical (g); Ruben Leitat calculations]]</f>
        <v>200</v>
      </c>
      <c r="Q248" s="78">
        <f>Tabla13[[#This Row],[Needed amount of chemical (g); Stefan UFZ calculations]]</f>
        <v>1972.2831409999999</v>
      </c>
      <c r="R248" s="2"/>
      <c r="S248" s="2" t="str">
        <f>Tabla13[[#This Row],[EC50 fish]]</f>
        <v>?</v>
      </c>
      <c r="T248" s="2">
        <f>Tabla13[[#This Row],[EC50 daphnia]]</f>
        <v>200</v>
      </c>
      <c r="U248" s="2" t="e">
        <f>Tabla134[[#This Row],[Used amount of chemical for stocks (g)]]*1000/Tabla134[[#This Row],[Proposed stock concentration (g/L)]]</f>
        <v>#VALUE!</v>
      </c>
      <c r="V248" s="100"/>
      <c r="W248" s="100"/>
      <c r="X248" s="100"/>
      <c r="Y248" s="100"/>
    </row>
    <row r="249" spans="1:25" ht="33.75" customHeight="1">
      <c r="A249" s="10" t="str">
        <f>Tabla1[[#This Row],[Compound]]</f>
        <v>Hydroxyurea</v>
      </c>
      <c r="B249" s="10" t="str">
        <f>Tabla1[[#This Row],[Prec.Tox code]]</f>
        <v>PTX101</v>
      </c>
      <c r="C249" s="2" t="str">
        <f>Tabla1[[#This Row],[CAS number]]</f>
        <v>127-07-1</v>
      </c>
      <c r="D249" s="2"/>
      <c r="E249" s="2">
        <f>Tabla13[[#This Row],['[max.'] to reach 100% mortality (mg/L)]]/1000</f>
        <v>18</v>
      </c>
      <c r="F249" s="90">
        <f>Tabla13[[#This Row],[Needed amount of chemical (g); Stefan UFZ calculations]]/5</f>
        <v>123.3386505</v>
      </c>
      <c r="G249" s="2">
        <f>MAX(Tabla134[[#This Row],['[max.'] to reach 100% mortality (g/L) Leitat]:['[max.'] to reach baseline toxicity (g/L) UFZ]])*1000</f>
        <v>123338.6505</v>
      </c>
      <c r="H249" s="2">
        <f>Tabla1[[#This Row],[Solubility (DMSO)]]</f>
        <v>0</v>
      </c>
      <c r="I249" s="2" t="str">
        <f>Tabla1[[#This Row],[Solubility (H2O)]]</f>
        <v>50 g/L</v>
      </c>
      <c r="J249" s="2"/>
      <c r="K249" s="92" t="s">
        <v>34</v>
      </c>
      <c r="L249" s="89"/>
      <c r="M249" s="83" t="str">
        <f>Tabla1[[#This Row],[(exempted g or ml)]]</f>
        <v>Not regulated; any amount limit in internal packages</v>
      </c>
      <c r="N249" s="74">
        <f>Tabla134[[#This Row],[Proposed stock volume (per partner; ml -or g-)]]*10</f>
        <v>0</v>
      </c>
      <c r="O249" s="70">
        <f>Tabla13[[#This Row],[Total amount to be purchased (g or ml)]]</f>
        <v>200</v>
      </c>
      <c r="P249" s="78">
        <f>Tabla13[[#This Row],[Needed amount of chemical (g); Ruben Leitat calculations]]</f>
        <v>180</v>
      </c>
      <c r="Q249" s="78">
        <f>Tabla13[[#This Row],[Needed amount of chemical (g); Stefan UFZ calculations]]</f>
        <v>616.69325249999997</v>
      </c>
      <c r="R249" s="2"/>
      <c r="S249" s="2">
        <f>Tabla13[[#This Row],[EC50 fish]]</f>
        <v>180</v>
      </c>
      <c r="T249" s="2">
        <f>Tabla13[[#This Row],[EC50 daphnia]]</f>
        <v>100</v>
      </c>
      <c r="U249" s="2" t="e">
        <f>Tabla134[[#This Row],[Used amount of chemical for stocks (g)]]*1000/Tabla134[[#This Row],[Proposed stock concentration (g/L)]]</f>
        <v>#VALUE!</v>
      </c>
      <c r="V249" s="100"/>
      <c r="W249" s="100"/>
      <c r="X249" s="100"/>
      <c r="Y249" s="100"/>
    </row>
    <row r="250" spans="1:25" ht="33.75" customHeight="1">
      <c r="A250" s="10" t="str">
        <f>Tabla1[[#This Row],[Compound]]</f>
        <v>Colchicine</v>
      </c>
      <c r="B250" s="10" t="str">
        <f>Tabla1[[#This Row],[Prec.Tox code]]</f>
        <v>PTX102</v>
      </c>
      <c r="C250" s="2" t="str">
        <f>Tabla1[[#This Row],[CAS number]]</f>
        <v>64-86-8</v>
      </c>
      <c r="D250" s="2"/>
      <c r="E250" s="2">
        <f>Tabla13[[#This Row],['[max.'] to reach 100% mortality (mg/L)]]/1000</f>
        <v>9</v>
      </c>
      <c r="F250" s="90">
        <f>Tabla13[[#This Row],[Needed amount of chemical (g); Stefan UFZ calculations]]/5</f>
        <v>3.9944299999999995E-2</v>
      </c>
      <c r="G250" s="2">
        <f>MAX(Tabla134[[#This Row],['[max.'] to reach 100% mortality (g/L) Leitat]:['[max.'] to reach baseline toxicity (g/L) UFZ]])*1000</f>
        <v>9000</v>
      </c>
      <c r="H250" s="2">
        <f>Tabla1[[#This Row],[Solubility (DMSO)]]</f>
        <v>0</v>
      </c>
      <c r="I250" s="2" t="str">
        <f>Tabla1[[#This Row],[Solubility (H2O)]]</f>
        <v>45 g/L</v>
      </c>
      <c r="J250" s="2"/>
      <c r="K250" s="92" t="s">
        <v>34</v>
      </c>
      <c r="L250" s="89"/>
      <c r="M250" s="83">
        <f>Tabla1[[#This Row],[(exempted g or ml)]]</f>
        <v>1</v>
      </c>
      <c r="N250" s="74">
        <f>Tabla134[[#This Row],[Proposed stock volume (per partner; ml -or g-)]]*10</f>
        <v>0</v>
      </c>
      <c r="O250" s="70">
        <f>Tabla13[[#This Row],[Total amount to be purchased (g or ml)]]</f>
        <v>5</v>
      </c>
      <c r="P250" s="78">
        <f>Tabla13[[#This Row],[Needed amount of chemical (g); Ruben Leitat calculations]]</f>
        <v>39.944299999999998</v>
      </c>
      <c r="Q250" s="78">
        <f>Tabla13[[#This Row],[Needed amount of chemical (g); Stefan UFZ calculations]]</f>
        <v>0.19972149999999997</v>
      </c>
      <c r="R250" s="2"/>
      <c r="S250" s="2">
        <f>Tabla13[[#This Row],[EC50 fish]]</f>
        <v>90</v>
      </c>
      <c r="T250" s="2" t="str">
        <f>Tabla13[[#This Row],[EC50 daphnia]]</f>
        <v>?</v>
      </c>
      <c r="U250" s="2" t="e">
        <f>Tabla134[[#This Row],[Used amount of chemical for stocks (g)]]*1000/Tabla134[[#This Row],[Proposed stock concentration (g/L)]]</f>
        <v>#VALUE!</v>
      </c>
      <c r="V250" s="100"/>
      <c r="W250" s="100"/>
      <c r="X250" s="100"/>
      <c r="Y250" s="100"/>
    </row>
    <row r="251" spans="1:25" ht="33.75" customHeight="1">
      <c r="A251" s="10" t="str">
        <f>Tabla1[[#This Row],[Compound]]</f>
        <v>Aspartame</v>
      </c>
      <c r="B251" s="10" t="str">
        <f>Tabla1[[#This Row],[Prec.Tox code]]</f>
        <v>PTX103</v>
      </c>
      <c r="C251" s="2" t="str">
        <f>Tabla1[[#This Row],[CAS number]]</f>
        <v>22839-47-0</v>
      </c>
      <c r="D251" s="2"/>
      <c r="E251" s="2">
        <f>Tabla13[[#This Row],['[max.'] to reach 100% mortality (mg/L)]]/1000</f>
        <v>1000</v>
      </c>
      <c r="F251" s="90">
        <f>Tabla13[[#This Row],[Needed amount of chemical (g); Stefan UFZ calculations]]/5</f>
        <v>2.9430000000000003E-3</v>
      </c>
      <c r="G251" s="2">
        <f>MAX(Tabla134[[#This Row],['[max.'] to reach 100% mortality (g/L) Leitat]:['[max.'] to reach baseline toxicity (g/L) UFZ]])*1000</f>
        <v>1000000</v>
      </c>
      <c r="H251" s="2">
        <f>Tabla1[[#This Row],[Solubility (DMSO)]]</f>
        <v>0</v>
      </c>
      <c r="I251" s="2" t="str">
        <f>Tabla1[[#This Row],[Solubility (H2O)]]</f>
        <v>'Sparingly soluble'</v>
      </c>
      <c r="J251" s="2"/>
      <c r="K251" s="92" t="s">
        <v>34</v>
      </c>
      <c r="L251" s="89"/>
      <c r="M251" s="83" t="str">
        <f>Tabla1[[#This Row],[(exempted g or ml)]]</f>
        <v>Not regulated; any amount limit in internal packages</v>
      </c>
      <c r="N251" s="74">
        <f>Tabla134[[#This Row],[Proposed stock volume (per partner; ml -or g-)]]*10</f>
        <v>0</v>
      </c>
      <c r="O251" s="70">
        <f>Tabla13[[#This Row],[Total amount to be purchased (g or ml)]]</f>
        <v>1000</v>
      </c>
      <c r="P251" s="78">
        <f>Tabla13[[#This Row],[Needed amount of chemical (g); Ruben Leitat calculations]]</f>
        <v>2.9430000000000001</v>
      </c>
      <c r="Q251" s="78">
        <f>Tabla13[[#This Row],[Needed amount of chemical (g); Stefan UFZ calculations]]</f>
        <v>1.4715000000000001E-2</v>
      </c>
      <c r="R251" s="2"/>
      <c r="S251" s="2">
        <f>Tabla13[[#This Row],[EC50 fish]]</f>
        <v>10000</v>
      </c>
      <c r="T251" s="2" t="str">
        <f>Tabla13[[#This Row],[EC50 daphnia]]</f>
        <v>?</v>
      </c>
      <c r="U251" s="2" t="e">
        <f>Tabla134[[#This Row],[Used amount of chemical for stocks (g)]]*1000/Tabla134[[#This Row],[Proposed stock concentration (g/L)]]</f>
        <v>#VALUE!</v>
      </c>
      <c r="V251" s="100"/>
      <c r="W251" s="100"/>
      <c r="X251" s="100"/>
      <c r="Y251" s="100"/>
    </row>
    <row r="252" spans="1:25" ht="33.75" customHeight="1">
      <c r="A252" s="10" t="str">
        <f>Tabla1[[#This Row],[Compound]]</f>
        <v>5-Fluorouracil</v>
      </c>
      <c r="B252" s="10" t="str">
        <f>Tabla1[[#This Row],[Prec.Tox code]]</f>
        <v>PTX104</v>
      </c>
      <c r="C252" s="2" t="str">
        <f>Tabla1[[#This Row],[CAS number]]</f>
        <v>51-21-8</v>
      </c>
      <c r="D252" s="2"/>
      <c r="E252" s="2">
        <f>Tabla13[[#This Row],['[max.'] to reach 100% mortality (mg/L)]]/1000</f>
        <v>100</v>
      </c>
      <c r="F252" s="90">
        <f>Tabla13[[#This Row],[Needed amount of chemical (g); Stefan UFZ calculations]]/5</f>
        <v>210.96180118000001</v>
      </c>
      <c r="G252" s="2">
        <f>MAX(Tabla134[[#This Row],['[max.'] to reach 100% mortality (g/L) Leitat]:['[max.'] to reach baseline toxicity (g/L) UFZ]])*1000</f>
        <v>210961.80118000001</v>
      </c>
      <c r="H252" s="2">
        <f>Tabla1[[#This Row],[Solubility (DMSO)]]</f>
        <v>0</v>
      </c>
      <c r="I252" s="2" t="str">
        <f>Tabla1[[#This Row],[Solubility (H2O)]]</f>
        <v>10 g/L</v>
      </c>
      <c r="J252" s="2"/>
      <c r="K252" s="92" t="s">
        <v>34</v>
      </c>
      <c r="L252" s="89"/>
      <c r="M252" s="83">
        <f>Tabla1[[#This Row],[(exempted g or ml)]]</f>
        <v>30</v>
      </c>
      <c r="N252" s="74">
        <f>Tabla134[[#This Row],[Proposed stock volume (per partner; ml -or g-)]]*10</f>
        <v>0</v>
      </c>
      <c r="O252" s="70">
        <f>Tabla13[[#This Row],[Total amount to be purchased (g or ml)]]</f>
        <v>300</v>
      </c>
      <c r="P252" s="78">
        <f>Tabla13[[#This Row],[Needed amount of chemical (g); Ruben Leitat calculations]]</f>
        <v>1000</v>
      </c>
      <c r="Q252" s="78">
        <f>Tabla13[[#This Row],[Needed amount of chemical (g); Stefan UFZ calculations]]</f>
        <v>1054.8090059000001</v>
      </c>
      <c r="R252" s="2"/>
      <c r="S252" s="2">
        <f>Tabla13[[#This Row],[EC50 fish]]</f>
        <v>1000</v>
      </c>
      <c r="T252" s="2">
        <f>Tabla13[[#This Row],[EC50 daphnia]]</f>
        <v>319</v>
      </c>
      <c r="U252" s="2" t="e">
        <f>Tabla134[[#This Row],[Used amount of chemical for stocks (g)]]*1000/Tabla134[[#This Row],[Proposed stock concentration (g/L)]]</f>
        <v>#VALUE!</v>
      </c>
      <c r="V252" s="100"/>
      <c r="W252" s="100"/>
      <c r="X252" s="100"/>
      <c r="Y252" s="100"/>
    </row>
    <row r="253" spans="1:25" ht="33.75" customHeight="1">
      <c r="A253" s="10" t="str">
        <f>Tabla1[[#This Row],[Compound]]</f>
        <v>Methotrexate (hydrate)</v>
      </c>
      <c r="B253" s="10" t="str">
        <f>Tabla1[[#This Row],[Prec.Tox code]]</f>
        <v>PTX105</v>
      </c>
      <c r="C253" s="2" t="str">
        <f>Tabla1[[#This Row],[CAS number]]</f>
        <v>59-05-2
(133073-73-1)</v>
      </c>
      <c r="D253" s="2"/>
      <c r="E253" s="2">
        <f>Tabla13[[#This Row],['[max.'] to reach 100% mortality (mg/L)]]/1000</f>
        <v>100</v>
      </c>
      <c r="F253" s="90">
        <f>Tabla13[[#This Row],[Needed amount of chemical (g); Stefan UFZ calculations]]/5</f>
        <v>4.5443999999999998E-2</v>
      </c>
      <c r="G253" s="2">
        <f>MAX(Tabla134[[#This Row],['[max.'] to reach 100% mortality (g/L) Leitat]:['[max.'] to reach baseline toxicity (g/L) UFZ]])*1000</f>
        <v>100000</v>
      </c>
      <c r="H253" s="2">
        <f>Tabla1[[#This Row],[Solubility (DMSO)]]</f>
        <v>0</v>
      </c>
      <c r="I253" s="2" t="str">
        <f>Tabla1[[#This Row],[Solubility (H2O)]]</f>
        <v>?</v>
      </c>
      <c r="J253" s="2"/>
      <c r="K253" s="92" t="s">
        <v>34</v>
      </c>
      <c r="L253" s="89"/>
      <c r="M253" s="83">
        <f>Tabla1[[#This Row],[(exempted g or ml)]]</f>
        <v>30</v>
      </c>
      <c r="N253" s="74">
        <f>Tabla134[[#This Row],[Proposed stock volume (per partner; ml -or g-)]]*10</f>
        <v>0</v>
      </c>
      <c r="O253" s="70">
        <f>Tabla13[[#This Row],[Total amount to be purchased (g or ml)]]</f>
        <v>5</v>
      </c>
      <c r="P253" s="78">
        <f>Tabla13[[#This Row],[Needed amount of chemical (g); Ruben Leitat calculations]]</f>
        <v>45.444000000000003</v>
      </c>
      <c r="Q253" s="78">
        <f>Tabla13[[#This Row],[Needed amount of chemical (g); Stefan UFZ calculations]]</f>
        <v>0.22722000000000001</v>
      </c>
      <c r="R253" s="2"/>
      <c r="S253" s="2">
        <f>Tabla13[[#This Row],[EC50 fish]]</f>
        <v>85</v>
      </c>
      <c r="T253" s="2">
        <f>Tabla13[[#This Row],[EC50 daphnia]]</f>
        <v>1000</v>
      </c>
      <c r="U253" s="2" t="e">
        <f>Tabla134[[#This Row],[Used amount of chemical for stocks (g)]]*1000/Tabla134[[#This Row],[Proposed stock concentration (g/L)]]</f>
        <v>#VALUE!</v>
      </c>
      <c r="V253" s="100"/>
      <c r="W253" s="100"/>
      <c r="X253" s="100"/>
      <c r="Y253" s="100"/>
    </row>
    <row r="254" spans="1:25" ht="33.75" customHeight="1">
      <c r="A254" s="10" t="str">
        <f>Tabla1[[#This Row],[Compound]]</f>
        <v>Bromodeoxyuridine</v>
      </c>
      <c r="B254" s="10" t="str">
        <f>Tabla1[[#This Row],[Prec.Tox code]]</f>
        <v>PTX106</v>
      </c>
      <c r="C254" s="2" t="str">
        <f>Tabla1[[#This Row],[CAS number]]</f>
        <v>59-14-3</v>
      </c>
      <c r="D254" s="2"/>
      <c r="E254" s="2">
        <f>Tabla13[[#This Row],['[max.'] to reach 100% mortality (mg/L)]]/1000</f>
        <v>0</v>
      </c>
      <c r="F254" s="90">
        <f>Tabla13[[#This Row],[Needed amount of chemical (g); Stefan UFZ calculations]]/5</f>
        <v>4.6065000000000004E-3</v>
      </c>
      <c r="G254" s="2">
        <f>MAX(Tabla134[[#This Row],['[max.'] to reach 100% mortality (g/L) Leitat]:['[max.'] to reach baseline toxicity (g/L) UFZ]])*1000</f>
        <v>4.6065000000000005</v>
      </c>
      <c r="H254" s="2">
        <f>Tabla1[[#This Row],[Solubility (DMSO)]]</f>
        <v>0</v>
      </c>
      <c r="I254" s="2" t="str">
        <f>Tabla1[[#This Row],[Solubility (H2O)]]</f>
        <v>10 - 50 g/L</v>
      </c>
      <c r="J254" s="2"/>
      <c r="K254" s="92" t="s">
        <v>34</v>
      </c>
      <c r="L254" s="89"/>
      <c r="M254" s="83" t="str">
        <f>Tabla1[[#This Row],[(exempted g or ml)]]</f>
        <v>Not regulated; any amount limit in internal packages</v>
      </c>
      <c r="N254" s="74">
        <f>Tabla134[[#This Row],[Proposed stock volume (per partner; ml -or g-)]]*10</f>
        <v>0</v>
      </c>
      <c r="O254" s="70">
        <f>Tabla13[[#This Row],[Total amount to be purchased (g or ml)]]</f>
        <v>5</v>
      </c>
      <c r="P254" s="78">
        <f>Tabla13[[#This Row],[Needed amount of chemical (g); Ruben Leitat calculations]]</f>
        <v>4.6064999999999996</v>
      </c>
      <c r="Q254" s="78">
        <f>Tabla13[[#This Row],[Needed amount of chemical (g); Stefan UFZ calculations]]</f>
        <v>2.3032500000000001E-2</v>
      </c>
      <c r="R254" s="2"/>
      <c r="S254" s="2" t="str">
        <f>Tabla13[[#This Row],[EC50 fish]]</f>
        <v>?</v>
      </c>
      <c r="T254" s="2" t="str">
        <f>Tabla13[[#This Row],[EC50 daphnia]]</f>
        <v>?</v>
      </c>
      <c r="U254" s="2" t="e">
        <f>Tabla134[[#This Row],[Used amount of chemical for stocks (g)]]*1000/Tabla134[[#This Row],[Proposed stock concentration (g/L)]]</f>
        <v>#VALUE!</v>
      </c>
      <c r="V254" s="100"/>
      <c r="W254" s="100"/>
      <c r="X254" s="100"/>
      <c r="Y254" s="100"/>
    </row>
  </sheetData>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1075-97E2-4C07-BF4C-CF3A28DF2822}">
  <dimension ref="A1"/>
  <sheetViews>
    <sheetView workbookViewId="0">
      <selection activeCell="G14" sqref="G14"/>
    </sheetView>
  </sheetViews>
  <sheetFormatPr defaultColWidth="11.42578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2CA99-BA09-40E0-86B5-50F8753A7C17}">
  <dimension ref="A1:F110"/>
  <sheetViews>
    <sheetView topLeftCell="A61" zoomScale="60" zoomScaleNormal="60" workbookViewId="0">
      <selection activeCell="A86" sqref="A86"/>
    </sheetView>
  </sheetViews>
  <sheetFormatPr defaultColWidth="11.42578125" defaultRowHeight="15"/>
  <cols>
    <col min="1" max="1" width="55.85546875" style="113" customWidth="1"/>
    <col min="2" max="2" width="19.5703125" style="122" customWidth="1"/>
    <col min="3" max="3" width="16.85546875" style="113" customWidth="1"/>
    <col min="4" max="4" width="41.7109375" style="113" customWidth="1"/>
    <col min="5" max="5" width="26.28515625" style="113" customWidth="1"/>
    <col min="6" max="6" width="132.28515625" style="113" customWidth="1"/>
    <col min="7" max="16384" width="11.42578125" style="113"/>
  </cols>
  <sheetData>
    <row r="1" spans="1:6" ht="27.75" customHeight="1">
      <c r="A1" s="112" t="s">
        <v>0</v>
      </c>
      <c r="B1" s="112" t="s">
        <v>1</v>
      </c>
      <c r="C1" s="112" t="s">
        <v>2</v>
      </c>
      <c r="D1" s="112" t="s">
        <v>3</v>
      </c>
      <c r="E1" s="112" t="s">
        <v>4</v>
      </c>
      <c r="F1" s="112" t="s">
        <v>2465</v>
      </c>
    </row>
    <row r="2" spans="1:6" ht="18">
      <c r="A2" s="112" t="s">
        <v>24</v>
      </c>
      <c r="B2" s="112" t="s">
        <v>2466</v>
      </c>
      <c r="C2" s="115"/>
      <c r="D2" s="114" t="s">
        <v>2467</v>
      </c>
      <c r="E2" s="114" t="s">
        <v>27</v>
      </c>
      <c r="F2" s="114" t="s">
        <v>2468</v>
      </c>
    </row>
    <row r="3" spans="1:6" ht="18">
      <c r="A3" s="112" t="s">
        <v>39</v>
      </c>
      <c r="B3" s="112" t="s">
        <v>2469</v>
      </c>
      <c r="C3" s="115"/>
      <c r="D3" s="114" t="s">
        <v>2470</v>
      </c>
      <c r="E3" s="114" t="s">
        <v>42</v>
      </c>
      <c r="F3" s="114" t="s">
        <v>2471</v>
      </c>
    </row>
    <row r="4" spans="1:6" ht="18">
      <c r="A4" s="112" t="s">
        <v>53</v>
      </c>
      <c r="B4" s="112" t="s">
        <v>2472</v>
      </c>
      <c r="C4" s="115"/>
      <c r="D4" s="114" t="s">
        <v>2473</v>
      </c>
      <c r="E4" s="114" t="s">
        <v>56</v>
      </c>
      <c r="F4" s="114" t="s">
        <v>2474</v>
      </c>
    </row>
    <row r="5" spans="1:6" ht="18">
      <c r="A5" s="112" t="s">
        <v>69</v>
      </c>
      <c r="B5" s="112" t="s">
        <v>2475</v>
      </c>
      <c r="C5" s="115"/>
      <c r="D5" s="114" t="s">
        <v>2476</v>
      </c>
      <c r="E5" s="114" t="s">
        <v>72</v>
      </c>
      <c r="F5" s="114" t="s">
        <v>2477</v>
      </c>
    </row>
    <row r="6" spans="1:6" ht="18">
      <c r="A6" s="128" t="s">
        <v>79</v>
      </c>
      <c r="B6" s="128" t="s">
        <v>2478</v>
      </c>
      <c r="C6" s="130"/>
      <c r="D6" s="129" t="s">
        <v>2479</v>
      </c>
      <c r="E6" s="129" t="s">
        <v>82</v>
      </c>
      <c r="F6" s="129" t="s">
        <v>2480</v>
      </c>
    </row>
    <row r="7" spans="1:6" ht="18">
      <c r="A7" s="112" t="s">
        <v>88</v>
      </c>
      <c r="B7" s="112" t="s">
        <v>89</v>
      </c>
      <c r="C7" s="115"/>
      <c r="D7" s="114" t="s">
        <v>2481</v>
      </c>
      <c r="E7" s="114" t="s">
        <v>91</v>
      </c>
      <c r="F7" s="114" t="s">
        <v>2482</v>
      </c>
    </row>
    <row r="8" spans="1:6" ht="18">
      <c r="A8" s="112" t="s">
        <v>97</v>
      </c>
      <c r="B8" s="112" t="s">
        <v>98</v>
      </c>
      <c r="C8" s="114" t="s">
        <v>99</v>
      </c>
      <c r="D8" s="114" t="s">
        <v>2483</v>
      </c>
      <c r="E8" s="114" t="s">
        <v>101</v>
      </c>
      <c r="F8" s="114" t="s">
        <v>2484</v>
      </c>
    </row>
    <row r="9" spans="1:6" ht="18">
      <c r="A9" s="112" t="s">
        <v>109</v>
      </c>
      <c r="B9" s="112" t="s">
        <v>110</v>
      </c>
      <c r="C9" s="114" t="s">
        <v>111</v>
      </c>
      <c r="D9" s="114" t="s">
        <v>2485</v>
      </c>
      <c r="E9" s="114" t="s">
        <v>113</v>
      </c>
      <c r="F9" s="114" t="s">
        <v>2486</v>
      </c>
    </row>
    <row r="10" spans="1:6" ht="18">
      <c r="A10" s="112" t="s">
        <v>120</v>
      </c>
      <c r="B10" s="112" t="s">
        <v>121</v>
      </c>
      <c r="C10" s="114" t="s">
        <v>122</v>
      </c>
      <c r="D10" s="114" t="s">
        <v>2487</v>
      </c>
      <c r="E10" s="114" t="s">
        <v>124</v>
      </c>
      <c r="F10" s="114" t="s">
        <v>2488</v>
      </c>
    </row>
    <row r="11" spans="1:6" ht="18">
      <c r="A11" s="112" t="s">
        <v>131</v>
      </c>
      <c r="B11" s="112" t="s">
        <v>132</v>
      </c>
      <c r="C11" s="114" t="s">
        <v>133</v>
      </c>
      <c r="D11" s="114" t="s">
        <v>2489</v>
      </c>
      <c r="E11" s="114" t="s">
        <v>135</v>
      </c>
      <c r="F11" s="114" t="s">
        <v>2490</v>
      </c>
    </row>
    <row r="12" spans="1:6" ht="18">
      <c r="A12" s="112" t="s">
        <v>140</v>
      </c>
      <c r="B12" s="112" t="s">
        <v>141</v>
      </c>
      <c r="C12" s="114" t="s">
        <v>142</v>
      </c>
      <c r="D12" s="114" t="s">
        <v>2489</v>
      </c>
      <c r="E12" s="114" t="s">
        <v>143</v>
      </c>
      <c r="F12" s="114" t="s">
        <v>2491</v>
      </c>
    </row>
    <row r="13" spans="1:6" ht="18">
      <c r="A13" s="112" t="s">
        <v>149</v>
      </c>
      <c r="B13" s="112" t="s">
        <v>150</v>
      </c>
      <c r="C13" s="114" t="s">
        <v>151</v>
      </c>
      <c r="D13" s="114" t="s">
        <v>2492</v>
      </c>
      <c r="E13" s="114" t="s">
        <v>153</v>
      </c>
      <c r="F13" s="114" t="s">
        <v>2493</v>
      </c>
    </row>
    <row r="14" spans="1:6" ht="18">
      <c r="A14" s="112" t="s">
        <v>161</v>
      </c>
      <c r="B14" s="112" t="s">
        <v>162</v>
      </c>
      <c r="C14" s="114" t="s">
        <v>163</v>
      </c>
      <c r="D14" s="114" t="s">
        <v>2494</v>
      </c>
      <c r="E14" s="114" t="s">
        <v>165</v>
      </c>
      <c r="F14" s="114" t="s">
        <v>2495</v>
      </c>
    </row>
    <row r="15" spans="1:6" ht="18">
      <c r="A15" s="112" t="s">
        <v>171</v>
      </c>
      <c r="B15" s="112" t="s">
        <v>172</v>
      </c>
      <c r="C15" s="114" t="s">
        <v>173</v>
      </c>
      <c r="D15" s="114" t="s">
        <v>2496</v>
      </c>
      <c r="E15" s="114" t="s">
        <v>175</v>
      </c>
      <c r="F15" s="114" t="s">
        <v>2497</v>
      </c>
    </row>
    <row r="16" spans="1:6" ht="18">
      <c r="A16" s="112" t="s">
        <v>184</v>
      </c>
      <c r="B16" s="112" t="s">
        <v>185</v>
      </c>
      <c r="C16" s="114" t="s">
        <v>186</v>
      </c>
      <c r="D16" s="114" t="s">
        <v>2498</v>
      </c>
      <c r="E16" s="114" t="s">
        <v>188</v>
      </c>
      <c r="F16" s="114" t="s">
        <v>2499</v>
      </c>
    </row>
    <row r="17" spans="1:6" ht="18">
      <c r="A17" s="112" t="s">
        <v>194</v>
      </c>
      <c r="B17" s="112" t="s">
        <v>195</v>
      </c>
      <c r="C17" s="114" t="s">
        <v>196</v>
      </c>
      <c r="D17" s="114" t="s">
        <v>2498</v>
      </c>
      <c r="E17" s="114" t="s">
        <v>197</v>
      </c>
      <c r="F17" s="114" t="s">
        <v>2500</v>
      </c>
    </row>
    <row r="18" spans="1:6" ht="18">
      <c r="A18" s="112" t="s">
        <v>203</v>
      </c>
      <c r="B18" s="112" t="s">
        <v>204</v>
      </c>
      <c r="C18" s="114" t="s">
        <v>205</v>
      </c>
      <c r="D18" s="114" t="s">
        <v>2498</v>
      </c>
      <c r="E18" s="114" t="s">
        <v>206</v>
      </c>
      <c r="F18" s="114" t="s">
        <v>203</v>
      </c>
    </row>
    <row r="19" spans="1:6" ht="18">
      <c r="A19" s="112" t="s">
        <v>216</v>
      </c>
      <c r="B19" s="112" t="s">
        <v>217</v>
      </c>
      <c r="C19" s="114" t="s">
        <v>218</v>
      </c>
      <c r="D19" s="114" t="s">
        <v>2501</v>
      </c>
      <c r="E19" s="114" t="s">
        <v>220</v>
      </c>
      <c r="F19" s="114" t="s">
        <v>216</v>
      </c>
    </row>
    <row r="20" spans="1:6" ht="18">
      <c r="A20" s="112" t="s">
        <v>227</v>
      </c>
      <c r="B20" s="112" t="s">
        <v>228</v>
      </c>
      <c r="C20" s="114" t="s">
        <v>229</v>
      </c>
      <c r="D20" s="114" t="s">
        <v>2502</v>
      </c>
      <c r="E20" s="114" t="s">
        <v>231</v>
      </c>
      <c r="F20" s="114" t="s">
        <v>2503</v>
      </c>
    </row>
    <row r="21" spans="1:6" ht="18">
      <c r="A21" s="112" t="s">
        <v>236</v>
      </c>
      <c r="B21" s="112" t="s">
        <v>237</v>
      </c>
      <c r="C21" s="114" t="s">
        <v>238</v>
      </c>
      <c r="D21" s="114" t="s">
        <v>2504</v>
      </c>
      <c r="E21" s="114" t="s">
        <v>240</v>
      </c>
      <c r="F21" s="114" t="s">
        <v>2505</v>
      </c>
    </row>
    <row r="22" spans="1:6">
      <c r="A22" s="112" t="s">
        <v>287</v>
      </c>
      <c r="B22" s="112" t="s">
        <v>288</v>
      </c>
      <c r="C22" s="115"/>
      <c r="D22" s="114" t="s">
        <v>2506</v>
      </c>
      <c r="E22" s="114" t="s">
        <v>290</v>
      </c>
      <c r="F22" s="114" t="s">
        <v>2507</v>
      </c>
    </row>
    <row r="23" spans="1:6">
      <c r="A23" s="112" t="s">
        <v>299</v>
      </c>
      <c r="B23" s="112" t="s">
        <v>300</v>
      </c>
      <c r="C23" s="115"/>
      <c r="D23" s="114" t="s">
        <v>2508</v>
      </c>
      <c r="E23" s="114" t="s">
        <v>302</v>
      </c>
      <c r="F23" s="114" t="s">
        <v>2509</v>
      </c>
    </row>
    <row r="24" spans="1:6" ht="18">
      <c r="A24" s="112" t="s">
        <v>308</v>
      </c>
      <c r="B24" s="112" t="s">
        <v>309</v>
      </c>
      <c r="C24" s="115"/>
      <c r="D24" s="114" t="s">
        <v>2510</v>
      </c>
      <c r="E24" s="114" t="s">
        <v>311</v>
      </c>
      <c r="F24" s="114" t="s">
        <v>308</v>
      </c>
    </row>
    <row r="25" spans="1:6">
      <c r="A25" s="112" t="s">
        <v>321</v>
      </c>
      <c r="B25" s="112" t="s">
        <v>322</v>
      </c>
      <c r="C25" s="115"/>
      <c r="D25" s="114" t="s">
        <v>2511</v>
      </c>
      <c r="E25" s="114" t="s">
        <v>324</v>
      </c>
      <c r="F25" s="114" t="s">
        <v>2512</v>
      </c>
    </row>
    <row r="26" spans="1:6">
      <c r="A26" s="112" t="s">
        <v>329</v>
      </c>
      <c r="B26" s="112" t="s">
        <v>330</v>
      </c>
      <c r="C26" s="115"/>
      <c r="D26" s="114" t="s">
        <v>2513</v>
      </c>
      <c r="E26" s="114" t="s">
        <v>332</v>
      </c>
      <c r="F26" s="114" t="s">
        <v>2514</v>
      </c>
    </row>
    <row r="27" spans="1:6">
      <c r="A27" s="112" t="s">
        <v>338</v>
      </c>
      <c r="B27" s="112" t="s">
        <v>339</v>
      </c>
      <c r="C27" s="114" t="s">
        <v>340</v>
      </c>
      <c r="D27" s="114" t="s">
        <v>2515</v>
      </c>
      <c r="E27" s="114" t="s">
        <v>2516</v>
      </c>
      <c r="F27" s="114" t="s">
        <v>2517</v>
      </c>
    </row>
    <row r="28" spans="1:6">
      <c r="A28" s="112" t="s">
        <v>352</v>
      </c>
      <c r="B28" s="112" t="s">
        <v>353</v>
      </c>
      <c r="C28" s="114" t="s">
        <v>354</v>
      </c>
      <c r="D28" s="114" t="s">
        <v>2515</v>
      </c>
      <c r="E28" s="114" t="s">
        <v>355</v>
      </c>
      <c r="F28" s="114" t="s">
        <v>2518</v>
      </c>
    </row>
    <row r="29" spans="1:6">
      <c r="A29" s="112" t="s">
        <v>363</v>
      </c>
      <c r="B29" s="112" t="s">
        <v>364</v>
      </c>
      <c r="C29" s="115"/>
      <c r="D29" s="114" t="s">
        <v>2519</v>
      </c>
      <c r="E29" s="114" t="s">
        <v>366</v>
      </c>
      <c r="F29" s="114" t="s">
        <v>2520</v>
      </c>
    </row>
    <row r="30" spans="1:6">
      <c r="A30" s="112" t="s">
        <v>371</v>
      </c>
      <c r="B30" s="112" t="s">
        <v>372</v>
      </c>
      <c r="C30" s="115"/>
      <c r="D30" s="114" t="s">
        <v>2521</v>
      </c>
      <c r="E30" s="114" t="s">
        <v>374</v>
      </c>
      <c r="F30" s="114" t="s">
        <v>2522</v>
      </c>
    </row>
    <row r="31" spans="1:6">
      <c r="A31" s="112" t="s">
        <v>380</v>
      </c>
      <c r="B31" s="112" t="s">
        <v>381</v>
      </c>
      <c r="C31" s="115"/>
      <c r="D31" s="114" t="s">
        <v>2523</v>
      </c>
      <c r="E31" s="114" t="s">
        <v>383</v>
      </c>
      <c r="F31" s="114" t="s">
        <v>2524</v>
      </c>
    </row>
    <row r="32" spans="1:6">
      <c r="A32" s="112" t="s">
        <v>389</v>
      </c>
      <c r="B32" s="112" t="s">
        <v>390</v>
      </c>
      <c r="C32" s="115"/>
      <c r="D32" s="114" t="s">
        <v>2525</v>
      </c>
      <c r="E32" s="114" t="s">
        <v>392</v>
      </c>
      <c r="F32" s="114" t="s">
        <v>2526</v>
      </c>
    </row>
    <row r="33" spans="1:6">
      <c r="A33" s="112" t="s">
        <v>401</v>
      </c>
      <c r="B33" s="112" t="s">
        <v>402</v>
      </c>
      <c r="C33" s="115"/>
      <c r="D33" s="114" t="s">
        <v>2527</v>
      </c>
      <c r="E33" s="114" t="s">
        <v>404</v>
      </c>
      <c r="F33" s="114" t="s">
        <v>2528</v>
      </c>
    </row>
    <row r="34" spans="1:6" ht="18">
      <c r="A34" s="112" t="s">
        <v>411</v>
      </c>
      <c r="B34" s="112" t="s">
        <v>412</v>
      </c>
      <c r="C34" s="115"/>
      <c r="D34" s="114" t="s">
        <v>2529</v>
      </c>
      <c r="E34" s="114" t="s">
        <v>414</v>
      </c>
      <c r="F34" s="114" t="s">
        <v>2530</v>
      </c>
    </row>
    <row r="35" spans="1:6" ht="33">
      <c r="A35" s="114" t="s">
        <v>2531</v>
      </c>
      <c r="B35" s="112" t="s">
        <v>421</v>
      </c>
      <c r="C35" s="115"/>
      <c r="D35" s="114" t="s">
        <v>2532</v>
      </c>
      <c r="E35" s="114" t="s">
        <v>2533</v>
      </c>
      <c r="F35" s="114" t="s">
        <v>2534</v>
      </c>
    </row>
    <row r="36" spans="1:6" ht="30">
      <c r="A36" s="112" t="s">
        <v>2535</v>
      </c>
      <c r="B36" s="112" t="s">
        <v>431</v>
      </c>
      <c r="C36" s="114" t="s">
        <v>432</v>
      </c>
      <c r="D36" s="112" t="s">
        <v>2536</v>
      </c>
      <c r="E36" s="114" t="s">
        <v>2537</v>
      </c>
      <c r="F36" s="114" t="s">
        <v>2538</v>
      </c>
    </row>
    <row r="37" spans="1:6" ht="15.75">
      <c r="A37" s="112" t="s">
        <v>442</v>
      </c>
      <c r="B37" s="112" t="s">
        <v>443</v>
      </c>
      <c r="C37" s="115"/>
      <c r="D37" s="116" t="s">
        <v>2539</v>
      </c>
      <c r="E37" s="114" t="s">
        <v>445</v>
      </c>
      <c r="F37" s="114" t="s">
        <v>2540</v>
      </c>
    </row>
    <row r="38" spans="1:6">
      <c r="A38" s="112" t="s">
        <v>454</v>
      </c>
      <c r="B38" s="112" t="s">
        <v>455</v>
      </c>
      <c r="C38" s="115"/>
      <c r="D38" s="114" t="s">
        <v>2541</v>
      </c>
      <c r="E38" s="114" t="s">
        <v>457</v>
      </c>
      <c r="F38" s="114" t="s">
        <v>2542</v>
      </c>
    </row>
    <row r="39" spans="1:6" ht="30">
      <c r="A39" s="114" t="s">
        <v>2543</v>
      </c>
      <c r="B39" s="112" t="s">
        <v>464</v>
      </c>
      <c r="C39" s="115"/>
      <c r="D39" s="112" t="s">
        <v>2544</v>
      </c>
      <c r="E39" s="114" t="s">
        <v>2545</v>
      </c>
      <c r="F39" s="114" t="s">
        <v>2546</v>
      </c>
    </row>
    <row r="40" spans="1:6">
      <c r="A40" s="112" t="s">
        <v>475</v>
      </c>
      <c r="B40" s="112" t="s">
        <v>476</v>
      </c>
      <c r="C40" s="115"/>
      <c r="D40" s="114" t="s">
        <v>2547</v>
      </c>
      <c r="E40" s="114" t="s">
        <v>478</v>
      </c>
      <c r="F40" s="114" t="s">
        <v>2548</v>
      </c>
    </row>
    <row r="41" spans="1:6">
      <c r="A41" s="112" t="s">
        <v>484</v>
      </c>
      <c r="B41" s="112" t="s">
        <v>485</v>
      </c>
      <c r="C41" s="114" t="s">
        <v>486</v>
      </c>
      <c r="D41" s="114" t="s">
        <v>2549</v>
      </c>
      <c r="E41" s="114" t="s">
        <v>488</v>
      </c>
      <c r="F41" s="114" t="s">
        <v>2550</v>
      </c>
    </row>
    <row r="42" spans="1:6">
      <c r="A42" s="112" t="s">
        <v>496</v>
      </c>
      <c r="B42" s="112" t="s">
        <v>497</v>
      </c>
      <c r="C42" s="115"/>
      <c r="D42" s="114" t="s">
        <v>2551</v>
      </c>
      <c r="E42" s="114" t="s">
        <v>499</v>
      </c>
      <c r="F42" s="114" t="s">
        <v>2552</v>
      </c>
    </row>
    <row r="43" spans="1:6">
      <c r="A43" s="112" t="s">
        <v>505</v>
      </c>
      <c r="B43" s="112" t="s">
        <v>506</v>
      </c>
      <c r="C43" s="115"/>
      <c r="D43" s="114" t="s">
        <v>2553</v>
      </c>
      <c r="E43" s="114" t="s">
        <v>508</v>
      </c>
      <c r="F43" s="114" t="s">
        <v>2554</v>
      </c>
    </row>
    <row r="44" spans="1:6">
      <c r="A44" s="112" t="s">
        <v>516</v>
      </c>
      <c r="B44" s="112" t="s">
        <v>517</v>
      </c>
      <c r="C44" s="114" t="s">
        <v>518</v>
      </c>
      <c r="D44" s="114" t="s">
        <v>2555</v>
      </c>
      <c r="E44" s="114" t="s">
        <v>520</v>
      </c>
      <c r="F44" s="114" t="s">
        <v>2556</v>
      </c>
    </row>
    <row r="45" spans="1:6">
      <c r="A45" s="112" t="s">
        <v>529</v>
      </c>
      <c r="B45" s="112" t="s">
        <v>530</v>
      </c>
      <c r="C45" s="115"/>
      <c r="D45" s="114" t="s">
        <v>2557</v>
      </c>
      <c r="E45" s="114" t="s">
        <v>532</v>
      </c>
      <c r="F45" s="114" t="s">
        <v>2558</v>
      </c>
    </row>
    <row r="46" spans="1:6" ht="18">
      <c r="A46" s="112" t="s">
        <v>539</v>
      </c>
      <c r="B46" s="112" t="s">
        <v>540</v>
      </c>
      <c r="C46" s="115"/>
      <c r="D46" s="114" t="s">
        <v>2559</v>
      </c>
      <c r="E46" s="114" t="s">
        <v>542</v>
      </c>
      <c r="F46" s="114" t="s">
        <v>2560</v>
      </c>
    </row>
    <row r="47" spans="1:6">
      <c r="A47" s="128" t="s">
        <v>551</v>
      </c>
      <c r="B47" s="128" t="s">
        <v>552</v>
      </c>
      <c r="C47" s="129" t="s">
        <v>553</v>
      </c>
      <c r="D47" s="129" t="s">
        <v>2561</v>
      </c>
      <c r="E47" s="129" t="s">
        <v>555</v>
      </c>
      <c r="F47" s="129" t="s">
        <v>551</v>
      </c>
    </row>
    <row r="48" spans="1:6">
      <c r="A48" s="128" t="s">
        <v>567</v>
      </c>
      <c r="B48" s="128" t="s">
        <v>568</v>
      </c>
      <c r="C48" s="130"/>
      <c r="D48" s="129" t="s">
        <v>2562</v>
      </c>
      <c r="E48" s="129" t="s">
        <v>570</v>
      </c>
      <c r="F48" s="129" t="s">
        <v>2563</v>
      </c>
    </row>
    <row r="49" spans="1:6">
      <c r="A49" s="128" t="s">
        <v>577</v>
      </c>
      <c r="B49" s="128" t="s">
        <v>578</v>
      </c>
      <c r="C49" s="130"/>
      <c r="D49" s="129" t="s">
        <v>2564</v>
      </c>
      <c r="E49" s="129" t="s">
        <v>580</v>
      </c>
      <c r="F49" s="129" t="s">
        <v>2565</v>
      </c>
    </row>
    <row r="50" spans="1:6">
      <c r="A50" s="128" t="s">
        <v>586</v>
      </c>
      <c r="B50" s="128" t="s">
        <v>587</v>
      </c>
      <c r="C50" s="129" t="s">
        <v>588</v>
      </c>
      <c r="D50" s="129" t="s">
        <v>2566</v>
      </c>
      <c r="E50" s="129" t="s">
        <v>590</v>
      </c>
      <c r="F50" s="129" t="s">
        <v>2567</v>
      </c>
    </row>
    <row r="51" spans="1:6">
      <c r="A51" s="128" t="s">
        <v>595</v>
      </c>
      <c r="B51" s="128" t="s">
        <v>596</v>
      </c>
      <c r="C51" s="130"/>
      <c r="D51" s="129" t="s">
        <v>597</v>
      </c>
      <c r="E51" s="129" t="s">
        <v>598</v>
      </c>
      <c r="F51" s="129" t="s">
        <v>2568</v>
      </c>
    </row>
    <row r="52" spans="1:6" ht="45">
      <c r="A52" s="128" t="s">
        <v>602</v>
      </c>
      <c r="B52" s="128" t="s">
        <v>603</v>
      </c>
      <c r="C52" s="131"/>
      <c r="D52" s="132" t="s">
        <v>2569</v>
      </c>
      <c r="E52" s="129" t="s">
        <v>2570</v>
      </c>
      <c r="F52" s="129" t="s">
        <v>2571</v>
      </c>
    </row>
    <row r="53" spans="1:6">
      <c r="A53" s="128" t="s">
        <v>611</v>
      </c>
      <c r="B53" s="128" t="s">
        <v>612</v>
      </c>
      <c r="C53" s="130"/>
      <c r="D53" s="129" t="s">
        <v>2572</v>
      </c>
      <c r="E53" s="129" t="s">
        <v>614</v>
      </c>
      <c r="F53" s="129" t="s">
        <v>2573</v>
      </c>
    </row>
    <row r="54" spans="1:6" ht="30">
      <c r="A54" s="128" t="s">
        <v>621</v>
      </c>
      <c r="B54" s="128" t="s">
        <v>622</v>
      </c>
      <c r="C54" s="130"/>
      <c r="D54" s="129" t="s">
        <v>2574</v>
      </c>
      <c r="E54" s="129" t="s">
        <v>624</v>
      </c>
      <c r="F54" s="129" t="s">
        <v>2575</v>
      </c>
    </row>
    <row r="55" spans="1:6" ht="30">
      <c r="A55" s="128" t="s">
        <v>632</v>
      </c>
      <c r="B55" s="128" t="s">
        <v>633</v>
      </c>
      <c r="C55" s="130"/>
      <c r="D55" s="129" t="s">
        <v>2576</v>
      </c>
      <c r="E55" s="129" t="s">
        <v>2577</v>
      </c>
      <c r="F55" s="129" t="s">
        <v>2578</v>
      </c>
    </row>
    <row r="56" spans="1:6">
      <c r="A56" s="128" t="s">
        <v>638</v>
      </c>
      <c r="B56" s="128" t="s">
        <v>639</v>
      </c>
      <c r="C56" s="130"/>
      <c r="D56" s="129" t="s">
        <v>2579</v>
      </c>
      <c r="E56" s="129" t="s">
        <v>641</v>
      </c>
      <c r="F56" s="129" t="s">
        <v>2580</v>
      </c>
    </row>
    <row r="57" spans="1:6">
      <c r="A57" s="128" t="s">
        <v>646</v>
      </c>
      <c r="B57" s="128" t="s">
        <v>647</v>
      </c>
      <c r="C57" s="130"/>
      <c r="D57" s="129" t="s">
        <v>2581</v>
      </c>
      <c r="E57" s="129" t="s">
        <v>649</v>
      </c>
      <c r="F57" s="129" t="s">
        <v>2582</v>
      </c>
    </row>
    <row r="58" spans="1:6">
      <c r="A58" s="112" t="s">
        <v>1264</v>
      </c>
      <c r="B58" s="112" t="s">
        <v>1265</v>
      </c>
      <c r="C58" s="115"/>
      <c r="D58" s="114" t="s">
        <v>1266</v>
      </c>
      <c r="E58" s="114" t="s">
        <v>1267</v>
      </c>
      <c r="F58" s="114" t="s">
        <v>2583</v>
      </c>
    </row>
    <row r="59" spans="1:6">
      <c r="A59" s="112" t="s">
        <v>1272</v>
      </c>
      <c r="B59" s="112" t="s">
        <v>1273</v>
      </c>
      <c r="C59" s="115"/>
      <c r="D59" s="114" t="s">
        <v>1274</v>
      </c>
      <c r="E59" s="114" t="s">
        <v>1275</v>
      </c>
      <c r="F59" s="114" t="s">
        <v>2584</v>
      </c>
    </row>
    <row r="60" spans="1:6">
      <c r="A60" s="112" t="s">
        <v>1281</v>
      </c>
      <c r="B60" s="112" t="s">
        <v>1282</v>
      </c>
      <c r="C60" s="114" t="s">
        <v>1283</v>
      </c>
      <c r="D60" s="114" t="s">
        <v>1284</v>
      </c>
      <c r="E60" s="114" t="s">
        <v>1285</v>
      </c>
      <c r="F60" s="114" t="s">
        <v>2585</v>
      </c>
    </row>
    <row r="61" spans="1:6">
      <c r="A61" s="112" t="s">
        <v>1292</v>
      </c>
      <c r="B61" s="112" t="s">
        <v>1293</v>
      </c>
      <c r="C61" s="114" t="s">
        <v>1294</v>
      </c>
      <c r="D61" s="114" t="s">
        <v>1295</v>
      </c>
      <c r="E61" s="114" t="s">
        <v>1296</v>
      </c>
      <c r="F61" s="114" t="s">
        <v>2586</v>
      </c>
    </row>
    <row r="62" spans="1:6">
      <c r="A62" s="112" t="s">
        <v>1305</v>
      </c>
      <c r="B62" s="112" t="s">
        <v>1306</v>
      </c>
      <c r="C62" s="115"/>
      <c r="D62" s="114" t="s">
        <v>1307</v>
      </c>
      <c r="E62" s="114" t="s">
        <v>1308</v>
      </c>
      <c r="F62" s="114" t="s">
        <v>2587</v>
      </c>
    </row>
    <row r="63" spans="1:6" ht="30">
      <c r="A63" s="112" t="s">
        <v>1317</v>
      </c>
      <c r="B63" s="112" t="s">
        <v>1318</v>
      </c>
      <c r="C63" s="115"/>
      <c r="D63" s="114" t="s">
        <v>1319</v>
      </c>
      <c r="E63" s="114" t="s">
        <v>1320</v>
      </c>
      <c r="F63" s="114" t="s">
        <v>2588</v>
      </c>
    </row>
    <row r="64" spans="1:6" ht="30">
      <c r="A64" s="112" t="s">
        <v>1326</v>
      </c>
      <c r="B64" s="112" t="s">
        <v>1327</v>
      </c>
      <c r="C64" s="115"/>
      <c r="D64" s="114" t="s">
        <v>1328</v>
      </c>
      <c r="E64" s="114" t="s">
        <v>1329</v>
      </c>
      <c r="F64" s="114" t="s">
        <v>2589</v>
      </c>
    </row>
    <row r="65" spans="1:6">
      <c r="A65" s="112" t="s">
        <v>1336</v>
      </c>
      <c r="B65" s="112" t="s">
        <v>1337</v>
      </c>
      <c r="C65" s="115"/>
      <c r="D65" s="114" t="s">
        <v>1338</v>
      </c>
      <c r="E65" s="114" t="s">
        <v>1339</v>
      </c>
      <c r="F65" s="114" t="s">
        <v>2590</v>
      </c>
    </row>
    <row r="66" spans="1:6">
      <c r="A66" s="112" t="s">
        <v>1348</v>
      </c>
      <c r="B66" s="112" t="s">
        <v>1349</v>
      </c>
      <c r="C66" s="114" t="s">
        <v>1350</v>
      </c>
      <c r="D66" s="114" t="s">
        <v>1351</v>
      </c>
      <c r="E66" s="114" t="s">
        <v>1352</v>
      </c>
      <c r="F66" s="114" t="s">
        <v>2591</v>
      </c>
    </row>
    <row r="67" spans="1:6">
      <c r="A67" s="112" t="s">
        <v>1358</v>
      </c>
      <c r="B67" s="112" t="s">
        <v>1359</v>
      </c>
      <c r="C67" s="115"/>
      <c r="D67" s="114" t="s">
        <v>1360</v>
      </c>
      <c r="E67" s="114" t="s">
        <v>1361</v>
      </c>
      <c r="F67" s="114" t="s">
        <v>2592</v>
      </c>
    </row>
    <row r="68" spans="1:6">
      <c r="A68" s="112" t="s">
        <v>1367</v>
      </c>
      <c r="B68" s="112" t="s">
        <v>1368</v>
      </c>
      <c r="C68" s="115"/>
      <c r="D68" s="114" t="s">
        <v>1369</v>
      </c>
      <c r="E68" s="114" t="s">
        <v>1370</v>
      </c>
      <c r="F68" s="114" t="s">
        <v>2593</v>
      </c>
    </row>
    <row r="69" spans="1:6">
      <c r="A69" s="112" t="s">
        <v>1376</v>
      </c>
      <c r="B69" s="112" t="s">
        <v>1377</v>
      </c>
      <c r="C69" s="115"/>
      <c r="D69" s="114" t="s">
        <v>1378</v>
      </c>
      <c r="E69" s="114" t="s">
        <v>1379</v>
      </c>
      <c r="F69" s="114" t="s">
        <v>2594</v>
      </c>
    </row>
    <row r="70" spans="1:6">
      <c r="A70" s="112" t="s">
        <v>1385</v>
      </c>
      <c r="B70" s="112" t="s">
        <v>1386</v>
      </c>
      <c r="C70" s="115"/>
      <c r="D70" s="114" t="s">
        <v>1387</v>
      </c>
      <c r="E70" s="114" t="s">
        <v>1388</v>
      </c>
      <c r="F70" s="114" t="s">
        <v>2595</v>
      </c>
    </row>
    <row r="71" spans="1:6">
      <c r="A71" s="112" t="s">
        <v>1396</v>
      </c>
      <c r="B71" s="112" t="s">
        <v>1397</v>
      </c>
      <c r="C71" s="115"/>
      <c r="D71" s="114" t="s">
        <v>1398</v>
      </c>
      <c r="E71" s="114" t="s">
        <v>1223</v>
      </c>
      <c r="F71" s="114" t="s">
        <v>2596</v>
      </c>
    </row>
    <row r="72" spans="1:6">
      <c r="A72" s="128" t="s">
        <v>1406</v>
      </c>
      <c r="B72" s="128" t="s">
        <v>1407</v>
      </c>
      <c r="C72" s="130"/>
      <c r="D72" s="129" t="s">
        <v>1408</v>
      </c>
      <c r="E72" s="129" t="s">
        <v>1409</v>
      </c>
      <c r="F72" s="129" t="s">
        <v>2597</v>
      </c>
    </row>
    <row r="73" spans="1:6">
      <c r="A73" s="112" t="s">
        <v>1572</v>
      </c>
      <c r="B73" s="112" t="s">
        <v>1573</v>
      </c>
      <c r="C73" s="115"/>
      <c r="D73" s="114" t="s">
        <v>1574</v>
      </c>
      <c r="E73" s="114" t="s">
        <v>1575</v>
      </c>
      <c r="F73" s="114" t="s">
        <v>2598</v>
      </c>
    </row>
    <row r="74" spans="1:6" ht="18">
      <c r="A74" s="112" t="s">
        <v>1418</v>
      </c>
      <c r="B74" s="112" t="s">
        <v>1419</v>
      </c>
      <c r="C74" s="115"/>
      <c r="D74" s="114" t="s">
        <v>2599</v>
      </c>
      <c r="E74" s="114" t="s">
        <v>1421</v>
      </c>
      <c r="F74" s="114" t="s">
        <v>2600</v>
      </c>
    </row>
    <row r="75" spans="1:6" ht="18">
      <c r="A75" s="112" t="s">
        <v>247</v>
      </c>
      <c r="B75" s="112" t="s">
        <v>248</v>
      </c>
      <c r="C75" s="114" t="s">
        <v>249</v>
      </c>
      <c r="D75" s="114" t="s">
        <v>2501</v>
      </c>
      <c r="E75" s="114" t="s">
        <v>250</v>
      </c>
      <c r="F75" s="114" t="s">
        <v>247</v>
      </c>
    </row>
    <row r="76" spans="1:6" ht="16.5">
      <c r="A76" s="112" t="s">
        <v>257</v>
      </c>
      <c r="B76" s="112" t="s">
        <v>258</v>
      </c>
      <c r="C76" s="114" t="s">
        <v>259</v>
      </c>
      <c r="D76" s="114" t="s">
        <v>2601</v>
      </c>
      <c r="E76" s="97" t="s">
        <v>261</v>
      </c>
      <c r="F76" s="114" t="s">
        <v>257</v>
      </c>
    </row>
    <row r="77" spans="1:6" ht="16.5">
      <c r="A77" s="56" t="s">
        <v>274</v>
      </c>
      <c r="B77" s="56" t="s">
        <v>275</v>
      </c>
      <c r="C77" s="14" t="s">
        <v>276</v>
      </c>
      <c r="D77" s="14" t="s">
        <v>2602</v>
      </c>
      <c r="E77" s="14" t="s">
        <v>278</v>
      </c>
      <c r="F77" s="4" t="s">
        <v>2603</v>
      </c>
    </row>
    <row r="78" spans="1:6" s="147" customFormat="1">
      <c r="A78" s="148" t="str">
        <f>'250 comps. shipping INFO'!A225</f>
        <v>Trichlorfon</v>
      </c>
      <c r="B78" s="148" t="str">
        <f>'250 comps. shipping INFO'!B225</f>
        <v>PTX077</v>
      </c>
      <c r="C78" s="147">
        <f>'250 comps. shipping INFO'!C225</f>
        <v>0</v>
      </c>
      <c r="D78" s="147" t="str">
        <f>'250 comps. shipping INFO'!D225</f>
        <v>C4H8Cl3O4P</v>
      </c>
      <c r="E78" s="147" t="str">
        <f>'250 comps. shipping INFO'!E225</f>
        <v>52-68-6</v>
      </c>
      <c r="F78" s="147">
        <f>'250 comps. shipping INFO'!F225</f>
        <v>0</v>
      </c>
    </row>
    <row r="79" spans="1:6">
      <c r="A79" s="148" t="str">
        <f>'250 comps. shipping INFO'!A226</f>
        <v>5,5-Diphenylhydantoin</v>
      </c>
      <c r="B79" s="148" t="str">
        <f>'250 comps. shipping INFO'!B226</f>
        <v>PTX078</v>
      </c>
      <c r="C79" s="147">
        <f>'250 comps. shipping INFO'!C226</f>
        <v>0</v>
      </c>
      <c r="D79" s="147" t="str">
        <f>'250 comps. shipping INFO'!D226</f>
        <v>C15H12N2O2</v>
      </c>
      <c r="E79" s="147" t="str">
        <f>'250 comps. shipping INFO'!E226</f>
        <v>57-41-0</v>
      </c>
      <c r="F79" s="147">
        <f>'250 comps. shipping INFO'!F226</f>
        <v>0</v>
      </c>
    </row>
    <row r="80" spans="1:6">
      <c r="A80" s="148" t="str">
        <f>'250 comps. shipping INFO'!A227</f>
        <v>Tebuconazole</v>
      </c>
      <c r="B80" s="148" t="str">
        <f>'250 comps. shipping INFO'!B227</f>
        <v>PTX079</v>
      </c>
      <c r="C80" s="147">
        <f>'250 comps. shipping INFO'!C227</f>
        <v>0</v>
      </c>
      <c r="D80" s="147" t="str">
        <f>'250 comps. shipping INFO'!D227</f>
        <v>C16H22ClN3O</v>
      </c>
      <c r="E80" s="147" t="str">
        <f>'250 comps. shipping INFO'!E227</f>
        <v>107534-96-3</v>
      </c>
      <c r="F80" s="147">
        <f>'250 comps. shipping INFO'!F227</f>
        <v>0</v>
      </c>
    </row>
    <row r="81" spans="1:6">
      <c r="A81" s="148" t="str">
        <f>'250 comps. shipping INFO'!A228</f>
        <v>Hexachlorophene</v>
      </c>
      <c r="B81" s="148" t="str">
        <f>'250 comps. shipping INFO'!B228</f>
        <v>PTX080</v>
      </c>
      <c r="C81" s="147">
        <f>'250 comps. shipping INFO'!C228</f>
        <v>0</v>
      </c>
      <c r="D81" s="147" t="str">
        <f>'250 comps. shipping INFO'!D228</f>
        <v>C13H6Cl6O2</v>
      </c>
      <c r="E81" s="147" t="str">
        <f>'250 comps. shipping INFO'!E228</f>
        <v>70-30-4</v>
      </c>
      <c r="F81" s="147" t="str">
        <f>'250 comps. shipping INFO'!F228</f>
        <v xml:space="preserve"> ≥ 40.7 g/L</v>
      </c>
    </row>
    <row r="82" spans="1:6">
      <c r="A82" s="148" t="str">
        <f>'250 comps. shipping INFO'!A229</f>
        <v>Triethyl-tin bromide</v>
      </c>
      <c r="B82" s="148" t="str">
        <f>'250 comps. shipping INFO'!B229</f>
        <v>PTX081</v>
      </c>
      <c r="C82" s="147" t="str">
        <f>'250 comps. shipping INFO'!C229</f>
        <v>TET</v>
      </c>
      <c r="D82" s="147" t="str">
        <f>'250 comps. shipping INFO'!D229</f>
        <v>C6H15BrSn</v>
      </c>
      <c r="E82" s="147" t="str">
        <f>'250 comps. shipping INFO'!E229</f>
        <v xml:space="preserve">2767-54-6 </v>
      </c>
      <c r="F82" s="147">
        <f>'250 comps. shipping INFO'!F229</f>
        <v>0</v>
      </c>
    </row>
    <row r="83" spans="1:6">
      <c r="A83" s="148" t="str">
        <f>'250 comps. shipping INFO'!A230</f>
        <v>Perfluorooctanoic acid</v>
      </c>
      <c r="B83" s="148" t="str">
        <f>'250 comps. shipping INFO'!B230</f>
        <v>PTX082</v>
      </c>
      <c r="C83" s="147" t="str">
        <f>'250 comps. shipping INFO'!C230</f>
        <v>PFOA</v>
      </c>
      <c r="D83" s="147" t="str">
        <f>'250 comps. shipping INFO'!D230</f>
        <v>C8HF15O2</v>
      </c>
      <c r="E83" s="147" t="str">
        <f>'250 comps. shipping INFO'!E230</f>
        <v>335-67-1</v>
      </c>
      <c r="F83" s="147">
        <f>'250 comps. shipping INFO'!F230</f>
        <v>0</v>
      </c>
    </row>
    <row r="84" spans="1:6">
      <c r="A84" s="148" t="str">
        <f>'250 comps. shipping INFO'!A231</f>
        <v>Trans retinoic acid</v>
      </c>
      <c r="B84" s="148" t="str">
        <f>'250 comps. shipping INFO'!B231</f>
        <v>PTX083</v>
      </c>
      <c r="C84" s="147" t="str">
        <f>'250 comps. shipping INFO'!C231</f>
        <v>ATRA</v>
      </c>
      <c r="D84" s="147" t="str">
        <f>'250 comps. shipping INFO'!D231</f>
        <v>C20H28O2</v>
      </c>
      <c r="E84" s="147" t="str">
        <f>'250 comps. shipping INFO'!E231</f>
        <v>302-79-4</v>
      </c>
      <c r="F84" s="147">
        <f>'250 comps. shipping INFO'!F231</f>
        <v>0</v>
      </c>
    </row>
    <row r="85" spans="1:6">
      <c r="A85" s="148" t="str">
        <f>'250 comps. shipping INFO'!A232</f>
        <v>Haloperiodol</v>
      </c>
      <c r="B85" s="148" t="str">
        <f>'250 comps. shipping INFO'!B232</f>
        <v>PTX084</v>
      </c>
      <c r="C85" s="147">
        <f>'250 comps. shipping INFO'!C232</f>
        <v>0</v>
      </c>
      <c r="D85" s="147" t="str">
        <f>'250 comps. shipping INFO'!D232</f>
        <v>C21H23ClFNO2</v>
      </c>
      <c r="E85" s="147" t="str">
        <f>'250 comps. shipping INFO'!E232</f>
        <v>52-86-8</v>
      </c>
      <c r="F85" s="147">
        <f>'250 comps. shipping INFO'!F232</f>
        <v>0</v>
      </c>
    </row>
    <row r="86" spans="1:6">
      <c r="A86" s="148" t="str">
        <f>'250 comps. shipping INFO'!A233</f>
        <v>Chlorpromazine (hydrochloride)</v>
      </c>
      <c r="B86" s="148" t="str">
        <f>'250 comps. shipping INFO'!B233</f>
        <v>PTX085</v>
      </c>
      <c r="C86" s="147">
        <f>'250 comps. shipping INFO'!C233</f>
        <v>0</v>
      </c>
      <c r="D86" s="147" t="str">
        <f>'250 comps. shipping INFO'!D233</f>
        <v>C17H19ClN2S</v>
      </c>
      <c r="E86" s="147" t="str">
        <f>'250 comps. shipping INFO'!E233</f>
        <v>50-53-3
(69-09-0)</v>
      </c>
      <c r="F86" s="147">
        <f>'250 comps. shipping INFO'!F233</f>
        <v>0</v>
      </c>
    </row>
    <row r="87" spans="1:6">
      <c r="A87" s="148" t="str">
        <f>'250 comps. shipping INFO'!A234</f>
        <v>Carbamazepine</v>
      </c>
      <c r="B87" s="148" t="str">
        <f>'250 comps. shipping INFO'!B234</f>
        <v>PTX086</v>
      </c>
      <c r="C87" s="147">
        <f>'250 comps. shipping INFO'!C234</f>
        <v>0</v>
      </c>
      <c r="D87" s="147" t="str">
        <f>'250 comps. shipping INFO'!D234</f>
        <v>C15H12N2O</v>
      </c>
      <c r="E87" s="147" t="str">
        <f>'250 comps. shipping INFO'!E234</f>
        <v>298-46-4</v>
      </c>
      <c r="F87" s="147">
        <f>'250 comps. shipping INFO'!F234</f>
        <v>0</v>
      </c>
    </row>
    <row r="88" spans="1:6">
      <c r="A88" s="148" t="str">
        <f>'250 comps. shipping INFO'!A235</f>
        <v>Imidacloprid</v>
      </c>
      <c r="B88" s="148" t="str">
        <f>'250 comps. shipping INFO'!B235</f>
        <v>PTX087</v>
      </c>
      <c r="C88" s="147">
        <f>'250 comps. shipping INFO'!C235</f>
        <v>0</v>
      </c>
      <c r="D88" s="147" t="str">
        <f>'250 comps. shipping INFO'!D235</f>
        <v>C9H10ClN5O2</v>
      </c>
      <c r="E88" s="147" t="str">
        <f>'250 comps. shipping INFO'!E235</f>
        <v>138261-41-3</v>
      </c>
      <c r="F88" s="147">
        <f>'250 comps. shipping INFO'!F235</f>
        <v>0</v>
      </c>
    </row>
    <row r="89" spans="1:6">
      <c r="A89" s="148" t="str">
        <f>'250 comps. shipping INFO'!A236</f>
        <v>Fipronil</v>
      </c>
      <c r="B89" s="148" t="str">
        <f>'250 comps. shipping INFO'!B236</f>
        <v>PTX088</v>
      </c>
      <c r="C89" s="147">
        <f>'250 comps. shipping INFO'!C236</f>
        <v>0</v>
      </c>
      <c r="D89" s="147" t="str">
        <f>'250 comps. shipping INFO'!D236</f>
        <v>C12H4Cl2F6N4OS</v>
      </c>
      <c r="E89" s="147" t="str">
        <f>'250 comps. shipping INFO'!E236</f>
        <v>120068-37-3</v>
      </c>
      <c r="F89" s="147">
        <f>'250 comps. shipping INFO'!F236</f>
        <v>0</v>
      </c>
    </row>
    <row r="90" spans="1:6">
      <c r="A90" s="148" t="str">
        <f>'250 comps. shipping INFO'!A237</f>
        <v>Thiamethoxam</v>
      </c>
      <c r="B90" s="148" t="str">
        <f>'250 comps. shipping INFO'!B237</f>
        <v>PTX089</v>
      </c>
      <c r="C90" s="147">
        <f>'250 comps. shipping INFO'!C237</f>
        <v>0</v>
      </c>
      <c r="D90" s="147" t="str">
        <f>'250 comps. shipping INFO'!D237</f>
        <v>C8H10ClN5O3S</v>
      </c>
      <c r="E90" s="147" t="str">
        <f>'250 comps. shipping INFO'!E237</f>
        <v>153719-23-4</v>
      </c>
      <c r="F90" s="147">
        <f>'250 comps. shipping INFO'!F237</f>
        <v>0</v>
      </c>
    </row>
    <row r="91" spans="1:6">
      <c r="A91" s="148" t="str">
        <f>'250 comps. shipping INFO'!A238</f>
        <v>Azoxystrobin</v>
      </c>
      <c r="B91" s="148" t="str">
        <f>'250 comps. shipping INFO'!B238</f>
        <v>PTX090</v>
      </c>
      <c r="C91" s="147">
        <f>'250 comps. shipping INFO'!C238</f>
        <v>0</v>
      </c>
      <c r="D91" s="147" t="str">
        <f>'250 comps. shipping INFO'!D238</f>
        <v>C22H17N3O5</v>
      </c>
      <c r="E91" s="147" t="str">
        <f>'250 comps. shipping INFO'!E238</f>
        <v>131860-33-8</v>
      </c>
      <c r="F91" s="147">
        <f>'250 comps. shipping INFO'!F238</f>
        <v>0</v>
      </c>
    </row>
    <row r="92" spans="1:6">
      <c r="A92" s="148" t="str">
        <f>'250 comps. shipping INFO'!A239</f>
        <v>Camptothecin</v>
      </c>
      <c r="B92" s="148" t="str">
        <f>'250 comps. shipping INFO'!B239</f>
        <v>PTX091</v>
      </c>
      <c r="C92" s="147">
        <f>'250 comps. shipping INFO'!C239</f>
        <v>0</v>
      </c>
      <c r="D92" s="147" t="str">
        <f>'250 comps. shipping INFO'!D239</f>
        <v>C20H16N2O4</v>
      </c>
      <c r="E92" s="147" t="str">
        <f>'250 comps. shipping INFO'!E239</f>
        <v>7689-03-4</v>
      </c>
      <c r="F92" s="147">
        <f>'250 comps. shipping INFO'!F239</f>
        <v>0</v>
      </c>
    </row>
    <row r="93" spans="1:6">
      <c r="A93" s="148" t="str">
        <f>'250 comps. shipping INFO'!A240</f>
        <v>Tetraethylthiuram disulfide</v>
      </c>
      <c r="B93" s="148" t="str">
        <f>'250 comps. shipping INFO'!B240</f>
        <v>PTX092</v>
      </c>
      <c r="C93" s="147">
        <f>'250 comps. shipping INFO'!C240</f>
        <v>0</v>
      </c>
      <c r="D93" s="147" t="str">
        <f>'250 comps. shipping INFO'!D240</f>
        <v>C10H20N2S4</v>
      </c>
      <c r="E93" s="147" t="str">
        <f>'250 comps. shipping INFO'!E240</f>
        <v>97-77-8</v>
      </c>
      <c r="F93" s="147">
        <f>'250 comps. shipping INFO'!F240</f>
        <v>0</v>
      </c>
    </row>
    <row r="94" spans="1:6">
      <c r="A94" s="148" t="str">
        <f>'250 comps. shipping INFO'!A241</f>
        <v>Mebendazole</v>
      </c>
      <c r="B94" s="148" t="str">
        <f>'250 comps. shipping INFO'!B241</f>
        <v>PTX093</v>
      </c>
      <c r="C94" s="147">
        <f>'250 comps. shipping INFO'!C241</f>
        <v>0</v>
      </c>
      <c r="D94" s="147" t="str">
        <f>'250 comps. shipping INFO'!D241</f>
        <v>C16H13N3O3</v>
      </c>
      <c r="E94" s="147" t="str">
        <f>'250 comps. shipping INFO'!E241</f>
        <v>31431-39-7</v>
      </c>
      <c r="F94" s="147">
        <f>'250 comps. shipping INFO'!F241</f>
        <v>0</v>
      </c>
    </row>
    <row r="95" spans="1:6">
      <c r="A95" s="148" t="str">
        <f>'250 comps. shipping INFO'!A242</f>
        <v>Citalopram</v>
      </c>
      <c r="B95" s="148" t="str">
        <f>'250 comps. shipping INFO'!B242</f>
        <v>PTX094</v>
      </c>
      <c r="C95" s="147">
        <f>'250 comps. shipping INFO'!C242</f>
        <v>0</v>
      </c>
      <c r="D95" s="147" t="str">
        <f>'250 comps. shipping INFO'!D242</f>
        <v>C20H21FN2O</v>
      </c>
      <c r="E95" s="147" t="str">
        <f>'250 comps. shipping INFO'!E242</f>
        <v>59729-33-8</v>
      </c>
      <c r="F95" s="147">
        <f>'250 comps. shipping INFO'!F242</f>
        <v>0</v>
      </c>
    </row>
    <row r="96" spans="1:6">
      <c r="A96" s="148" t="str">
        <f>'250 comps. shipping INFO'!A243</f>
        <v>Lidocaine</v>
      </c>
      <c r="B96" s="148" t="str">
        <f>'250 comps. shipping INFO'!B243</f>
        <v>PTX095</v>
      </c>
      <c r="C96" s="147">
        <f>'250 comps. shipping INFO'!C243</f>
        <v>0</v>
      </c>
      <c r="D96" s="147" t="str">
        <f>'250 comps. shipping INFO'!D243</f>
        <v>C14H22N2O</v>
      </c>
      <c r="E96" s="147" t="str">
        <f>'250 comps. shipping INFO'!E243</f>
        <v>137-58-6</v>
      </c>
      <c r="F96" s="147">
        <f>'250 comps. shipping INFO'!F243</f>
        <v>0</v>
      </c>
    </row>
    <row r="97" spans="1:6">
      <c r="A97" s="148" t="str">
        <f>'250 comps. shipping INFO'!A244</f>
        <v>Cyclophosphamide (monohydrate)</v>
      </c>
      <c r="B97" s="148" t="str">
        <f>'250 comps. shipping INFO'!B244</f>
        <v>PTX096</v>
      </c>
      <c r="C97" s="147">
        <f>'250 comps. shipping INFO'!C244</f>
        <v>0</v>
      </c>
      <c r="D97" s="147" t="str">
        <f>'250 comps. shipping INFO'!D244</f>
        <v>C7H15Cl2N2O2P</v>
      </c>
      <c r="E97" s="147" t="str">
        <f>'250 comps. shipping INFO'!E244</f>
        <v>50-18-0
(6055-19-2)</v>
      </c>
      <c r="F97" s="147">
        <f>'250 comps. shipping INFO'!F244</f>
        <v>0</v>
      </c>
    </row>
    <row r="98" spans="1:6">
      <c r="A98" s="148" t="str">
        <f>'250 comps. shipping INFO'!A245</f>
        <v>Propylthiouracil</v>
      </c>
      <c r="B98" s="148" t="str">
        <f>'250 comps. shipping INFO'!B245</f>
        <v>PTX097</v>
      </c>
      <c r="C98" s="147">
        <f>'250 comps. shipping INFO'!C245</f>
        <v>0</v>
      </c>
      <c r="D98" s="147" t="str">
        <f>'250 comps. shipping INFO'!D245</f>
        <v>C7H10N2OS</v>
      </c>
      <c r="E98" s="147" t="str">
        <f>'250 comps. shipping INFO'!E245</f>
        <v>51-52-5</v>
      </c>
      <c r="F98" s="147">
        <f>'250 comps. shipping INFO'!F245</f>
        <v>0</v>
      </c>
    </row>
    <row r="99" spans="1:6">
      <c r="A99" s="148" t="str">
        <f>'250 comps. shipping INFO'!A246</f>
        <v>Methimazole</v>
      </c>
      <c r="B99" s="148" t="str">
        <f>'250 comps. shipping INFO'!B246</f>
        <v>PTX098</v>
      </c>
      <c r="C99" s="147">
        <f>'250 comps. shipping INFO'!C246</f>
        <v>0</v>
      </c>
      <c r="D99" s="147" t="str">
        <f>'250 comps. shipping INFO'!D246</f>
        <v>C4H6N2S</v>
      </c>
      <c r="E99" s="147" t="str">
        <f>'250 comps. shipping INFO'!E246</f>
        <v>60-56-0</v>
      </c>
      <c r="F99" s="147">
        <f>'250 comps. shipping INFO'!F246</f>
        <v>0</v>
      </c>
    </row>
    <row r="100" spans="1:6">
      <c r="A100" s="148" t="str">
        <f>'250 comps. shipping INFO'!A247</f>
        <v>Azacytidine</v>
      </c>
      <c r="B100" s="148" t="str">
        <f>'250 comps. shipping INFO'!B247</f>
        <v>PTX099</v>
      </c>
      <c r="C100" s="147">
        <f>'250 comps. shipping INFO'!C247</f>
        <v>0</v>
      </c>
      <c r="D100" s="147" t="str">
        <f>'250 comps. shipping INFO'!D247</f>
        <v>C8H12N4O5</v>
      </c>
      <c r="E100" s="147" t="str">
        <f>'250 comps. shipping INFO'!E247</f>
        <v>320-67-2</v>
      </c>
      <c r="F100" s="147">
        <f>'250 comps. shipping INFO'!F247</f>
        <v>0</v>
      </c>
    </row>
    <row r="101" spans="1:6">
      <c r="A101" s="148" t="str">
        <f>'250 comps. shipping INFO'!A248</f>
        <v>Cytosine arabinoside</v>
      </c>
      <c r="B101" s="148" t="str">
        <f>'250 comps. shipping INFO'!B248</f>
        <v>PTX100</v>
      </c>
      <c r="C101" s="147">
        <f>'250 comps. shipping INFO'!C248</f>
        <v>0</v>
      </c>
      <c r="D101" s="147" t="str">
        <f>'250 comps. shipping INFO'!D248</f>
        <v>C9H13N3O5</v>
      </c>
      <c r="E101" s="147" t="str">
        <f>'250 comps. shipping INFO'!E248</f>
        <v>147-94-4</v>
      </c>
      <c r="F101" s="147">
        <f>'250 comps. shipping INFO'!F248</f>
        <v>0</v>
      </c>
    </row>
    <row r="102" spans="1:6">
      <c r="A102" s="148" t="str">
        <f>'250 comps. shipping INFO'!A249</f>
        <v>Hydroxyurea</v>
      </c>
      <c r="B102" s="148" t="str">
        <f>'250 comps. shipping INFO'!B249</f>
        <v>PTX101</v>
      </c>
      <c r="C102" s="147">
        <f>'250 comps. shipping INFO'!C249</f>
        <v>0</v>
      </c>
      <c r="D102" s="147" t="str">
        <f>'250 comps. shipping INFO'!D249</f>
        <v>CH4N2O2</v>
      </c>
      <c r="E102" s="147" t="str">
        <f>'250 comps. shipping INFO'!E249</f>
        <v>127-07-1</v>
      </c>
      <c r="F102" s="147">
        <f>'250 comps. shipping INFO'!F249</f>
        <v>0</v>
      </c>
    </row>
    <row r="103" spans="1:6">
      <c r="A103" s="148" t="str">
        <f>'250 comps. shipping INFO'!A250</f>
        <v>Colchicine</v>
      </c>
      <c r="B103" s="148" t="str">
        <f>'250 comps. shipping INFO'!B250</f>
        <v>PTX102</v>
      </c>
      <c r="C103" s="147">
        <f>'250 comps. shipping INFO'!C250</f>
        <v>0</v>
      </c>
      <c r="D103" s="147" t="str">
        <f>'250 comps. shipping INFO'!D250</f>
        <v>C22H25NO6</v>
      </c>
      <c r="E103" s="147" t="str">
        <f>'250 comps. shipping INFO'!E250</f>
        <v>64-86-8</v>
      </c>
      <c r="F103" s="147">
        <f>'250 comps. shipping INFO'!F250</f>
        <v>0</v>
      </c>
    </row>
    <row r="104" spans="1:6">
      <c r="A104" s="148" t="str">
        <f>'250 comps. shipping INFO'!A251</f>
        <v>Aspartame</v>
      </c>
      <c r="B104" s="148" t="str">
        <f>'250 comps. shipping INFO'!B251</f>
        <v>PTX103</v>
      </c>
      <c r="C104" s="147">
        <f>'250 comps. shipping INFO'!C251</f>
        <v>0</v>
      </c>
      <c r="D104" s="147" t="str">
        <f>'250 comps. shipping INFO'!D251</f>
        <v>C14H18N2O5</v>
      </c>
      <c r="E104" s="147" t="str">
        <f>'250 comps. shipping INFO'!E251</f>
        <v>22839-47-0</v>
      </c>
      <c r="F104" s="147">
        <f>'250 comps. shipping INFO'!F251</f>
        <v>0</v>
      </c>
    </row>
    <row r="105" spans="1:6">
      <c r="A105" s="148" t="str">
        <f>'250 comps. shipping INFO'!A252</f>
        <v>5-Fluorouracil</v>
      </c>
      <c r="B105" s="148" t="str">
        <f>'250 comps. shipping INFO'!B252</f>
        <v>PTX104</v>
      </c>
      <c r="C105" s="147" t="str">
        <f>'250 comps. shipping INFO'!C252</f>
        <v>5-FU</v>
      </c>
      <c r="D105" s="147" t="str">
        <f>'250 comps. shipping INFO'!D252</f>
        <v>C4H3FN2O2</v>
      </c>
      <c r="E105" s="147" t="str">
        <f>'250 comps. shipping INFO'!E252</f>
        <v>51-21-8</v>
      </c>
      <c r="F105" s="147">
        <f>'250 comps. shipping INFO'!F252</f>
        <v>0</v>
      </c>
    </row>
    <row r="106" spans="1:6">
      <c r="A106" s="148" t="str">
        <f>'250 comps. shipping INFO'!A253</f>
        <v>Methotrexate (hydrate)</v>
      </c>
      <c r="B106" s="148" t="str">
        <f>'250 comps. shipping INFO'!B253</f>
        <v>PTX105</v>
      </c>
      <c r="C106" s="147" t="str">
        <f>'250 comps. shipping INFO'!C253</f>
        <v>MTX</v>
      </c>
      <c r="D106" s="147" t="str">
        <f>'250 comps. shipping INFO'!D253</f>
        <v>C20H22N8O5·xH2O</v>
      </c>
      <c r="E106" s="147" t="str">
        <f>'250 comps. shipping INFO'!E253</f>
        <v>59-05-2
(133073-73-1)</v>
      </c>
      <c r="F106" s="147">
        <f>'250 comps. shipping INFO'!F253</f>
        <v>0</v>
      </c>
    </row>
    <row r="107" spans="1:6">
      <c r="A107" s="148" t="str">
        <f>'250 comps. shipping INFO'!A254</f>
        <v>Bromodeoxyuridine</v>
      </c>
      <c r="B107" s="148" t="str">
        <f>'250 comps. shipping INFO'!B254</f>
        <v>PTX106</v>
      </c>
      <c r="C107" s="147" t="str">
        <f>'250 comps. shipping INFO'!C254</f>
        <v>BrdU</v>
      </c>
      <c r="D107" s="147" t="str">
        <f>'250 comps. shipping INFO'!D254</f>
        <v>C9H11BrN2O5</v>
      </c>
      <c r="E107" s="147" t="str">
        <f>'250 comps. shipping INFO'!E254</f>
        <v>59-14-3</v>
      </c>
      <c r="F107" s="147">
        <f>'250 comps. shipping INFO'!F254</f>
        <v>0</v>
      </c>
    </row>
    <row r="108" spans="1:6">
      <c r="A108" s="148"/>
      <c r="B108" s="147"/>
      <c r="C108" s="147"/>
      <c r="D108" s="147"/>
      <c r="E108" s="147"/>
      <c r="F108" s="147"/>
    </row>
    <row r="109" spans="1:6">
      <c r="A109" s="148"/>
      <c r="B109" s="147"/>
      <c r="C109" s="147"/>
      <c r="D109" s="147"/>
      <c r="E109" s="147"/>
      <c r="F109" s="147"/>
    </row>
    <row r="110" spans="1:6">
      <c r="A110" s="148"/>
      <c r="B110" s="147"/>
      <c r="C110" s="147"/>
      <c r="D110" s="147"/>
      <c r="E110" s="147"/>
      <c r="F110" s="147"/>
    </row>
  </sheetData>
  <pageMargins left="0.7" right="0.7" top="0.75" bottom="0.75" header="0.3" footer="0.3"/>
  <legacyDrawing r:id="rId1"/>
  <tableParts count="1">
    <tablePart r:id="rId2"/>
  </tableParts>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_rels/item4.xml.rels><?xml version="1.0" encoding="UTF-8" standalone="no"?><Relationships xmlns="http://schemas.openxmlformats.org/package/2006/relationships"><Relationship Id="rId1" Target="itemProps4.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198292a3-4908-4712-b2cc-f3b3658c84fe" xsi:nil="true"/>
    <SharedWithUsers xmlns="e0a953a8-67bd-452e-b19a-3db8bd21fe50">
      <UserInfo>
        <DisplayName/>
        <AccountId xsi:nil="true"/>
        <AccountType/>
      </UserInfo>
    </SharedWithUsers>
    <PublishingExpirationDate xmlns="http://schemas.microsoft.com/sharepoint/v3" xsi:nil="true"/>
    <PublishingStartDate xmlns="http://schemas.microsoft.com/sharepoint/v3" xsi:nil="true"/>
    <Modifiedby xmlns="198292a3-4908-4712-b2cc-f3b3658c84fe">
      <UserInfo>
        <DisplayName/>
        <AccountId xsi:nil="true"/>
        <AccountType/>
      </UserInfo>
    </Modifiedby>
    <lcf76f155ced4ddcb4097134ff3c332f xmlns="198292a3-4908-4712-b2cc-f3b3658c84fe">
      <Terms xmlns="http://schemas.microsoft.com/office/infopath/2007/PartnerControls"/>
    </lcf76f155ced4ddcb4097134ff3c332f>
    <TaxCatchAll xmlns="e0a953a8-67bd-452e-b19a-3db8bd21fe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B55FF886ACD04FA46F351C1187A9BD" ma:contentTypeVersion="17" ma:contentTypeDescription="Create a new document." ma:contentTypeScope="" ma:versionID="060fc990ca1d28f195aedc762e6b5c09">
  <xsd:schema xmlns:xsd="http://www.w3.org/2001/XMLSchema" xmlns:xs="http://www.w3.org/2001/XMLSchema" xmlns:p="http://schemas.microsoft.com/office/2006/metadata/properties" xmlns:ns1="http://schemas.microsoft.com/sharepoint/v3" xmlns:ns2="198292a3-4908-4712-b2cc-f3b3658c84fe" xmlns:ns3="e0a953a8-67bd-452e-b19a-3db8bd21fe50" targetNamespace="http://schemas.microsoft.com/office/2006/metadata/properties" ma:root="true" ma:fieldsID="858c67c31c6039e9988ae8eddbd456fa" ns1:_="" ns2:_="" ns3:_="">
    <xsd:import namespace="http://schemas.microsoft.com/sharepoint/v3"/>
    <xsd:import namespace="198292a3-4908-4712-b2cc-f3b3658c84fe"/>
    <xsd:import namespace="e0a953a8-67bd-452e-b19a-3db8bd21fe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1:PublishingStartDate" minOccurs="0"/>
                <xsd:element ref="ns1:PublishingExpirationDate" minOccurs="0"/>
                <xsd:element ref="ns2:Modifiedby"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98292a3-4908-4712-b2cc-f3b3658c84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odifiedby" ma:index="22" nillable="true" ma:displayName="Modified by" ma:format="Dropdown" ma:list="UserInfo" ma:SharePointGroup="0" ma:internalName="Modifi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ac7af76c-f141-45ca-ae1a-4959eb0cbd4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0a953a8-67bd-452e-b19a-3db8bd21fe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672b7fa0-5d90-489b-8c8b-ce00274d0f78}" ma:internalName="TaxCatchAll" ma:showField="CatchAllData" ma:web="e0a953a8-67bd-452e-b19a-3db8bd21fe5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Y 1 9 i V f I I u I G k A A A A 9 g A A A B I A H A B D b 2 5 m a W c v U G F j a 2 F n Z S 5 4 b W w g o h g A K K A U A A A A A A A A A A A A A A A A A A A A A A A A A A A A h Y 8 x D o I w G I W v Q r r T l r I o + S m D c Z P E h M S 4 N q V C A x R D i + V u D h 7 J K 4 h R 1 M 3 x f e 8 b 3 r t f b 5 B N X R t c 1 G B 1 b 1 I U Y Y o C Z W R f a l O l a H S n c I U y D n s h G 1 G p Y J a N T S Z b p q h 2 7 p w Q 4 r 3 H P s b 9 U B F G a U S O + a 6 Q t e o E + s j 6 v x x q Y 5 0 w U i E O h 9 c Y z n B E 1 z i m D F M g C 4 R c m 6 / A 5 r 3 P 9 g f C Z m z d O C i u b L g t g C w R y P s D f w B Q S w M E F A A C A A g A Y 1 9 i 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N f Y l U o i k e 4 D g A A A B E A A A A T A B w A R m 9 y b X V s Y X M v U 2 V j d G l v b j E u b S C i G A A o o B Q A A A A A A A A A A A A A A A A A A A A A A A A A A A A r T k 0 u y c z P U w i G 0 I b W A F B L A Q I t A B Q A A g A I A G N f Y l X y C L i B p A A A A P Y A A A A S A A A A A A A A A A A A A A A A A A A A A A B D b 2 5 m a W c v U G F j a 2 F n Z S 5 4 b W x Q S w E C L Q A U A A I A C A B j X 2 J V D 8 r p q 6 Q A A A D p A A A A E w A A A A A A A A A A A A A A A A D w A A A A W 0 N v b n R l b n R f V H l w Z X N d L n h t b F B L A Q I t A B Q A A g A I A G N f Y 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b e R D f c b f f T 6 m 3 S x 3 8 c k L b A A A A A A I A A A A A A A N m A A D A A A A A E A A A A C j W j B F h I n B / W C T v b i u E u H g A A A A A B I A A A K A A A A A Q A A A A e U Z 4 7 / z M W e O H U 8 F s d 8 n h U l A A A A B 0 B y L C q h f 8 B d i 7 X x R f q O u r w Z I 0 i B o I 0 e S 9 w U P J v F P T W l W 9 o F o A T g F V U l x Z a u K + K y a X 7 S A v 5 D Q P 9 g J z x m B G 9 w 5 0 O A p p Z y G D Z b K v A I + i p / G Y 0 x Q A A A B m 2 A G + H n k e b S 3 I C Y 1 D b t J u + y 6 2 f g = = < / D a t a M a s h u p > 
</file>

<file path=customXml/itemProps1.xml><?xml version="1.0" encoding="utf-8"?>
<ds:datastoreItem xmlns:ds="http://schemas.openxmlformats.org/officeDocument/2006/customXml" ds:itemID="{B7042275-0BDC-45D6-9A26-52D9EA617490}"/>
</file>

<file path=customXml/itemProps2.xml><?xml version="1.0" encoding="utf-8"?>
<ds:datastoreItem xmlns:ds="http://schemas.openxmlformats.org/officeDocument/2006/customXml" ds:itemID="{7B72622A-0692-4B19-BF29-65547ECEC60E}"/>
</file>

<file path=customXml/itemProps3.xml><?xml version="1.0" encoding="utf-8"?>
<ds:datastoreItem xmlns:ds="http://schemas.openxmlformats.org/officeDocument/2006/customXml" ds:itemID="{19011B82-2837-452C-B4CD-1CCA788A7FDB}"/>
</file>

<file path=customXml/itemProps4.xml><?xml version="1.0" encoding="utf-8"?>
<ds:datastoreItem xmlns:ds="http://schemas.openxmlformats.org/officeDocument/2006/customXml" ds:itemID="{51399ED1-D772-4837-851C-66B9267886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2021-03-25T07:19:18Z</dcterms:created>
  <dc:creator>Ruben Martinez Lopez</dc:creator>
  <dcterms:modified xsi:type="dcterms:W3CDTF">2023-02-10T12:21:28Z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0x01010058B55FF886ACD04FA46F351C1187A9BD</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ies>
</file>