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than\Dropbox\Example Schedules\"/>
    </mc:Choice>
  </mc:AlternateContent>
  <xr:revisionPtr revIDLastSave="0" documentId="8_{1E37AA53-78F7-4E4D-9187-570C7AECD269}" xr6:coauthVersionLast="43" xr6:coauthVersionMax="43" xr10:uidLastSave="{00000000-0000-0000-0000-000000000000}"/>
  <bookViews>
    <workbookView xWindow="-26820" yWindow="195" windowWidth="22035" windowHeight="14400" tabRatio="788" firstSheet="5" activeTab="5" xr2:uid="{00000000-000D-0000-FFFF-FFFF00000000}"/>
  </bookViews>
  <sheets>
    <sheet name="Jan" sheetId="14" r:id="rId1"/>
    <sheet name="Feb" sheetId="19" r:id="rId2"/>
    <sheet name="Mar" sheetId="20" r:id="rId3"/>
    <sheet name="Apr" sheetId="22" r:id="rId4"/>
    <sheet name="May" sheetId="24" r:id="rId5"/>
    <sheet name="Jun" sheetId="25" r:id="rId6"/>
    <sheet name="Jul" sheetId="26" r:id="rId7"/>
    <sheet name="Aug" sheetId="32" r:id="rId8"/>
    <sheet name="Sep" sheetId="28" r:id="rId9"/>
    <sheet name="Oct" sheetId="29" r:id="rId10"/>
    <sheet name="Nov" sheetId="30" r:id="rId11"/>
    <sheet name="Dec" sheetId="31" r:id="rId12"/>
    <sheet name="Lookup List" sheetId="15" r:id="rId13"/>
  </sheets>
  <definedNames>
    <definedName name="AprSun1">DATE(CalendarYear,4,1)-WEEKDAY(DATE(CalendarYear,4,1))+1</definedName>
    <definedName name="AugSun1">DATE(CalendarYear,8,1)-WEEKDAY(DATE(CalendarYear,8,1))+1</definedName>
    <definedName name="CalendarYear">Jan!$L$1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Jan!$A$1:$H$14</definedName>
    <definedName name="SepSun1">DATE(CalendarYear,9,1)-WEEKDAY(DATE(CalendarYear,9,1))+1</definedName>
    <definedName name="Year">YearLookup[]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4" l="1"/>
  <c r="F11" i="19"/>
  <c r="J18" i="14"/>
  <c r="J21" i="14"/>
  <c r="J19" i="14"/>
  <c r="J20" i="14"/>
  <c r="J22" i="14"/>
  <c r="J23" i="14"/>
  <c r="J24" i="14"/>
  <c r="J25" i="14"/>
  <c r="C13" i="32"/>
  <c r="B13" i="32"/>
  <c r="H11" i="32"/>
  <c r="G11" i="32"/>
  <c r="F11" i="32"/>
  <c r="E11" i="32"/>
  <c r="D11" i="32"/>
  <c r="C11" i="32"/>
  <c r="B11" i="32"/>
  <c r="H9" i="32"/>
  <c r="G9" i="32"/>
  <c r="F9" i="32"/>
  <c r="E9" i="32"/>
  <c r="D9" i="32"/>
  <c r="C9" i="32"/>
  <c r="B9" i="32"/>
  <c r="H7" i="32"/>
  <c r="G7" i="32"/>
  <c r="F7" i="32"/>
  <c r="E7" i="32"/>
  <c r="D7" i="32"/>
  <c r="C7" i="32"/>
  <c r="B7" i="32"/>
  <c r="H5" i="32"/>
  <c r="G5" i="32"/>
  <c r="F5" i="32"/>
  <c r="E5" i="32"/>
  <c r="D5" i="32"/>
  <c r="C5" i="32"/>
  <c r="B5" i="32"/>
  <c r="H3" i="32"/>
  <c r="G3" i="32"/>
  <c r="F3" i="32"/>
  <c r="E3" i="32"/>
  <c r="D3" i="32"/>
  <c r="C3" i="32"/>
  <c r="B3" i="32"/>
  <c r="B1" i="32"/>
  <c r="B1" i="28"/>
  <c r="C13" i="31"/>
  <c r="B13" i="31"/>
  <c r="H11" i="31"/>
  <c r="G11" i="31"/>
  <c r="F11" i="31"/>
  <c r="E11" i="31"/>
  <c r="D11" i="31"/>
  <c r="C11" i="31"/>
  <c r="B11" i="31"/>
  <c r="H9" i="31"/>
  <c r="G9" i="31"/>
  <c r="F9" i="31"/>
  <c r="E9" i="31"/>
  <c r="D9" i="31"/>
  <c r="C9" i="31"/>
  <c r="B9" i="31"/>
  <c r="H7" i="31"/>
  <c r="G7" i="31"/>
  <c r="F7" i="31"/>
  <c r="E7" i="31"/>
  <c r="D7" i="31"/>
  <c r="C7" i="31"/>
  <c r="B7" i="31"/>
  <c r="H5" i="31"/>
  <c r="G5" i="31"/>
  <c r="F5" i="31"/>
  <c r="E5" i="31"/>
  <c r="D5" i="31"/>
  <c r="C5" i="31"/>
  <c r="B5" i="31"/>
  <c r="H3" i="31"/>
  <c r="G3" i="31"/>
  <c r="F3" i="31"/>
  <c r="E3" i="31"/>
  <c r="D3" i="31"/>
  <c r="C3" i="31"/>
  <c r="B3" i="31"/>
  <c r="B1" i="31"/>
  <c r="B13" i="30"/>
  <c r="H11" i="30"/>
  <c r="G11" i="30"/>
  <c r="F11" i="30"/>
  <c r="E11" i="30"/>
  <c r="D11" i="30"/>
  <c r="C11" i="30"/>
  <c r="B11" i="30"/>
  <c r="H9" i="30"/>
  <c r="G9" i="30"/>
  <c r="F9" i="30"/>
  <c r="E9" i="30"/>
  <c r="D9" i="30"/>
  <c r="C9" i="30"/>
  <c r="B9" i="30"/>
  <c r="H7" i="30"/>
  <c r="G7" i="30"/>
  <c r="F7" i="30"/>
  <c r="E7" i="30"/>
  <c r="D7" i="30"/>
  <c r="C7" i="30"/>
  <c r="B7" i="30"/>
  <c r="H5" i="30"/>
  <c r="G5" i="30"/>
  <c r="F5" i="30"/>
  <c r="E5" i="30"/>
  <c r="D5" i="30"/>
  <c r="C5" i="30"/>
  <c r="B5" i="30"/>
  <c r="H3" i="30"/>
  <c r="G3" i="30"/>
  <c r="F3" i="30"/>
  <c r="E3" i="30"/>
  <c r="D3" i="30"/>
  <c r="C3" i="30"/>
  <c r="B3" i="30"/>
  <c r="B1" i="30"/>
  <c r="H11" i="29"/>
  <c r="G11" i="29"/>
  <c r="F11" i="29"/>
  <c r="E11" i="29"/>
  <c r="D11" i="29"/>
  <c r="C11" i="29"/>
  <c r="B11" i="29"/>
  <c r="H9" i="29"/>
  <c r="G9" i="29"/>
  <c r="F9" i="29"/>
  <c r="E9" i="29"/>
  <c r="D9" i="29"/>
  <c r="C9" i="29"/>
  <c r="B9" i="29"/>
  <c r="H7" i="29"/>
  <c r="G7" i="29"/>
  <c r="F7" i="29"/>
  <c r="E7" i="29"/>
  <c r="D7" i="29"/>
  <c r="C7" i="29"/>
  <c r="B7" i="29"/>
  <c r="H5" i="29"/>
  <c r="G5" i="29"/>
  <c r="F5" i="29"/>
  <c r="E5" i="29"/>
  <c r="D5" i="29"/>
  <c r="C5" i="29"/>
  <c r="B5" i="29"/>
  <c r="H3" i="29"/>
  <c r="G3" i="29"/>
  <c r="F3" i="29"/>
  <c r="E3" i="29"/>
  <c r="D3" i="29"/>
  <c r="C3" i="29"/>
  <c r="B3" i="29"/>
  <c r="B1" i="29"/>
  <c r="B13" i="28"/>
  <c r="H11" i="28"/>
  <c r="G11" i="28"/>
  <c r="F11" i="28"/>
  <c r="E11" i="28"/>
  <c r="D11" i="28"/>
  <c r="C11" i="28"/>
  <c r="B11" i="28"/>
  <c r="H9" i="28"/>
  <c r="G9" i="28"/>
  <c r="F9" i="28"/>
  <c r="E9" i="28"/>
  <c r="D9" i="28"/>
  <c r="C9" i="28"/>
  <c r="B9" i="28"/>
  <c r="H7" i="28"/>
  <c r="G7" i="28"/>
  <c r="F7" i="28"/>
  <c r="E7" i="28"/>
  <c r="D7" i="28"/>
  <c r="C7" i="28"/>
  <c r="B7" i="28"/>
  <c r="H5" i="28"/>
  <c r="G5" i="28"/>
  <c r="F5" i="28"/>
  <c r="E5" i="28"/>
  <c r="D5" i="28"/>
  <c r="C5" i="28"/>
  <c r="B5" i="28"/>
  <c r="H3" i="28"/>
  <c r="G3" i="28"/>
  <c r="F3" i="28"/>
  <c r="E3" i="28"/>
  <c r="D3" i="28"/>
  <c r="C3" i="28"/>
  <c r="B3" i="28"/>
  <c r="H11" i="26"/>
  <c r="G11" i="26"/>
  <c r="F11" i="26"/>
  <c r="E11" i="26"/>
  <c r="D11" i="26"/>
  <c r="C11" i="26"/>
  <c r="B11" i="26"/>
  <c r="H9" i="26"/>
  <c r="G9" i="26"/>
  <c r="F9" i="26"/>
  <c r="E9" i="26"/>
  <c r="D9" i="26"/>
  <c r="C9" i="26"/>
  <c r="B9" i="26"/>
  <c r="H7" i="26"/>
  <c r="G7" i="26"/>
  <c r="F7" i="26"/>
  <c r="E7" i="26"/>
  <c r="D7" i="26"/>
  <c r="C7" i="26"/>
  <c r="B7" i="26"/>
  <c r="H5" i="26"/>
  <c r="G5" i="26"/>
  <c r="F5" i="26"/>
  <c r="E5" i="26"/>
  <c r="D5" i="26"/>
  <c r="C5" i="26"/>
  <c r="B5" i="26"/>
  <c r="H3" i="26"/>
  <c r="G3" i="26"/>
  <c r="F3" i="26"/>
  <c r="E3" i="26"/>
  <c r="D3" i="26"/>
  <c r="C3" i="26"/>
  <c r="B3" i="26"/>
  <c r="B1" i="26"/>
  <c r="B13" i="25"/>
  <c r="H11" i="25"/>
  <c r="G11" i="25"/>
  <c r="F11" i="25"/>
  <c r="E11" i="25"/>
  <c r="D11" i="25"/>
  <c r="C11" i="25"/>
  <c r="B11" i="25"/>
  <c r="H9" i="25"/>
  <c r="G9" i="25"/>
  <c r="F9" i="25"/>
  <c r="E9" i="25"/>
  <c r="D9" i="25"/>
  <c r="C9" i="25"/>
  <c r="B9" i="25"/>
  <c r="H7" i="25"/>
  <c r="G7" i="25"/>
  <c r="F7" i="25"/>
  <c r="E7" i="25"/>
  <c r="D7" i="25"/>
  <c r="C7" i="25"/>
  <c r="B7" i="25"/>
  <c r="H5" i="25"/>
  <c r="G5" i="25"/>
  <c r="F5" i="25"/>
  <c r="E5" i="25"/>
  <c r="D5" i="25"/>
  <c r="C5" i="25"/>
  <c r="B5" i="25"/>
  <c r="H3" i="25"/>
  <c r="G3" i="25"/>
  <c r="F3" i="25"/>
  <c r="E3" i="25"/>
  <c r="D3" i="25"/>
  <c r="C3" i="25"/>
  <c r="B3" i="25"/>
  <c r="B1" i="25"/>
  <c r="C13" i="24"/>
  <c r="B13" i="24"/>
  <c r="H11" i="24"/>
  <c r="G11" i="24"/>
  <c r="F11" i="24"/>
  <c r="E11" i="24"/>
  <c r="D11" i="24"/>
  <c r="C11" i="24"/>
  <c r="B11" i="24"/>
  <c r="H9" i="24"/>
  <c r="G9" i="24"/>
  <c r="F9" i="24"/>
  <c r="E9" i="24"/>
  <c r="D9" i="24"/>
  <c r="C9" i="24"/>
  <c r="B9" i="24"/>
  <c r="H7" i="24"/>
  <c r="G7" i="24"/>
  <c r="F7" i="24"/>
  <c r="E7" i="24"/>
  <c r="D7" i="24"/>
  <c r="C7" i="24"/>
  <c r="B7" i="24"/>
  <c r="H5" i="24"/>
  <c r="F5" i="24"/>
  <c r="E5" i="24"/>
  <c r="D5" i="24"/>
  <c r="C5" i="24"/>
  <c r="B5" i="24"/>
  <c r="H3" i="24"/>
  <c r="G3" i="24"/>
  <c r="F3" i="24"/>
  <c r="E3" i="24"/>
  <c r="D3" i="24"/>
  <c r="C3" i="24"/>
  <c r="B3" i="24"/>
  <c r="B1" i="24"/>
  <c r="B13" i="22"/>
  <c r="H11" i="22"/>
  <c r="G11" i="22"/>
  <c r="F11" i="22"/>
  <c r="E11" i="22"/>
  <c r="D11" i="22"/>
  <c r="C11" i="22"/>
  <c r="B11" i="22"/>
  <c r="H9" i="22"/>
  <c r="G9" i="22"/>
  <c r="F9" i="22"/>
  <c r="E9" i="22"/>
  <c r="D9" i="22"/>
  <c r="C9" i="22"/>
  <c r="B9" i="22"/>
  <c r="H7" i="22"/>
  <c r="G7" i="22"/>
  <c r="F7" i="22"/>
  <c r="E7" i="22"/>
  <c r="D7" i="22"/>
  <c r="C7" i="22"/>
  <c r="B7" i="22"/>
  <c r="H5" i="22"/>
  <c r="G5" i="22"/>
  <c r="F5" i="22"/>
  <c r="E5" i="22"/>
  <c r="D5" i="22"/>
  <c r="C5" i="22"/>
  <c r="B5" i="22"/>
  <c r="H3" i="22"/>
  <c r="G3" i="22"/>
  <c r="F3" i="22"/>
  <c r="E3" i="22"/>
  <c r="D3" i="22"/>
  <c r="C3" i="22"/>
  <c r="B3" i="22"/>
  <c r="B1" i="22"/>
  <c r="H11" i="19"/>
  <c r="G11" i="19"/>
  <c r="E11" i="19"/>
  <c r="D11" i="19"/>
  <c r="C11" i="19"/>
  <c r="B11" i="19"/>
  <c r="H9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H5" i="19"/>
  <c r="G5" i="19"/>
  <c r="F5" i="19"/>
  <c r="E5" i="19"/>
  <c r="D5" i="19"/>
  <c r="C5" i="19"/>
  <c r="B5" i="19"/>
  <c r="H3" i="19"/>
  <c r="G3" i="19"/>
  <c r="F3" i="19"/>
  <c r="E3" i="19"/>
  <c r="D3" i="19"/>
  <c r="C3" i="19"/>
  <c r="B3" i="19"/>
  <c r="C13" i="20"/>
  <c r="B13" i="20"/>
  <c r="H11" i="20"/>
  <c r="G11" i="20"/>
  <c r="F11" i="20"/>
  <c r="E11" i="20"/>
  <c r="D11" i="20"/>
  <c r="C11" i="20"/>
  <c r="B11" i="20"/>
  <c r="H9" i="20"/>
  <c r="G9" i="20"/>
  <c r="F9" i="20"/>
  <c r="E9" i="20"/>
  <c r="D9" i="20"/>
  <c r="H7" i="20"/>
  <c r="G7" i="20"/>
  <c r="F7" i="20"/>
  <c r="E7" i="20"/>
  <c r="D7" i="20"/>
  <c r="C7" i="20"/>
  <c r="B7" i="20"/>
  <c r="H5" i="20"/>
  <c r="G5" i="20"/>
  <c r="F5" i="20"/>
  <c r="E5" i="20"/>
  <c r="D5" i="20"/>
  <c r="C5" i="20"/>
  <c r="B5" i="20"/>
  <c r="H3" i="20"/>
  <c r="G3" i="20"/>
  <c r="F3" i="20"/>
  <c r="E3" i="20"/>
  <c r="D3" i="20"/>
  <c r="C3" i="20"/>
  <c r="B3" i="20"/>
  <c r="B1" i="20"/>
  <c r="B1" i="19"/>
  <c r="C13" i="14"/>
  <c r="B13" i="14"/>
  <c r="H11" i="14"/>
  <c r="G11" i="14"/>
  <c r="F11" i="14"/>
  <c r="E11" i="14"/>
  <c r="D11" i="14"/>
  <c r="C11" i="14"/>
  <c r="B11" i="14"/>
  <c r="H9" i="14"/>
  <c r="G9" i="14"/>
  <c r="F9" i="14"/>
  <c r="E9" i="14"/>
  <c r="D9" i="14"/>
  <c r="B9" i="14"/>
  <c r="C9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F3" i="14"/>
  <c r="B3" i="14"/>
  <c r="H3" i="14"/>
  <c r="G3" i="14"/>
  <c r="E3" i="14"/>
  <c r="C3" i="14"/>
  <c r="B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 </author>
  </authors>
  <commentList>
    <comment ref="C4" authorId="0" shapeId="0" xr:uid="{00000000-0006-0000-0C00-000001000000}">
      <text>
        <r>
          <rPr>
            <b/>
            <sz val="9"/>
            <color indexed="81"/>
            <rFont val="Geneva"/>
          </rPr>
          <t>This list populates the options that appear in the pop-up list for the year on the January sheet. To add additional years, begin typing in the cell directly beneath the last existing entry and the list will automatically expand.</t>
        </r>
      </text>
    </comment>
  </commentList>
</comments>
</file>

<file path=xl/sharedStrings.xml><?xml version="1.0" encoding="utf-8"?>
<sst xmlns="http://schemas.openxmlformats.org/spreadsheetml/2006/main" count="473" uniqueCount="89">
  <si>
    <t>Select
Year:</t>
  </si>
  <si>
    <t>Sunday</t>
  </si>
  <si>
    <t>Monday</t>
  </si>
  <si>
    <t>Tuesday</t>
  </si>
  <si>
    <t>Wednesday</t>
  </si>
  <si>
    <t>Thursday</t>
  </si>
  <si>
    <t>Friday</t>
  </si>
  <si>
    <t>Saturday</t>
  </si>
  <si>
    <t>NEW YEARS MCGREGOR</t>
  </si>
  <si>
    <t>McGregor</t>
  </si>
  <si>
    <t>Siemens</t>
  </si>
  <si>
    <t>Steele</t>
  </si>
  <si>
    <t>Touma</t>
  </si>
  <si>
    <t>Leveridge</t>
  </si>
  <si>
    <t>Beiko</t>
  </si>
  <si>
    <t>McGregor (Switch from Izard)</t>
  </si>
  <si>
    <t>Izard</t>
  </si>
  <si>
    <t>Notes:</t>
  </si>
  <si>
    <t>NOTES:</t>
  </si>
  <si>
    <t>CALL TOTALS 2019:</t>
  </si>
  <si>
    <t>Key Weeks 2018:</t>
  </si>
  <si>
    <t>Dates of key long weekends 2018:</t>
  </si>
  <si>
    <t>Weekdays</t>
  </si>
  <si>
    <t>Weekends</t>
  </si>
  <si>
    <t>May 3-6 (AUA)</t>
  </si>
  <si>
    <t>Family Day Feb 18</t>
  </si>
  <si>
    <t>June 29 - Jul 2 (CUA)</t>
  </si>
  <si>
    <t>Easter April 19 - 22</t>
  </si>
  <si>
    <t>Dec 20-26 (Christmas)</t>
  </si>
  <si>
    <t>Victoria Day May 20</t>
  </si>
  <si>
    <t>Dec 27 - Jan 2 (New Years)</t>
  </si>
  <si>
    <t>Canada Day July 1</t>
  </si>
  <si>
    <t>Civic Day Aug 5</t>
  </si>
  <si>
    <t>Labour Day Sept 2</t>
  </si>
  <si>
    <t>Thanksgiving Monday Oct 14</t>
  </si>
  <si>
    <t>March Break - March 11-15</t>
  </si>
  <si>
    <t>DRAFT SCHEDULE NEXT 7 YEARS:</t>
  </si>
  <si>
    <t>Family Day</t>
  </si>
  <si>
    <t>Easter</t>
  </si>
  <si>
    <t>Victoria Day</t>
  </si>
  <si>
    <t>Canada Day</t>
  </si>
  <si>
    <t>Civic</t>
  </si>
  <si>
    <t>Labour Day</t>
  </si>
  <si>
    <t>Thanksgiving</t>
  </si>
  <si>
    <t>March Break</t>
  </si>
  <si>
    <t>ML/JI</t>
  </si>
  <si>
    <t>NT/DRS</t>
  </si>
  <si>
    <t>DB/TM</t>
  </si>
  <si>
    <t>SSS/ML</t>
  </si>
  <si>
    <t>TM/DB</t>
  </si>
  <si>
    <t>DRS/NT</t>
  </si>
  <si>
    <t>AUA</t>
  </si>
  <si>
    <t>CUA</t>
  </si>
  <si>
    <t>Christmas</t>
  </si>
  <si>
    <t>NewYrEve</t>
  </si>
  <si>
    <t>Change Log</t>
  </si>
  <si>
    <t>Change by...</t>
  </si>
  <si>
    <t>Dates</t>
  </si>
  <si>
    <t>Change with...</t>
  </si>
  <si>
    <t>FAMILY DAY  Leveridge</t>
  </si>
  <si>
    <t>Beiko (from Izard)  </t>
  </si>
  <si>
    <t>MARCH BREAK  Beiko    </t>
  </si>
  <si>
    <t>Izard (From Beiko)</t>
  </si>
  <si>
    <t xml:space="preserve">MARCH BREAK      McGregor </t>
  </si>
  <si>
    <t>Izard (Switch from McGregor)</t>
  </si>
  <si>
    <t>McGregor (from Steele)</t>
  </si>
  <si>
    <t>Beiko (from Lev)</t>
  </si>
  <si>
    <t>Izard (From Siemens)</t>
  </si>
  <si>
    <t>EASTER Beiko</t>
  </si>
  <si>
    <t>Notes</t>
  </si>
  <si>
    <t>Siemens (From Izard)</t>
  </si>
  <si>
    <t>Siemens           AUA</t>
  </si>
  <si>
    <t>Siemens           AUA            May 3 - 9</t>
  </si>
  <si>
    <t xml:space="preserve">Touma </t>
  </si>
  <si>
    <t>McGregor     VICTORIA DAY Weekend</t>
  </si>
  <si>
    <t>Beiko from Leveridge</t>
  </si>
  <si>
    <t>Steele           CUA</t>
  </si>
  <si>
    <t>CANADA DAY   Izard             </t>
  </si>
  <si>
    <t>CIvic Day Siemens</t>
  </si>
  <si>
    <t>LABOUR DAY  W/E  Touma</t>
  </si>
  <si>
    <t>LABOUR DAY W/E  Touma</t>
  </si>
  <si>
    <t>THANKSGIVING Steele</t>
  </si>
  <si>
    <t>Steele THANKSGIVING Monday</t>
  </si>
  <si>
    <t>CHRISTMAS CALL    Leveridge</t>
  </si>
  <si>
    <t>CHRISTMAS CALL  December 20 - 26   Leveridge</t>
  </si>
  <si>
    <t>NEW YEARS Izard</t>
  </si>
  <si>
    <t>NEW YEARS CALL Dec 27 - Jan 2  Izard</t>
  </si>
  <si>
    <t>Year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</si>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</sst>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d"/>
  </numFmts>
  <fonts count="44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</font>
    <font>
      <sz val="11"/>
      <name val="Century Gothic"/>
      <family val="2"/>
      <scheme val="minor"/>
    </font>
    <font>
      <sz val="11"/>
      <color theme="1" tint="0.249977111117893"/>
      <name val="Arial"/>
      <family val="2"/>
    </font>
    <font>
      <sz val="11"/>
      <color theme="1" tint="0.249977111117893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0"/>
      <color theme="1" tint="0.249977111117893"/>
      <name val="Century Gothic"/>
      <family val="2"/>
      <scheme val="minor"/>
    </font>
    <font>
      <b/>
      <sz val="9"/>
      <color indexed="81"/>
      <name val="Geneva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b/>
      <sz val="11"/>
      <name val="Arial"/>
    </font>
    <font>
      <b/>
      <sz val="14"/>
      <name val="Century Gothic"/>
      <scheme val="minor"/>
    </font>
    <font>
      <sz val="10"/>
      <name val="Century Gothic"/>
      <scheme val="minor"/>
    </font>
    <font>
      <sz val="24"/>
      <name val="Century Gothic"/>
      <scheme val="minor"/>
    </font>
    <font>
      <sz val="10"/>
      <color rgb="FF000080"/>
      <name val="Arial"/>
    </font>
    <font>
      <b/>
      <sz val="10"/>
      <color rgb="FF000080"/>
      <name val="Arial"/>
    </font>
    <font>
      <b/>
      <sz val="12"/>
      <color rgb="FF000080"/>
      <name val="Arial"/>
    </font>
    <font>
      <b/>
      <sz val="16"/>
      <name val="Calibri"/>
    </font>
    <font>
      <sz val="16"/>
      <name val="Calibri"/>
    </font>
    <font>
      <sz val="12"/>
      <name val="Arial Black"/>
    </font>
    <font>
      <sz val="12"/>
      <color rgb="FF000090"/>
      <name val="Arial Black"/>
    </font>
    <font>
      <b/>
      <sz val="14"/>
      <color rgb="FF000000"/>
      <name val="Century Gothic"/>
      <family val="2"/>
      <scheme val="minor"/>
    </font>
    <font>
      <b/>
      <sz val="18"/>
      <color rgb="FF000000"/>
      <name val="Century Gothic"/>
      <scheme val="minor"/>
    </font>
    <font>
      <sz val="11"/>
      <color rgb="FF000000"/>
      <name val="Century Gothic"/>
      <scheme val="minor"/>
    </font>
    <font>
      <b/>
      <sz val="16"/>
      <color rgb="FFFFFFFF"/>
      <name val="Century Gothic"/>
      <family val="2"/>
      <scheme val="minor"/>
    </font>
    <font>
      <b/>
      <sz val="16"/>
      <color rgb="FF000000"/>
      <name val="Century Gothic"/>
      <family val="2"/>
      <scheme val="minor"/>
    </font>
    <font>
      <b/>
      <sz val="15"/>
      <color rgb="FF000000"/>
      <name val="Century Gothic"/>
      <family val="2"/>
      <scheme val="minor"/>
    </font>
    <font>
      <b/>
      <sz val="16"/>
      <color rgb="FF000000"/>
      <name val="Century Gothic"/>
      <scheme val="minor"/>
    </font>
    <font>
      <b/>
      <sz val="16"/>
      <name val="Century Gothic"/>
      <scheme val="minor"/>
    </font>
    <font>
      <b/>
      <sz val="16"/>
      <color rgb="FFFFFFFF"/>
      <name val="Century Gothic"/>
      <scheme val="minor"/>
    </font>
    <font>
      <b/>
      <sz val="13"/>
      <color rgb="FF000000"/>
      <name val="Century Gothic"/>
      <family val="2"/>
      <scheme val="minor"/>
    </font>
    <font>
      <b/>
      <sz val="14"/>
      <color rgb="FF000000"/>
      <name val="Century Gothic"/>
      <scheme val="minor"/>
    </font>
    <font>
      <b/>
      <sz val="18"/>
      <color rgb="FF000000"/>
      <name val="Century Gothic"/>
      <family val="2"/>
      <scheme val="minor"/>
    </font>
    <font>
      <b/>
      <sz val="13"/>
      <color rgb="FFFFFFFF"/>
      <name val="Century Gothic"/>
      <scheme val="minor"/>
    </font>
    <font>
      <b/>
      <sz val="20"/>
      <color rgb="FF000000"/>
      <name val="Century Gothic"/>
      <family val="2"/>
      <scheme val="minor"/>
    </font>
    <font>
      <b/>
      <sz val="16"/>
      <color theme="1" tint="0.249977111117893"/>
      <name val="Century Gothic"/>
      <family val="2"/>
      <scheme val="minor"/>
    </font>
    <font>
      <b/>
      <sz val="18"/>
      <color rgb="FFFFFFFF"/>
      <name val="Century Gothic"/>
      <family val="2"/>
      <scheme val="minor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D9D9"/>
        <bgColor indexed="64"/>
      </patternFill>
    </fill>
  </fills>
  <borders count="36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/>
      <bottom style="thin">
        <color indexed="0"/>
      </bottom>
      <diagonal/>
    </border>
    <border>
      <left style="thin">
        <color rgb="FFBEC7C1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rgb="FFBEC7C1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</borders>
  <cellStyleXfs count="124">
    <xf numFmtId="0" fontId="0" fillId="0" borderId="0"/>
    <xf numFmtId="0" fontId="9" fillId="0" borderId="0" applyNumberFormat="0" applyFill="0" applyAlignment="0" applyProtection="0"/>
    <xf numFmtId="0" fontId="2" fillId="3" borderId="1" applyNumberFormat="0" applyAlignment="0" applyProtection="0"/>
    <xf numFmtId="0" fontId="11" fillId="4" borderId="0" applyNumberFormat="0" applyBorder="0" applyAlignment="0" applyProtection="0"/>
    <xf numFmtId="0" fontId="10" fillId="5" borderId="3" applyNumberForma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84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4" fillId="0" borderId="0" xfId="0" applyFont="1"/>
    <xf numFmtId="165" fontId="8" fillId="0" borderId="1" xfId="0" applyNumberFormat="1" applyFont="1" applyFill="1" applyBorder="1" applyAlignment="1">
      <alignment horizontal="left" vertical="center" wrapText="1" indent="1"/>
    </xf>
    <xf numFmtId="165" fontId="8" fillId="2" borderId="1" xfId="0" applyNumberFormat="1" applyFont="1" applyFill="1" applyBorder="1" applyAlignment="1">
      <alignment horizontal="left" vertical="center" wrapText="1" indent="1"/>
    </xf>
    <xf numFmtId="0" fontId="11" fillId="4" borderId="4" xfId="3" applyBorder="1" applyAlignment="1">
      <alignment horizontal="right" vertical="center" wrapText="1"/>
    </xf>
    <xf numFmtId="0" fontId="11" fillId="4" borderId="5" xfId="3" applyBorder="1" applyAlignment="1">
      <alignment vertical="center"/>
    </xf>
    <xf numFmtId="165" fontId="7" fillId="0" borderId="6" xfId="0" applyNumberFormat="1" applyFont="1" applyBorder="1" applyAlignment="1">
      <alignment horizontal="left" vertical="center" indent="1"/>
    </xf>
    <xf numFmtId="165" fontId="8" fillId="0" borderId="7" xfId="0" applyNumberFormat="1" applyFont="1" applyFill="1" applyBorder="1" applyAlignment="1">
      <alignment horizontal="left" vertical="center" wrapText="1" indent="1"/>
    </xf>
    <xf numFmtId="165" fontId="8" fillId="0" borderId="6" xfId="0" applyNumberFormat="1" applyFont="1" applyFill="1" applyBorder="1" applyAlignment="1">
      <alignment horizontal="left" vertical="center" wrapText="1" indent="1"/>
    </xf>
    <xf numFmtId="165" fontId="8" fillId="2" borderId="6" xfId="0" applyNumberFormat="1" applyFont="1" applyFill="1" applyBorder="1" applyAlignment="1">
      <alignment horizontal="left" vertical="center" wrapText="1" indent="1"/>
    </xf>
    <xf numFmtId="165" fontId="8" fillId="2" borderId="7" xfId="0" applyNumberFormat="1" applyFont="1" applyFill="1" applyBorder="1" applyAlignment="1">
      <alignment horizontal="left" vertical="center" wrapText="1" indent="1"/>
    </xf>
    <xf numFmtId="0" fontId="2" fillId="3" borderId="11" xfId="2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6" fillId="0" borderId="0" xfId="0" applyFont="1" applyFill="1"/>
    <xf numFmtId="165" fontId="8" fillId="2" borderId="2" xfId="0" applyNumberFormat="1" applyFont="1" applyFill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165" fontId="8" fillId="2" borderId="17" xfId="0" applyNumberFormat="1" applyFont="1" applyFill="1" applyBorder="1" applyAlignment="1">
      <alignment horizontal="left" vertical="center" wrapText="1" indent="1"/>
    </xf>
    <xf numFmtId="0" fontId="12" fillId="4" borderId="6" xfId="3" applyFont="1" applyBorder="1" applyAlignment="1">
      <alignment horizontal="left" vertical="center" wrapText="1" indent="1"/>
    </xf>
    <xf numFmtId="0" fontId="12" fillId="4" borderId="9" xfId="3" applyFont="1" applyBorder="1" applyAlignment="1">
      <alignment horizontal="left" vertical="center" wrapText="1" indent="1"/>
    </xf>
    <xf numFmtId="0" fontId="16" fillId="0" borderId="0" xfId="0" applyFont="1"/>
    <xf numFmtId="0" fontId="21" fillId="0" borderId="2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2" fillId="0" borderId="28" xfId="0" applyFont="1" applyBorder="1" applyAlignment="1">
      <alignment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0" fillId="0" borderId="29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5" fontId="8" fillId="0" borderId="30" xfId="0" applyNumberFormat="1" applyFont="1" applyFill="1" applyBorder="1" applyAlignment="1">
      <alignment horizontal="left" vertical="center" wrapText="1" indent="1"/>
    </xf>
    <xf numFmtId="165" fontId="8" fillId="0" borderId="2" xfId="0" applyNumberFormat="1" applyFont="1" applyFill="1" applyBorder="1" applyAlignment="1">
      <alignment horizontal="left" vertical="center" wrapText="1" indent="1"/>
    </xf>
    <xf numFmtId="0" fontId="16" fillId="0" borderId="31" xfId="0" applyFont="1" applyBorder="1"/>
    <xf numFmtId="0" fontId="10" fillId="7" borderId="1" xfId="0" applyFont="1" applyFill="1" applyBorder="1" applyAlignment="1">
      <alignment horizontal="left" vertical="center" wrapText="1" indent="1"/>
    </xf>
    <xf numFmtId="0" fontId="0" fillId="0" borderId="0" xfId="0" applyFont="1" applyFill="1"/>
    <xf numFmtId="0" fontId="29" fillId="0" borderId="22" xfId="3" applyFont="1" applyFill="1" applyBorder="1" applyAlignment="1">
      <alignment horizontal="left" vertical="center" wrapText="1"/>
    </xf>
    <xf numFmtId="0" fontId="29" fillId="0" borderId="23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left" vertical="center" wrapText="1" indent="1"/>
    </xf>
    <xf numFmtId="0" fontId="31" fillId="11" borderId="1" xfId="0" applyFont="1" applyFill="1" applyBorder="1" applyAlignment="1">
      <alignment horizontal="left" vertical="center" wrapText="1" indent="1"/>
    </xf>
    <xf numFmtId="0" fontId="31" fillId="6" borderId="1" xfId="0" applyFont="1" applyFill="1" applyBorder="1" applyAlignment="1">
      <alignment horizontal="left" vertical="center" wrapText="1" indent="1"/>
    </xf>
    <xf numFmtId="0" fontId="31" fillId="7" borderId="1" xfId="0" applyFont="1" applyFill="1" applyBorder="1" applyAlignment="1">
      <alignment horizontal="left" vertical="center" wrapText="1" indent="1"/>
    </xf>
    <xf numFmtId="0" fontId="30" fillId="8" borderId="1" xfId="0" applyFont="1" applyFill="1" applyBorder="1" applyAlignment="1">
      <alignment horizontal="left" vertical="center" wrapText="1" indent="1"/>
    </xf>
    <xf numFmtId="0" fontId="31" fillId="9" borderId="1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center"/>
    </xf>
    <xf numFmtId="0" fontId="0" fillId="0" borderId="0" xfId="0" applyFont="1"/>
    <xf numFmtId="0" fontId="2" fillId="3" borderId="0" xfId="2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left" vertical="center" wrapText="1" indent="1"/>
    </xf>
    <xf numFmtId="0" fontId="38" fillId="12" borderId="0" xfId="0" applyFont="1" applyFill="1" applyBorder="1" applyAlignment="1">
      <alignment horizontal="left" vertical="center" wrapText="1" indent="1"/>
    </xf>
    <xf numFmtId="0" fontId="12" fillId="12" borderId="0" xfId="3" applyFont="1" applyFill="1" applyBorder="1" applyAlignment="1">
      <alignment horizontal="left" vertical="center" wrapText="1" indent="1"/>
    </xf>
    <xf numFmtId="165" fontId="8" fillId="2" borderId="0" xfId="0" applyNumberFormat="1" applyFont="1" applyFill="1" applyBorder="1" applyAlignment="1">
      <alignment horizontal="left" vertical="center" wrapText="1" indent="1"/>
    </xf>
    <xf numFmtId="0" fontId="31" fillId="12" borderId="0" xfId="0" applyFont="1" applyFill="1" applyBorder="1" applyAlignment="1">
      <alignment horizontal="left" vertical="center" wrapText="1" indent="1"/>
    </xf>
    <xf numFmtId="165" fontId="2" fillId="3" borderId="0" xfId="2" applyNumberFormat="1" applyBorder="1" applyAlignment="1">
      <alignment horizontal="left" vertical="center" wrapText="1"/>
    </xf>
    <xf numFmtId="0" fontId="3" fillId="3" borderId="0" xfId="2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left" vertical="center" wrapText="1" indent="1"/>
    </xf>
    <xf numFmtId="0" fontId="38" fillId="13" borderId="1" xfId="0" applyFont="1" applyFill="1" applyBorder="1" applyAlignment="1">
      <alignment horizontal="left" vertical="center" wrapText="1" indent="1"/>
    </xf>
    <xf numFmtId="0" fontId="17" fillId="13" borderId="1" xfId="0" applyFont="1" applyFill="1" applyBorder="1" applyAlignment="1">
      <alignment horizontal="left" vertical="center" wrapText="1" indent="1"/>
    </xf>
    <xf numFmtId="0" fontId="27" fillId="9" borderId="7" xfId="3" applyFont="1" applyFill="1" applyBorder="1" applyAlignment="1">
      <alignment horizontal="left" vertical="center" wrapText="1" indent="1"/>
    </xf>
    <xf numFmtId="0" fontId="36" fillId="13" borderId="1" xfId="0" applyFont="1" applyFill="1" applyBorder="1" applyAlignment="1">
      <alignment horizontal="left" vertical="center" wrapText="1" indent="1"/>
    </xf>
    <xf numFmtId="0" fontId="35" fillId="12" borderId="1" xfId="0" applyFont="1" applyFill="1" applyBorder="1" applyAlignment="1">
      <alignment horizontal="left" vertical="center" wrapText="1" indent="1"/>
    </xf>
    <xf numFmtId="0" fontId="31" fillId="8" borderId="1" xfId="0" applyFont="1" applyFill="1" applyBorder="1" applyAlignment="1">
      <alignment horizontal="left" vertical="center" wrapText="1" indent="1"/>
    </xf>
    <xf numFmtId="0" fontId="31" fillId="10" borderId="7" xfId="3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27" fillId="10" borderId="7" xfId="3" applyFont="1" applyFill="1" applyBorder="1" applyAlignment="1">
      <alignment horizontal="left" vertical="center" wrapText="1" indent="1"/>
    </xf>
    <xf numFmtId="0" fontId="12" fillId="14" borderId="7" xfId="3" applyFont="1" applyFill="1" applyBorder="1" applyAlignment="1">
      <alignment horizontal="left" vertical="center" wrapText="1" indent="1"/>
    </xf>
    <xf numFmtId="0" fontId="12" fillId="15" borderId="1" xfId="0" applyFont="1" applyFill="1" applyBorder="1" applyAlignment="1">
      <alignment horizontal="left" vertical="center" wrapText="1" indent="1"/>
    </xf>
    <xf numFmtId="0" fontId="17" fillId="15" borderId="25" xfId="0" applyFont="1" applyFill="1" applyBorder="1" applyAlignment="1">
      <alignment horizontal="left" vertical="center" wrapText="1" indent="1"/>
    </xf>
    <xf numFmtId="0" fontId="12" fillId="15" borderId="7" xfId="3" applyFont="1" applyFill="1" applyBorder="1" applyAlignment="1">
      <alignment horizontal="left" vertical="center" wrapText="1" indent="1"/>
    </xf>
    <xf numFmtId="0" fontId="12" fillId="15" borderId="6" xfId="3" applyFont="1" applyFill="1" applyBorder="1" applyAlignment="1">
      <alignment horizontal="left" vertical="center" wrapText="1" indent="1"/>
    </xf>
    <xf numFmtId="0" fontId="8" fillId="15" borderId="10" xfId="0" applyFont="1" applyFill="1" applyBorder="1" applyAlignment="1">
      <alignment horizontal="left" vertical="center" wrapText="1" indent="1"/>
    </xf>
    <xf numFmtId="0" fontId="31" fillId="15" borderId="1" xfId="0" applyFont="1" applyFill="1" applyBorder="1" applyAlignment="1">
      <alignment horizontal="left" vertical="center" wrapText="1" indent="1"/>
    </xf>
    <xf numFmtId="0" fontId="27" fillId="15" borderId="1" xfId="0" applyFont="1" applyFill="1" applyBorder="1" applyAlignment="1">
      <alignment horizontal="left" vertical="center" wrapText="1" indent="1"/>
    </xf>
    <xf numFmtId="0" fontId="12" fillId="15" borderId="9" xfId="3" applyFont="1" applyFill="1" applyBorder="1" applyAlignment="1">
      <alignment horizontal="left" vertical="center" wrapText="1" indent="1"/>
    </xf>
    <xf numFmtId="0" fontId="32" fillId="15" borderId="7" xfId="3" applyFont="1" applyFill="1" applyBorder="1" applyAlignment="1">
      <alignment horizontal="left" vertical="center" wrapText="1" indent="1"/>
    </xf>
    <xf numFmtId="0" fontId="18" fillId="15" borderId="1" xfId="0" applyFont="1" applyFill="1" applyBorder="1" applyAlignment="1">
      <alignment horizontal="left" vertical="center" wrapText="1" indent="1"/>
    </xf>
    <xf numFmtId="0" fontId="33" fillId="6" borderId="1" xfId="0" applyFont="1" applyFill="1" applyBorder="1" applyAlignment="1">
      <alignment horizontal="left" vertical="center" wrapText="1" indent="1"/>
    </xf>
    <xf numFmtId="0" fontId="12" fillId="6" borderId="6" xfId="3" applyFont="1" applyFill="1" applyBorder="1" applyAlignment="1">
      <alignment horizontal="left" vertical="center" wrapText="1" indent="1"/>
    </xf>
    <xf numFmtId="0" fontId="30" fillId="15" borderId="1" xfId="0" applyFont="1" applyFill="1" applyBorder="1" applyAlignment="1">
      <alignment horizontal="left" vertical="center" wrapText="1" indent="1"/>
    </xf>
    <xf numFmtId="0" fontId="39" fillId="8" borderId="1" xfId="0" applyFont="1" applyFill="1" applyBorder="1" applyAlignment="1">
      <alignment horizontal="left" vertical="center" wrapText="1" indent="1"/>
    </xf>
    <xf numFmtId="0" fontId="27" fillId="8" borderId="1" xfId="0" applyFont="1" applyFill="1" applyBorder="1" applyAlignment="1">
      <alignment horizontal="left" vertical="center" wrapText="1" indent="1"/>
    </xf>
    <xf numFmtId="0" fontId="10" fillId="15" borderId="1" xfId="0" applyFont="1" applyFill="1" applyBorder="1" applyAlignment="1">
      <alignment horizontal="left" vertical="center" wrapText="1" indent="1"/>
    </xf>
    <xf numFmtId="0" fontId="19" fillId="12" borderId="24" xfId="0" applyFont="1" applyFill="1" applyBorder="1" applyAlignment="1">
      <alignment horizontal="center" vertical="center" wrapText="1"/>
    </xf>
    <xf numFmtId="0" fontId="19" fillId="15" borderId="24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left" vertical="center" wrapText="1" indent="1"/>
    </xf>
    <xf numFmtId="0" fontId="27" fillId="13" borderId="1" xfId="0" applyFont="1" applyFill="1" applyBorder="1" applyAlignment="1">
      <alignment horizontal="left" vertical="center" wrapText="1" indent="1"/>
    </xf>
    <xf numFmtId="0" fontId="38" fillId="10" borderId="1" xfId="0" applyFont="1" applyFill="1" applyBorder="1" applyAlignment="1">
      <alignment horizontal="left" vertical="center" wrapText="1" indent="1"/>
    </xf>
    <xf numFmtId="0" fontId="43" fillId="0" borderId="0" xfId="0" applyFont="1"/>
    <xf numFmtId="0" fontId="12" fillId="16" borderId="6" xfId="3" applyFont="1" applyFill="1" applyBorder="1" applyAlignment="1">
      <alignment horizontal="left" vertical="center" wrapText="1" indent="1"/>
    </xf>
    <xf numFmtId="0" fontId="42" fillId="8" borderId="1" xfId="0" applyFont="1" applyFill="1" applyBorder="1" applyAlignment="1">
      <alignment horizontal="left" vertical="center" wrapText="1" indent="1"/>
    </xf>
    <xf numFmtId="0" fontId="38" fillId="8" borderId="1" xfId="0" applyFont="1" applyFill="1" applyBorder="1" applyAlignment="1">
      <alignment horizontal="left" vertical="center" wrapText="1" indent="1"/>
    </xf>
    <xf numFmtId="0" fontId="38" fillId="6" borderId="1" xfId="0" applyFont="1" applyFill="1" applyBorder="1" applyAlignment="1">
      <alignment horizontal="left" vertical="center" wrapText="1" indent="1"/>
    </xf>
    <xf numFmtId="0" fontId="38" fillId="7" borderId="6" xfId="3" applyFont="1" applyFill="1" applyBorder="1" applyAlignment="1">
      <alignment horizontal="center" vertical="center" wrapText="1"/>
    </xf>
    <xf numFmtId="0" fontId="42" fillId="7" borderId="6" xfId="3" applyFont="1" applyFill="1" applyBorder="1" applyAlignment="1">
      <alignment horizontal="center" vertical="center" wrapText="1"/>
    </xf>
    <xf numFmtId="0" fontId="38" fillId="9" borderId="6" xfId="3" applyFont="1" applyFill="1" applyBorder="1" applyAlignment="1">
      <alignment horizontal="center" vertical="center" wrapText="1"/>
    </xf>
    <xf numFmtId="0" fontId="42" fillId="9" borderId="6" xfId="3" applyFont="1" applyFill="1" applyBorder="1" applyAlignment="1">
      <alignment horizontal="center" vertical="center" wrapText="1"/>
    </xf>
    <xf numFmtId="0" fontId="38" fillId="11" borderId="1" xfId="0" applyFont="1" applyFill="1" applyBorder="1" applyAlignment="1">
      <alignment horizontal="left" vertical="center" wrapText="1" indent="1"/>
    </xf>
    <xf numFmtId="0" fontId="12" fillId="13" borderId="6" xfId="3" applyFont="1" applyFill="1" applyBorder="1" applyAlignment="1">
      <alignment horizontal="left" vertical="center" wrapText="1" indent="1"/>
    </xf>
    <xf numFmtId="0" fontId="12" fillId="7" borderId="6" xfId="3" applyFont="1" applyFill="1" applyBorder="1" applyAlignment="1">
      <alignment horizontal="left" vertical="center" wrapText="1" indent="1"/>
    </xf>
    <xf numFmtId="0" fontId="12" fillId="13" borderId="7" xfId="3" applyFont="1" applyFill="1" applyBorder="1" applyAlignment="1">
      <alignment horizontal="left" vertical="center" wrapText="1" indent="1"/>
    </xf>
    <xf numFmtId="0" fontId="12" fillId="8" borderId="6" xfId="3" applyFont="1" applyFill="1" applyBorder="1" applyAlignment="1">
      <alignment horizontal="left" vertical="center" wrapText="1" indent="1"/>
    </xf>
    <xf numFmtId="0" fontId="41" fillId="10" borderId="6" xfId="3" applyFont="1" applyFill="1" applyBorder="1" applyAlignment="1">
      <alignment horizontal="left" vertical="center" wrapText="1" indent="1"/>
    </xf>
    <xf numFmtId="0" fontId="10" fillId="11" borderId="1" xfId="0" applyFont="1" applyFill="1" applyBorder="1" applyAlignment="1">
      <alignment horizontal="left" vertical="center" wrapText="1" indent="1"/>
    </xf>
    <xf numFmtId="0" fontId="4" fillId="7" borderId="0" xfId="0" applyFont="1" applyFill="1"/>
    <xf numFmtId="0" fontId="38" fillId="13" borderId="6" xfId="3" applyFont="1" applyFill="1" applyBorder="1" applyAlignment="1">
      <alignment horizontal="left" vertical="center" wrapText="1" indent="1"/>
    </xf>
    <xf numFmtId="0" fontId="38" fillId="9" borderId="7" xfId="123" applyFont="1" applyFill="1" applyBorder="1" applyAlignment="1">
      <alignment horizontal="left" vertical="center" wrapText="1" indent="1"/>
    </xf>
    <xf numFmtId="0" fontId="4" fillId="6" borderId="0" xfId="0" applyFont="1" applyFill="1"/>
    <xf numFmtId="0" fontId="27" fillId="11" borderId="7" xfId="3" applyFont="1" applyFill="1" applyBorder="1" applyAlignment="1">
      <alignment horizontal="left" vertical="center" wrapText="1" indent="1"/>
    </xf>
    <xf numFmtId="0" fontId="10" fillId="9" borderId="1" xfId="0" applyFont="1" applyFill="1" applyBorder="1" applyAlignment="1">
      <alignment horizontal="left" vertical="center" wrapText="1" indent="1"/>
    </xf>
    <xf numFmtId="0" fontId="35" fillId="10" borderId="1" xfId="0" applyFont="1" applyFill="1" applyBorder="1" applyAlignment="1">
      <alignment horizontal="left" vertical="center" wrapText="1" indent="1"/>
    </xf>
    <xf numFmtId="0" fontId="35" fillId="13" borderId="1" xfId="0" applyFont="1" applyFill="1" applyBorder="1" applyAlignment="1">
      <alignment horizontal="left" vertical="center" wrapText="1" indent="1"/>
    </xf>
    <xf numFmtId="0" fontId="35" fillId="6" borderId="1" xfId="0" applyFont="1" applyFill="1" applyBorder="1" applyAlignment="1">
      <alignment horizontal="left" vertical="center" wrapText="1" indent="1"/>
    </xf>
    <xf numFmtId="0" fontId="35" fillId="7" borderId="1" xfId="0" applyFont="1" applyFill="1" applyBorder="1" applyAlignment="1">
      <alignment horizontal="left" vertical="center" wrapText="1" indent="1"/>
    </xf>
    <xf numFmtId="0" fontId="10" fillId="8" borderId="1" xfId="0" applyFont="1" applyFill="1" applyBorder="1" applyAlignment="1">
      <alignment horizontal="left" vertical="center" wrapText="1" indent="1"/>
    </xf>
    <xf numFmtId="0" fontId="12" fillId="7" borderId="1" xfId="0" applyFont="1" applyFill="1" applyBorder="1" applyAlignment="1">
      <alignment horizontal="left" vertical="center" wrapText="1" indent="1"/>
    </xf>
    <xf numFmtId="0" fontId="10" fillId="13" borderId="1" xfId="0" applyFont="1" applyFill="1" applyBorder="1" applyAlignment="1">
      <alignment horizontal="left" vertical="center" wrapText="1" indent="1"/>
    </xf>
    <xf numFmtId="0" fontId="30" fillId="13" borderId="1" xfId="0" applyFont="1" applyFill="1" applyBorder="1" applyAlignment="1">
      <alignment horizontal="left" vertical="center" wrapText="1" indent="1"/>
    </xf>
    <xf numFmtId="0" fontId="30" fillId="10" borderId="1" xfId="0" applyFont="1" applyFill="1" applyBorder="1" applyAlignment="1">
      <alignment horizontal="left" vertical="center" wrapText="1" indent="1"/>
    </xf>
    <xf numFmtId="0" fontId="30" fillId="11" borderId="1" xfId="0" applyFont="1" applyFill="1" applyBorder="1" applyAlignment="1">
      <alignment horizontal="left" vertical="center" wrapText="1" indent="1"/>
    </xf>
    <xf numFmtId="0" fontId="30" fillId="6" borderId="1" xfId="0" applyFont="1" applyFill="1" applyBorder="1" applyAlignment="1">
      <alignment horizontal="left" vertical="center" wrapText="1" indent="1"/>
    </xf>
    <xf numFmtId="0" fontId="30" fillId="7" borderId="1" xfId="0" applyFont="1" applyFill="1" applyBorder="1" applyAlignment="1">
      <alignment horizontal="left" vertical="center" wrapText="1" indent="1"/>
    </xf>
    <xf numFmtId="0" fontId="10" fillId="6" borderId="1" xfId="0" applyFont="1" applyFill="1" applyBorder="1" applyAlignment="1">
      <alignment horizontal="left" vertical="center" wrapText="1" indent="1"/>
    </xf>
    <xf numFmtId="0" fontId="10" fillId="10" borderId="1" xfId="0" applyFont="1" applyFill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2" fillId="13" borderId="1" xfId="0" applyFont="1" applyFill="1" applyBorder="1" applyAlignment="1">
      <alignment horizontal="left" vertical="center" wrapText="1" indent="1"/>
    </xf>
    <xf numFmtId="0" fontId="28" fillId="9" borderId="22" xfId="3" applyFont="1" applyFill="1" applyBorder="1" applyAlignment="1">
      <alignment horizontal="center" vertical="center" wrapText="1"/>
    </xf>
    <xf numFmtId="0" fontId="31" fillId="11" borderId="1" xfId="0" applyFont="1" applyFill="1" applyBorder="1" applyAlignment="1">
      <alignment horizontal="center" vertical="center" wrapText="1"/>
    </xf>
    <xf numFmtId="0" fontId="27" fillId="7" borderId="6" xfId="3" applyFont="1" applyFill="1" applyBorder="1" applyAlignment="1">
      <alignment horizontal="left" vertical="center" wrapText="1" indent="1"/>
    </xf>
    <xf numFmtId="0" fontId="27" fillId="13" borderId="6" xfId="3" applyFont="1" applyFill="1" applyBorder="1" applyAlignment="1">
      <alignment horizontal="left" vertical="center" wrapText="1" indent="1"/>
    </xf>
    <xf numFmtId="164" fontId="9" fillId="2" borderId="0" xfId="1" applyNumberFormat="1" applyFill="1" applyAlignment="1">
      <alignment horizontal="center" vertical="center"/>
    </xf>
    <xf numFmtId="0" fontId="3" fillId="3" borderId="18" xfId="2" applyFont="1" applyBorder="1" applyAlignment="1">
      <alignment horizontal="left" vertical="center" wrapText="1"/>
    </xf>
    <xf numFmtId="0" fontId="3" fillId="3" borderId="19" xfId="2" applyFont="1" applyBorder="1" applyAlignment="1">
      <alignment horizontal="left" vertical="center" wrapText="1"/>
    </xf>
    <xf numFmtId="0" fontId="3" fillId="3" borderId="20" xfId="2" applyFont="1" applyBorder="1" applyAlignment="1">
      <alignment horizontal="left" vertical="center" wrapText="1"/>
    </xf>
    <xf numFmtId="165" fontId="2" fillId="3" borderId="2" xfId="2" applyNumberFormat="1" applyBorder="1" applyAlignment="1">
      <alignment horizontal="left" vertical="center" wrapText="1"/>
    </xf>
    <xf numFmtId="165" fontId="2" fillId="3" borderId="8" xfId="2" applyNumberFormat="1" applyBorder="1" applyAlignment="1">
      <alignment horizontal="left" vertical="center" wrapText="1"/>
    </xf>
    <xf numFmtId="0" fontId="36" fillId="9" borderId="1" xfId="0" applyFont="1" applyFill="1" applyBorder="1" applyAlignment="1">
      <alignment horizontal="left" vertical="center" wrapText="1" indent="1"/>
    </xf>
    <xf numFmtId="164" fontId="9" fillId="2" borderId="0" xfId="1" applyNumberFormat="1" applyFill="1" applyAlignment="1">
      <alignment horizontal="center" vertical="center"/>
    </xf>
    <xf numFmtId="0" fontId="3" fillId="3" borderId="18" xfId="2" applyFont="1" applyBorder="1" applyAlignment="1">
      <alignment horizontal="left" vertical="center" wrapText="1"/>
    </xf>
    <xf numFmtId="0" fontId="3" fillId="3" borderId="19" xfId="2" applyFont="1" applyBorder="1" applyAlignment="1">
      <alignment horizontal="left" vertical="center" wrapText="1"/>
    </xf>
    <xf numFmtId="0" fontId="3" fillId="3" borderId="20" xfId="2" applyFont="1" applyBorder="1" applyAlignment="1">
      <alignment horizontal="left" vertical="center" wrapText="1"/>
    </xf>
    <xf numFmtId="165" fontId="2" fillId="3" borderId="2" xfId="2" applyNumberFormat="1" applyBorder="1" applyAlignment="1">
      <alignment horizontal="left" vertical="center" wrapText="1"/>
    </xf>
    <xf numFmtId="165" fontId="2" fillId="3" borderId="8" xfId="2" applyNumberFormat="1" applyBorder="1" applyAlignment="1">
      <alignment horizontal="left" vertical="center" wrapText="1"/>
    </xf>
    <xf numFmtId="0" fontId="38" fillId="13" borderId="22" xfId="3" applyFont="1" applyFill="1" applyBorder="1" applyAlignment="1">
      <alignment horizontal="center" vertical="center" wrapText="1"/>
    </xf>
    <xf numFmtId="0" fontId="38" fillId="13" borderId="24" xfId="3" applyFont="1" applyFill="1" applyBorder="1" applyAlignment="1">
      <alignment horizontal="center" vertical="center" wrapText="1"/>
    </xf>
    <xf numFmtId="0" fontId="3" fillId="3" borderId="21" xfId="2" applyFont="1" applyBorder="1" applyAlignment="1">
      <alignment horizontal="left" vertical="center" wrapText="1"/>
    </xf>
    <xf numFmtId="165" fontId="2" fillId="3" borderId="6" xfId="2" applyNumberFormat="1" applyFont="1" applyBorder="1" applyAlignment="1">
      <alignment horizontal="left" vertical="center" wrapText="1"/>
    </xf>
    <xf numFmtId="165" fontId="2" fillId="3" borderId="1" xfId="2" applyNumberFormat="1" applyFont="1" applyBorder="1" applyAlignment="1">
      <alignment horizontal="left" vertical="center" wrapText="1"/>
    </xf>
    <xf numFmtId="165" fontId="2" fillId="3" borderId="7" xfId="2" applyNumberFormat="1" applyFont="1" applyBorder="1" applyAlignment="1">
      <alignment horizontal="left" vertical="center" wrapText="1"/>
    </xf>
    <xf numFmtId="0" fontId="31" fillId="9" borderId="25" xfId="0" applyFont="1" applyFill="1" applyBorder="1" applyAlignment="1">
      <alignment horizontal="left" vertical="center" wrapText="1" indent="1"/>
    </xf>
    <xf numFmtId="0" fontId="31" fillId="9" borderId="35" xfId="0" applyFont="1" applyFill="1" applyBorder="1" applyAlignment="1">
      <alignment horizontal="left" vertical="center" wrapText="1" indent="1"/>
    </xf>
    <xf numFmtId="0" fontId="33" fillId="13" borderId="23" xfId="0" applyFont="1" applyFill="1" applyBorder="1" applyAlignment="1">
      <alignment horizontal="center" vertical="center" wrapText="1"/>
    </xf>
    <xf numFmtId="0" fontId="31" fillId="11" borderId="25" xfId="0" applyFont="1" applyFill="1" applyBorder="1" applyAlignment="1">
      <alignment horizontal="center" vertical="center" wrapText="1"/>
    </xf>
    <xf numFmtId="0" fontId="31" fillId="11" borderId="24" xfId="0" applyFont="1" applyFill="1" applyBorder="1" applyAlignment="1">
      <alignment horizontal="center" vertical="center" wrapText="1"/>
    </xf>
    <xf numFmtId="0" fontId="31" fillId="9" borderId="25" xfId="0" applyFont="1" applyFill="1" applyBorder="1" applyAlignment="1">
      <alignment horizontal="center" vertical="center" wrapText="1"/>
    </xf>
    <xf numFmtId="0" fontId="31" fillId="9" borderId="24" xfId="0" applyFont="1" applyFill="1" applyBorder="1" applyAlignment="1">
      <alignment horizontal="center" vertical="center" wrapText="1"/>
    </xf>
    <xf numFmtId="0" fontId="31" fillId="11" borderId="25" xfId="0" applyFont="1" applyFill="1" applyBorder="1" applyAlignment="1">
      <alignment horizontal="center" vertical="center" wrapText="1" indent="1"/>
    </xf>
    <xf numFmtId="0" fontId="31" fillId="11" borderId="35" xfId="0" applyFont="1" applyFill="1" applyBorder="1" applyAlignment="1">
      <alignment horizontal="center" vertical="center" wrapText="1" indent="1"/>
    </xf>
    <xf numFmtId="0" fontId="31" fillId="10" borderId="25" xfId="0" applyFont="1" applyFill="1" applyBorder="1" applyAlignment="1">
      <alignment horizontal="left" vertical="center" wrapText="1" indent="1"/>
    </xf>
    <xf numFmtId="0" fontId="31" fillId="10" borderId="24" xfId="0" applyFont="1" applyFill="1" applyBorder="1" applyAlignment="1">
      <alignment horizontal="left" vertical="center" wrapText="1" indent="1"/>
    </xf>
    <xf numFmtId="0" fontId="31" fillId="10" borderId="25" xfId="0" applyFont="1" applyFill="1" applyBorder="1" applyAlignment="1">
      <alignment horizontal="center" vertical="center" wrapText="1" indent="1"/>
    </xf>
    <xf numFmtId="0" fontId="31" fillId="10" borderId="23" xfId="0" applyFont="1" applyFill="1" applyBorder="1" applyAlignment="1">
      <alignment horizontal="center" vertical="center" wrapText="1" indent="1"/>
    </xf>
    <xf numFmtId="0" fontId="31" fillId="10" borderId="24" xfId="0" applyFont="1" applyFill="1" applyBorder="1" applyAlignment="1">
      <alignment horizontal="center" vertical="center" wrapText="1" indent="1"/>
    </xf>
    <xf numFmtId="0" fontId="33" fillId="6" borderId="25" xfId="0" applyFont="1" applyFill="1" applyBorder="1" applyAlignment="1">
      <alignment horizontal="left" vertical="center" wrapText="1" indent="1"/>
    </xf>
    <xf numFmtId="0" fontId="33" fillId="6" borderId="24" xfId="0" applyFont="1" applyFill="1" applyBorder="1" applyAlignment="1">
      <alignment horizontal="left" vertical="center" wrapText="1" indent="1"/>
    </xf>
    <xf numFmtId="165" fontId="2" fillId="3" borderId="1" xfId="2" applyNumberFormat="1" applyBorder="1" applyAlignment="1">
      <alignment horizontal="left" vertical="center" wrapText="1"/>
    </xf>
    <xf numFmtId="165" fontId="2" fillId="3" borderId="7" xfId="2" applyNumberFormat="1" applyBorder="1" applyAlignment="1">
      <alignment horizontal="left" vertical="center" wrapText="1"/>
    </xf>
    <xf numFmtId="0" fontId="3" fillId="3" borderId="32" xfId="2" applyFont="1" applyBorder="1" applyAlignment="1">
      <alignment horizontal="left" vertical="center" wrapText="1"/>
    </xf>
    <xf numFmtId="0" fontId="34" fillId="11" borderId="33" xfId="0" applyFont="1" applyFill="1" applyBorder="1" applyAlignment="1">
      <alignment horizontal="center" vertical="center" wrapText="1"/>
    </xf>
    <xf numFmtId="0" fontId="40" fillId="7" borderId="25" xfId="0" applyFont="1" applyFill="1" applyBorder="1" applyAlignment="1">
      <alignment horizontal="center" vertical="center" wrapText="1" indent="1"/>
    </xf>
    <xf numFmtId="0" fontId="40" fillId="7" borderId="23" xfId="0" applyFont="1" applyFill="1" applyBorder="1" applyAlignment="1">
      <alignment horizontal="center" vertical="center" wrapText="1" indent="1"/>
    </xf>
    <xf numFmtId="0" fontId="27" fillId="7" borderId="25" xfId="0" applyFont="1" applyFill="1" applyBorder="1" applyAlignment="1">
      <alignment horizontal="left" vertical="center" wrapText="1" indent="1"/>
    </xf>
    <xf numFmtId="0" fontId="27" fillId="7" borderId="24" xfId="0" applyFont="1" applyFill="1" applyBorder="1" applyAlignment="1">
      <alignment horizontal="left" vertical="center" wrapText="1" indent="1"/>
    </xf>
    <xf numFmtId="0" fontId="37" fillId="11" borderId="23" xfId="0" applyFont="1" applyFill="1" applyBorder="1" applyAlignment="1">
      <alignment horizontal="center" vertical="center" wrapText="1" indent="1"/>
    </xf>
    <xf numFmtId="0" fontId="37" fillId="11" borderId="34" xfId="0" applyFont="1" applyFill="1" applyBorder="1" applyAlignment="1">
      <alignment horizontal="center" vertical="center" wrapText="1" indent="1"/>
    </xf>
  </cellXfs>
  <cellStyles count="124">
    <cellStyle name="40% - Accent1" xfId="3" builtinId="31" customBuiltin="1"/>
    <cellStyle name="Accent1" xfId="2" builtinId="29" customBuiltin="1"/>
    <cellStyle name="Accent5" xfId="4" builtinId="45" customBuiltin="1"/>
    <cellStyle name="Followed Hyperlink" xfId="52" builtinId="9" hidden="1"/>
    <cellStyle name="Followed Hyperlink" xfId="108" builtinId="9" hidden="1"/>
    <cellStyle name="Followed Hyperlink" xfId="62" builtinId="9" hidden="1"/>
    <cellStyle name="Followed Hyperlink" xfId="114" builtinId="9" hidden="1"/>
    <cellStyle name="Followed Hyperlink" xfId="116" builtinId="9" hidden="1"/>
    <cellStyle name="Followed Hyperlink" xfId="64" builtinId="9" hidden="1"/>
    <cellStyle name="Followed Hyperlink" xfId="44" builtinId="9" hidden="1"/>
    <cellStyle name="Followed Hyperlink" xfId="16" builtinId="9" hidden="1"/>
    <cellStyle name="Followed Hyperlink" xfId="60" builtinId="9" hidden="1"/>
    <cellStyle name="Followed Hyperlink" xfId="40" builtinId="9" hidden="1"/>
    <cellStyle name="Followed Hyperlink" xfId="58" builtinId="9" hidden="1"/>
    <cellStyle name="Followed Hyperlink" xfId="50" builtinId="9" hidden="1"/>
    <cellStyle name="Followed Hyperlink" xfId="112" builtinId="9" hidden="1"/>
    <cellStyle name="Followed Hyperlink" xfId="54" builtinId="9" hidden="1"/>
    <cellStyle name="Followed Hyperlink" xfId="66" builtinId="9" hidden="1"/>
    <cellStyle name="Followed Hyperlink" xfId="6" builtinId="9" hidden="1"/>
    <cellStyle name="Followed Hyperlink" xfId="12" builtinId="9" hidden="1"/>
    <cellStyle name="Followed Hyperlink" xfId="14" builtinId="9" hidden="1"/>
    <cellStyle name="Followed Hyperlink" xfId="46" builtinId="9" hidden="1"/>
    <cellStyle name="Followed Hyperlink" xfId="56" builtinId="9" hidden="1"/>
    <cellStyle name="Followed Hyperlink" xfId="38" builtinId="9" hidden="1"/>
    <cellStyle name="Followed Hyperlink" xfId="100" builtinId="9" hidden="1"/>
    <cellStyle name="Followed Hyperlink" xfId="42" builtinId="9" hidden="1"/>
    <cellStyle name="Followed Hyperlink" xfId="76" builtinId="9" hidden="1"/>
    <cellStyle name="Followed Hyperlink" xfId="119" builtinId="9" hidden="1"/>
    <cellStyle name="Followed Hyperlink" xfId="90" builtinId="9" hidden="1"/>
    <cellStyle name="Followed Hyperlink" xfId="22" builtinId="9" hidden="1"/>
    <cellStyle name="Followed Hyperlink" xfId="96" builtinId="9" hidden="1"/>
    <cellStyle name="Followed Hyperlink" xfId="26" builtinId="9" hidden="1"/>
    <cellStyle name="Followed Hyperlink" xfId="80" builtinId="9" hidden="1"/>
    <cellStyle name="Followed Hyperlink" xfId="121" builtinId="9" hidden="1"/>
    <cellStyle name="Followed Hyperlink" xfId="117" builtinId="9" hidden="1"/>
    <cellStyle name="Followed Hyperlink" xfId="104" builtinId="9" hidden="1"/>
    <cellStyle name="Followed Hyperlink" xfId="82" builtinId="9" hidden="1"/>
    <cellStyle name="Followed Hyperlink" xfId="68" builtinId="9" hidden="1"/>
    <cellStyle name="Followed Hyperlink" xfId="20" builtinId="9" hidden="1"/>
    <cellStyle name="Followed Hyperlink" xfId="8" builtinId="9" hidden="1"/>
    <cellStyle name="Followed Hyperlink" xfId="30" builtinId="9" hidden="1"/>
    <cellStyle name="Followed Hyperlink" xfId="48" builtinId="9" hidden="1"/>
    <cellStyle name="Followed Hyperlink" xfId="18" builtinId="9" hidden="1"/>
    <cellStyle name="Followed Hyperlink" xfId="102" builtinId="9" hidden="1"/>
    <cellStyle name="Followed Hyperlink" xfId="10" builtinId="9" hidden="1"/>
    <cellStyle name="Followed Hyperlink" xfId="34" builtinId="9" hidden="1"/>
    <cellStyle name="Followed Hyperlink" xfId="32" builtinId="9" hidden="1"/>
    <cellStyle name="Followed Hyperlink" xfId="110" builtinId="9" hidden="1"/>
    <cellStyle name="Followed Hyperlink" xfId="98" builtinId="9" hidden="1"/>
    <cellStyle name="Followed Hyperlink" xfId="74" builtinId="9" hidden="1"/>
    <cellStyle name="Followed Hyperlink" xfId="92" builtinId="9" hidden="1"/>
    <cellStyle name="Followed Hyperlink" xfId="94" builtinId="9" hidden="1"/>
    <cellStyle name="Followed Hyperlink" xfId="28" builtinId="9" hidden="1"/>
    <cellStyle name="Followed Hyperlink" xfId="88" builtinId="9" hidden="1"/>
    <cellStyle name="Followed Hyperlink" xfId="106" builtinId="9" hidden="1"/>
    <cellStyle name="Followed Hyperlink" xfId="84" builtinId="9" hidden="1"/>
    <cellStyle name="Followed Hyperlink" xfId="70" builtinId="9" hidden="1"/>
    <cellStyle name="Followed Hyperlink" xfId="72" builtinId="9" hidden="1"/>
    <cellStyle name="Followed Hyperlink" xfId="86" builtinId="9" hidden="1"/>
    <cellStyle name="Followed Hyperlink" xfId="36" builtinId="9" hidden="1"/>
    <cellStyle name="Followed Hyperlink" xfId="24" builtinId="9" hidden="1"/>
    <cellStyle name="Followed Hyperlink" xfId="78" builtinId="9" hidden="1"/>
    <cellStyle name="Heading 1" xfId="1" builtinId="16" customBuiltin="1"/>
    <cellStyle name="Hyperlink" xfId="43" builtinId="8" hidden="1"/>
    <cellStyle name="Hyperlink" xfId="73" builtinId="8" hidden="1"/>
    <cellStyle name="Hyperlink" xfId="31" builtinId="8" hidden="1"/>
    <cellStyle name="Hyperlink" xfId="45" builtinId="8" hidden="1"/>
    <cellStyle name="Hyperlink" xfId="77" builtinId="8" hidden="1"/>
    <cellStyle name="Hyperlink" xfId="23" builtinId="8" hidden="1"/>
    <cellStyle name="Hyperlink" xfId="109" builtinId="8" hidden="1"/>
    <cellStyle name="Hyperlink" xfId="71" builtinId="8" hidden="1"/>
    <cellStyle name="Hyperlink" xfId="120" builtinId="8" hidden="1"/>
    <cellStyle name="Hyperlink" xfId="41" builtinId="8" hidden="1"/>
    <cellStyle name="Hyperlink" xfId="61" builtinId="8" hidden="1"/>
    <cellStyle name="Hyperlink" xfId="122" builtinId="8" hidden="1"/>
    <cellStyle name="Hyperlink" xfId="21" builtinId="8" hidden="1"/>
    <cellStyle name="Hyperlink" xfId="17" builtinId="8" hidden="1"/>
    <cellStyle name="Hyperlink" xfId="63" builtinId="8" hidden="1"/>
    <cellStyle name="Hyperlink" xfId="7" builtinId="8" hidden="1"/>
    <cellStyle name="Hyperlink" xfId="57" builtinId="8" hidden="1"/>
    <cellStyle name="Hyperlink" xfId="49" builtinId="8" hidden="1"/>
    <cellStyle name="Hyperlink" xfId="19" builtinId="8" hidden="1"/>
    <cellStyle name="Hyperlink" xfId="5" builtinId="8" hidden="1"/>
    <cellStyle name="Hyperlink" xfId="51" builtinId="8" hidden="1"/>
    <cellStyle name="Hyperlink" xfId="111" builtinId="8" hidden="1"/>
    <cellStyle name="Hyperlink" xfId="35" builtinId="8" hidden="1"/>
    <cellStyle name="Hyperlink" xfId="25" builtinId="8" hidden="1"/>
    <cellStyle name="Hyperlink" xfId="9" builtinId="8" hidden="1"/>
    <cellStyle name="Hyperlink" xfId="55" builtinId="8" hidden="1"/>
    <cellStyle name="Hyperlink" xfId="87" builtinId="8" hidden="1"/>
    <cellStyle name="Hyperlink" xfId="33" builtinId="8" hidden="1"/>
    <cellStyle name="Hyperlink" xfId="101" builtinId="8" hidden="1"/>
    <cellStyle name="Hyperlink" xfId="69" builtinId="8" hidden="1"/>
    <cellStyle name="Hyperlink" xfId="39" builtinId="8" hidden="1"/>
    <cellStyle name="Hyperlink" xfId="29" builtinId="8" hidden="1"/>
    <cellStyle name="Hyperlink" xfId="113" builtinId="8" hidden="1"/>
    <cellStyle name="Hyperlink" xfId="89" builtinId="8" hidden="1"/>
    <cellStyle name="Hyperlink" xfId="115" builtinId="8" hidden="1"/>
    <cellStyle name="Hyperlink" xfId="105" builtinId="8" hidden="1"/>
    <cellStyle name="Hyperlink" xfId="53" builtinId="8" hidden="1"/>
    <cellStyle name="Hyperlink" xfId="107" builtinId="8" hidden="1"/>
    <cellStyle name="Hyperlink" xfId="95" builtinId="8" hidden="1"/>
    <cellStyle name="Hyperlink" xfId="59" builtinId="8" hidden="1"/>
    <cellStyle name="Hyperlink" xfId="93" builtinId="8" hidden="1"/>
    <cellStyle name="Hyperlink" xfId="65" builtinId="8" hidden="1"/>
    <cellStyle name="Hyperlink" xfId="27" builtinId="8" hidden="1"/>
    <cellStyle name="Hyperlink" xfId="13" builtinId="8" hidden="1"/>
    <cellStyle name="Hyperlink" xfId="47" builtinId="8" hidden="1"/>
    <cellStyle name="Hyperlink" xfId="97" builtinId="8" hidden="1"/>
    <cellStyle name="Hyperlink" xfId="103" builtinId="8" hidden="1"/>
    <cellStyle name="Hyperlink" xfId="118" builtinId="8" hidden="1"/>
    <cellStyle name="Hyperlink" xfId="37" builtinId="8" hidden="1"/>
    <cellStyle name="Hyperlink" xfId="83" builtinId="8" hidden="1"/>
    <cellStyle name="Hyperlink" xfId="85" builtinId="8" hidden="1"/>
    <cellStyle name="Hyperlink" xfId="67" builtinId="8" hidden="1"/>
    <cellStyle name="Hyperlink" xfId="91" builtinId="8" hidden="1"/>
    <cellStyle name="Hyperlink" xfId="11" builtinId="8" hidden="1"/>
    <cellStyle name="Hyperlink" xfId="75" builtinId="8" hidden="1"/>
    <cellStyle name="Hyperlink" xfId="15" builtinId="8" hidden="1"/>
    <cellStyle name="Hyperlink" xfId="79" builtinId="8" hidden="1"/>
    <cellStyle name="Hyperlink" xfId="99" builtinId="8" hidden="1"/>
    <cellStyle name="Hyperlink" xfId="81" builtinId="8" hidden="1"/>
    <cellStyle name="Hyperlink" xfId="123" builtinId="8"/>
    <cellStyle name="Normal" xfId="0" builtinId="0" customBuiltin="1"/>
  </cellStyles>
  <dxfs count="4"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  <mruColors>
      <color rgb="FFF36F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YearLookup" displayName="YearLookup" ref="A1:B11" totalsRowShown="0" headerRowDxfId="3" dataDxfId="2">
  <autoFilter ref="A1:B11" xr:uid="{00000000-0009-0000-0100-000001000000}"/>
  <tableColumns count="2">
    <tableColumn id="1" xr3:uid="{00000000-0010-0000-0000-000001000000}" name="Year" dataDxfId="1"/>
    <tableColumn id="2" xr3:uid="{00000000-0010-0000-0000-000002000000}" name="Column1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1"/>
  <sheetViews>
    <sheetView showGridLines="0" topLeftCell="A24" workbookViewId="0">
      <selection activeCell="G12" sqref="G12"/>
    </sheetView>
  </sheetViews>
  <sheetFormatPr defaultColWidth="8.625" defaultRowHeight="14.25"/>
  <cols>
    <col min="1" max="1" width="2.375" style="1" customWidth="1"/>
    <col min="2" max="8" width="17.375" style="4" customWidth="1"/>
    <col min="9" max="9" width="14.125" style="20" customWidth="1"/>
    <col min="10" max="10" width="17.375" style="4" customWidth="1"/>
    <col min="11" max="11" width="15.25" style="4" customWidth="1"/>
    <col min="12" max="12" width="16.375" style="4" customWidth="1"/>
    <col min="13" max="16384" width="8.625" style="4"/>
  </cols>
  <sheetData>
    <row r="1" spans="1:12" s="1" customFormat="1" ht="59.25" customHeight="1">
      <c r="B1" s="146">
        <f>DATE(CalendarYear,1,1)</f>
        <v>43466</v>
      </c>
      <c r="C1" s="146"/>
      <c r="D1" s="146"/>
      <c r="E1" s="146"/>
      <c r="F1" s="146"/>
      <c r="G1" s="146"/>
      <c r="H1" s="146"/>
      <c r="I1" s="139"/>
      <c r="K1" s="7" t="s">
        <v>0</v>
      </c>
      <c r="L1" s="8">
        <v>2019</v>
      </c>
    </row>
    <row r="2" spans="1:12" s="3" customFormat="1" ht="21.75" customHeight="1">
      <c r="A2" s="2"/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7</v>
      </c>
      <c r="I2" s="55"/>
    </row>
    <row r="3" spans="1:12" ht="14.1" customHeight="1">
      <c r="B3" s="9" t="str">
        <f>IF(AND(YEAR(JanSun1)=CalendarYear,MONTH(JanSun1)=1),JanSun1, "")</f>
        <v/>
      </c>
      <c r="C3" s="5" t="str">
        <f>IF(AND(YEAR(JanSun1+1)=CalendarYear,MONTH(JanSun1+1)=1),JanSun1+1, "")</f>
        <v/>
      </c>
      <c r="D3" s="5">
        <v>1</v>
      </c>
      <c r="E3" s="5">
        <f>IF(AND(YEAR(JanSun1+3)=CalendarYear,MONTH(JanSun1+3)=1),JanSun1+3, "")</f>
        <v>43467</v>
      </c>
      <c r="F3" s="5">
        <f>IF(AND(YEAR(JanSun1+4)=CalendarYear,MONTH(JanSun1+4)=1),JanSun1+4, "")</f>
        <v>43468</v>
      </c>
      <c r="G3" s="5">
        <f>IF(AND(YEAR(JanSun1+5)=CalendarYear,MONTH(JanSun1+5)=1),JanSun1+5, "")</f>
        <v>43469</v>
      </c>
      <c r="H3" s="10">
        <f>IF(AND(YEAR(JanSun1+6)=CalendarYear,MONTH(JanSun1+6)=1),JanSun1+6, "")</f>
        <v>43470</v>
      </c>
      <c r="I3" s="56"/>
      <c r="J3" s="20"/>
      <c r="K3" s="20"/>
      <c r="L3" s="20"/>
    </row>
    <row r="4" spans="1:12" ht="58.35" customHeight="1">
      <c r="B4" s="77"/>
      <c r="C4" s="77"/>
      <c r="D4" s="95" t="s">
        <v>8</v>
      </c>
      <c r="E4" s="66" t="s">
        <v>9</v>
      </c>
      <c r="F4" s="66" t="s">
        <v>9</v>
      </c>
      <c r="G4" s="96" t="s">
        <v>10</v>
      </c>
      <c r="H4" s="96"/>
      <c r="I4" s="57"/>
      <c r="J4" s="20"/>
      <c r="K4" s="20"/>
      <c r="L4" s="20"/>
    </row>
    <row r="5" spans="1:12" ht="14.1" customHeight="1">
      <c r="B5" s="11">
        <f>IF(AND(YEAR(JanSun1+7)=CalendarYear,MONTH(JanSun1+7)=1),JanSun1+7, "")</f>
        <v>43471</v>
      </c>
      <c r="C5" s="5">
        <f>IF(AND(YEAR(JanSun1+8)=CalendarYear,MONTH(JanSun1+8)=1),JanSun1+8, "")</f>
        <v>43472</v>
      </c>
      <c r="D5" s="40">
        <f>IF(AND(YEAR(JanSun1+9)=CalendarYear,MONTH(JanSun1+9)=1),JanSun1+9, "")</f>
        <v>43473</v>
      </c>
      <c r="E5" s="40">
        <f>IF(AND(YEAR(JanSun1+10)=CalendarYear,MONTH(JanSun1+10)=1),JanSun1+10, "")</f>
        <v>43474</v>
      </c>
      <c r="F5" s="40">
        <f>IF(AND(YEAR(JanSun1+11)=CalendarYear,MONTH(JanSun1+11)=1),JanSun1+11, "")</f>
        <v>43475</v>
      </c>
      <c r="G5" s="5">
        <f>IF(AND(YEAR(JanSun1+12)=CalendarYear,MONTH(JanSun1+12)=1),JanSun1+12,"")</f>
        <v>43476</v>
      </c>
      <c r="H5" s="10">
        <f>IF(AND(YEAR(JanSun1+13)=CalendarYear,MONTH(JanSun1+13)=1),JanSun1+13, "")</f>
        <v>43477</v>
      </c>
      <c r="I5" s="56"/>
      <c r="J5" s="20"/>
      <c r="K5" s="20"/>
      <c r="L5" s="20"/>
    </row>
    <row r="6" spans="1:12" ht="58.35" customHeight="1">
      <c r="B6" s="96" t="s">
        <v>10</v>
      </c>
      <c r="C6" s="99" t="s">
        <v>11</v>
      </c>
      <c r="D6" s="100"/>
      <c r="E6" s="100"/>
      <c r="F6" s="99" t="s">
        <v>11</v>
      </c>
      <c r="G6" s="101" t="s">
        <v>12</v>
      </c>
      <c r="H6" s="101"/>
      <c r="I6" s="58"/>
      <c r="J6" s="20"/>
      <c r="K6" s="20"/>
      <c r="L6" s="20"/>
    </row>
    <row r="7" spans="1:12" ht="14.1" customHeight="1">
      <c r="B7" s="11">
        <f>IF(AND(YEAR(JanSun1+14)=CalendarYear,MONTH(JanSun1+14)=1),JanSun1+14, "")</f>
        <v>43478</v>
      </c>
      <c r="C7" s="5">
        <f>IF(AND(YEAR(JanSun1+15)=CalendarYear,MONTH(JanSun1+15)=1),JanSun1+15, "")</f>
        <v>43479</v>
      </c>
      <c r="D7" s="41">
        <f>IF(AND(YEAR(JanSun1+16)=CalendarYear,MONTH(JanSun1+16)=1),JanSun1+16, "")</f>
        <v>43480</v>
      </c>
      <c r="E7" s="41">
        <f>IF(AND(YEAR(JanSun1+17)=CalendarYear,MONTH(JanSun1+17)=1),JanSun1+17, "")</f>
        <v>43481</v>
      </c>
      <c r="F7" s="41">
        <f>IF(AND(YEAR(JanSun1+18)=CalendarYear,MONTH(JanSun1+18)=1),JanSun1+18, "")</f>
        <v>43482</v>
      </c>
      <c r="G7" s="5">
        <f>IF(AND(YEAR(JanSun1+19)=CalendarYear,MONTH(JanSun1+19)=1),JanSun1+19, "")</f>
        <v>43483</v>
      </c>
      <c r="H7" s="10">
        <f>IF(AND(YEAR(JanSun1+20)=CalendarYear,MONTH(JanSun1+20)=1),JanSun1+20, "")</f>
        <v>43484</v>
      </c>
      <c r="I7" s="56"/>
      <c r="J7" s="20"/>
      <c r="K7" s="20"/>
      <c r="L7" s="20"/>
    </row>
    <row r="8" spans="1:12" ht="58.35" customHeight="1">
      <c r="B8" s="101" t="s">
        <v>12</v>
      </c>
      <c r="C8" s="102" t="s">
        <v>13</v>
      </c>
      <c r="D8" s="103"/>
      <c r="E8" s="103"/>
      <c r="F8" s="102" t="s">
        <v>13</v>
      </c>
      <c r="G8" s="104" t="s">
        <v>14</v>
      </c>
      <c r="H8" s="105"/>
      <c r="I8" s="58"/>
      <c r="J8" s="20"/>
      <c r="K8" s="20"/>
      <c r="L8" s="20"/>
    </row>
    <row r="9" spans="1:12" ht="14.1" customHeight="1">
      <c r="B9" s="12">
        <f>IF(AND(YEAR(JanSun1+21)=CalendarYear,MONTH(JanSun1+21)=1),JanSun1+21, "")</f>
        <v>43485</v>
      </c>
      <c r="C9" s="6">
        <f>IF(AND(YEAR(JanSun1+22)=CalendarYear,MONTH(JanSun1+22)=1),JanSun1+22, "")</f>
        <v>43486</v>
      </c>
      <c r="D9" s="6">
        <f>IF(AND(YEAR(JanSun1+23)=CalendarYear,MONTH(JanSun1+23)=1),JanSun1+23, "")</f>
        <v>43487</v>
      </c>
      <c r="E9" s="6">
        <f>IF(AND(YEAR(JanSun1+24)=CalendarYear,MONTH(JanSun1+24)=1),JanSun1+24, "")</f>
        <v>43488</v>
      </c>
      <c r="F9" s="6">
        <f>IF(AND(YEAR(JanSun1+25)=CalendarYear,MONTH(JanSun1+25)=1),JanSun1+25, "")</f>
        <v>43489</v>
      </c>
      <c r="G9" s="6">
        <f>IF(AND(YEAR(JanSun1+26)=CalendarYear,MONTH(JanSun1+26)=1),JanSun1+26, "")</f>
        <v>43490</v>
      </c>
      <c r="H9" s="13">
        <f>IF(AND(YEAR(JanSun1+27)=CalendarYear,MONTH(JanSun1+27)=1),JanSun1+27, "")</f>
        <v>43491</v>
      </c>
      <c r="I9" s="59"/>
      <c r="J9" s="20"/>
      <c r="K9" s="20"/>
      <c r="L9" s="20"/>
    </row>
    <row r="10" spans="1:12" ht="58.35" customHeight="1">
      <c r="B10" s="105"/>
      <c r="C10" s="105"/>
      <c r="D10" s="105"/>
      <c r="E10" s="105"/>
      <c r="F10" s="104" t="s">
        <v>14</v>
      </c>
      <c r="G10" s="152" t="s">
        <v>15</v>
      </c>
      <c r="H10" s="153"/>
      <c r="I10" s="60"/>
      <c r="J10" s="20"/>
      <c r="K10" s="20"/>
      <c r="L10" s="20"/>
    </row>
    <row r="11" spans="1:12" ht="14.1" customHeight="1">
      <c r="B11" s="12">
        <f>IF(AND(YEAR(JanSun1+28)=CalendarYear,MONTH(JanSun1+28)=1),JanSun1+28, "")</f>
        <v>43492</v>
      </c>
      <c r="C11" s="6">
        <f>IF(AND(YEAR(JanSun1+29)=CalendarYear,MONTH(JanSun1+29)=1),JanSun1+29, "")</f>
        <v>43493</v>
      </c>
      <c r="D11" s="6">
        <f>IF(AND(YEAR(JanSun1+30)=CalendarYear,MONTH(JanSun1+30)=1),JanSun1+30, "")</f>
        <v>43494</v>
      </c>
      <c r="E11" s="6">
        <f>IF(AND(YEAR(JanSun1+31)=CalendarYear,MONTH(JanSun1+31)=1),JanSun1+31, "")</f>
        <v>43495</v>
      </c>
      <c r="F11" s="6">
        <f>IF(AND(YEAR(JanSun1+32)=CalendarYear,MONTH(JanSun1+32)=1),JanSun1+32, "")</f>
        <v>43496</v>
      </c>
      <c r="G11" s="6" t="str">
        <f>IF(AND(YEAR(JanSun1+33)=CalendarYear,MONTH(JanSun1+33)=1),JanSun1+33, "")</f>
        <v/>
      </c>
      <c r="H11" s="13" t="str">
        <f>IF(AND(YEAR(JanSun1+34)=CalendarYear,MONTH(JanSun1+34)=1),JanSun1+34, "")</f>
        <v/>
      </c>
      <c r="I11" s="60"/>
      <c r="J11" s="20"/>
      <c r="K11" s="20"/>
      <c r="L11" s="20"/>
    </row>
    <row r="12" spans="1:12" ht="58.35" customHeight="1">
      <c r="B12" s="114" t="s">
        <v>9</v>
      </c>
      <c r="C12" s="106" t="s">
        <v>16</v>
      </c>
      <c r="D12" s="106" t="s">
        <v>16</v>
      </c>
      <c r="E12" s="114" t="s">
        <v>9</v>
      </c>
      <c r="F12" s="114" t="s">
        <v>9</v>
      </c>
      <c r="G12" s="98"/>
      <c r="H12" s="98"/>
      <c r="I12" s="60"/>
      <c r="J12" s="20"/>
      <c r="K12" s="20"/>
      <c r="L12" s="20"/>
    </row>
    <row r="13" spans="1:12" ht="14.1" customHeight="1">
      <c r="B13" s="12" t="str">
        <f>IF(AND(YEAR(JanSun1+35)=CalendarYear,MONTH(JanSun1+35)=1),JanSun1+35, "")</f>
        <v/>
      </c>
      <c r="C13" s="6" t="str">
        <f>IF(AND(YEAR(JanSun1+36)=CalendarYear,MONTH(JanSun1+36)=1),JanSun1+36, "")</f>
        <v/>
      </c>
      <c r="D13" s="150" t="s">
        <v>17</v>
      </c>
      <c r="E13" s="150"/>
      <c r="F13" s="150"/>
      <c r="G13" s="150"/>
      <c r="H13" s="151"/>
      <c r="I13" s="61"/>
      <c r="J13" s="20"/>
      <c r="K13" s="20"/>
      <c r="L13" s="20"/>
    </row>
    <row r="14" spans="1:12" ht="58.35" customHeight="1">
      <c r="B14" s="27"/>
      <c r="C14" s="24"/>
      <c r="D14" s="147"/>
      <c r="E14" s="148"/>
      <c r="F14" s="148"/>
      <c r="G14" s="148"/>
      <c r="H14" s="149"/>
      <c r="I14" s="62"/>
      <c r="J14" s="20"/>
      <c r="K14" s="20"/>
      <c r="L14" s="20"/>
    </row>
    <row r="15" spans="1:12" ht="15">
      <c r="B15" s="28" t="s">
        <v>18</v>
      </c>
      <c r="C15" s="20"/>
      <c r="D15" s="20"/>
      <c r="E15" s="20"/>
      <c r="F15" s="20"/>
      <c r="G15" s="20"/>
      <c r="H15" s="20"/>
      <c r="J15" s="28" t="s">
        <v>18</v>
      </c>
      <c r="K15" s="20"/>
      <c r="L15" s="20"/>
    </row>
    <row r="16" spans="1:12" s="20" customFormat="1" ht="19.5">
      <c r="A16" s="1"/>
      <c r="B16" s="28"/>
      <c r="F16" s="37" t="s">
        <v>19</v>
      </c>
      <c r="J16" s="28"/>
    </row>
    <row r="17" spans="1:12" s="20" customFormat="1" ht="21">
      <c r="A17" s="1"/>
      <c r="B17" s="28" t="s">
        <v>20</v>
      </c>
      <c r="D17" s="28" t="s">
        <v>21</v>
      </c>
      <c r="F17" s="33"/>
      <c r="G17" s="34" t="s">
        <v>22</v>
      </c>
      <c r="H17" s="34" t="s">
        <v>23</v>
      </c>
      <c r="I17" s="63"/>
      <c r="J17" s="28"/>
    </row>
    <row r="18" spans="1:12" ht="21">
      <c r="B18" s="20" t="s">
        <v>24</v>
      </c>
      <c r="C18" s="20"/>
      <c r="D18" s="20" t="s">
        <v>25</v>
      </c>
      <c r="E18" s="20"/>
      <c r="F18" s="35" t="s">
        <v>12</v>
      </c>
      <c r="G18" s="36">
        <v>29</v>
      </c>
      <c r="H18" s="36">
        <v>25</v>
      </c>
      <c r="I18" s="64"/>
      <c r="J18" s="28">
        <f>SUM(G18:H18)</f>
        <v>54</v>
      </c>
      <c r="K18" s="20"/>
      <c r="L18" s="20"/>
    </row>
    <row r="19" spans="1:12" ht="21">
      <c r="B19" s="20" t="s">
        <v>26</v>
      </c>
      <c r="C19" s="20"/>
      <c r="D19" s="20" t="s">
        <v>27</v>
      </c>
      <c r="E19" s="20"/>
      <c r="F19" s="35" t="s">
        <v>11</v>
      </c>
      <c r="G19" s="36">
        <v>27</v>
      </c>
      <c r="H19" s="36">
        <v>25</v>
      </c>
      <c r="I19" s="64"/>
      <c r="J19" s="28">
        <f t="shared" ref="J19:J24" si="0">SUM(G19:H19)</f>
        <v>52</v>
      </c>
      <c r="K19" s="20"/>
      <c r="L19" s="20"/>
    </row>
    <row r="20" spans="1:12" ht="21">
      <c r="B20" s="20" t="s">
        <v>28</v>
      </c>
      <c r="C20" s="20"/>
      <c r="D20" s="20" t="s">
        <v>29</v>
      </c>
      <c r="E20" s="20"/>
      <c r="F20" s="35" t="s">
        <v>10</v>
      </c>
      <c r="G20" s="36">
        <v>28</v>
      </c>
      <c r="H20" s="36">
        <v>22</v>
      </c>
      <c r="I20" s="64"/>
      <c r="J20" s="28">
        <f t="shared" si="0"/>
        <v>50</v>
      </c>
      <c r="K20" s="20"/>
      <c r="L20" s="20"/>
    </row>
    <row r="21" spans="1:12" ht="21">
      <c r="B21" s="20" t="s">
        <v>30</v>
      </c>
      <c r="C21" s="20"/>
      <c r="D21" s="20" t="s">
        <v>31</v>
      </c>
      <c r="E21" s="20"/>
      <c r="F21" s="35" t="s">
        <v>9</v>
      </c>
      <c r="G21" s="36">
        <v>28</v>
      </c>
      <c r="H21" s="36">
        <v>23</v>
      </c>
      <c r="I21" s="64"/>
      <c r="J21" s="28">
        <f t="shared" si="0"/>
        <v>51</v>
      </c>
      <c r="K21" s="20"/>
      <c r="L21" s="20"/>
    </row>
    <row r="22" spans="1:12" ht="21">
      <c r="B22" s="20"/>
      <c r="C22" s="20"/>
      <c r="D22" s="20" t="s">
        <v>32</v>
      </c>
      <c r="E22" s="20"/>
      <c r="F22" s="35" t="s">
        <v>13</v>
      </c>
      <c r="G22" s="36">
        <v>29</v>
      </c>
      <c r="H22" s="36">
        <v>24</v>
      </c>
      <c r="I22" s="64"/>
      <c r="J22" s="28">
        <f t="shared" si="0"/>
        <v>53</v>
      </c>
      <c r="K22" s="20"/>
      <c r="L22" s="20"/>
    </row>
    <row r="23" spans="1:12" ht="21">
      <c r="B23" s="20"/>
      <c r="C23" s="20"/>
      <c r="D23" s="20" t="s">
        <v>33</v>
      </c>
      <c r="E23" s="20"/>
      <c r="F23" s="35" t="s">
        <v>16</v>
      </c>
      <c r="G23" s="36">
        <v>29</v>
      </c>
      <c r="H23" s="36">
        <v>23</v>
      </c>
      <c r="I23" s="64"/>
      <c r="J23" s="28">
        <f t="shared" si="0"/>
        <v>52</v>
      </c>
      <c r="K23" s="20"/>
      <c r="L23" s="20"/>
    </row>
    <row r="24" spans="1:12" ht="21">
      <c r="B24" s="20"/>
      <c r="C24" s="20"/>
      <c r="D24" s="20" t="s">
        <v>34</v>
      </c>
      <c r="E24" s="20"/>
      <c r="F24" s="35" t="s">
        <v>14</v>
      </c>
      <c r="G24" s="36">
        <v>28</v>
      </c>
      <c r="H24" s="36">
        <v>25</v>
      </c>
      <c r="I24" s="64"/>
      <c r="J24" s="28">
        <f t="shared" si="0"/>
        <v>53</v>
      </c>
      <c r="K24" s="20"/>
      <c r="L24" s="20"/>
    </row>
    <row r="25" spans="1:12">
      <c r="B25" s="20"/>
      <c r="C25" s="20"/>
      <c r="D25" s="20" t="s">
        <v>35</v>
      </c>
      <c r="E25" s="20"/>
      <c r="F25" s="20"/>
      <c r="G25" s="20"/>
      <c r="H25" s="20"/>
      <c r="J25" s="20">
        <f>SUM(J18:J24)</f>
        <v>365</v>
      </c>
      <c r="K25" s="20"/>
      <c r="L25" s="20"/>
    </row>
    <row r="26" spans="1:12" ht="19.5">
      <c r="B26" s="39" t="s">
        <v>36</v>
      </c>
      <c r="C26" s="20"/>
      <c r="D26" s="20"/>
      <c r="E26" s="20"/>
      <c r="F26" s="20"/>
      <c r="G26" s="20"/>
      <c r="H26" s="20"/>
      <c r="J26" s="39" t="s">
        <v>36</v>
      </c>
      <c r="K26" s="20"/>
      <c r="L26" s="20"/>
    </row>
    <row r="27" spans="1:12">
      <c r="B27" s="29"/>
      <c r="C27" s="30">
        <v>2017</v>
      </c>
      <c r="D27" s="30">
        <v>2018</v>
      </c>
      <c r="E27" s="30">
        <v>2019</v>
      </c>
      <c r="F27" s="30">
        <v>2020</v>
      </c>
      <c r="G27" s="30">
        <v>2021</v>
      </c>
      <c r="H27" s="30">
        <v>2022</v>
      </c>
      <c r="I27" s="30">
        <v>2023</v>
      </c>
      <c r="J27" s="29"/>
      <c r="K27" s="20"/>
      <c r="L27" s="20"/>
    </row>
    <row r="28" spans="1:12" ht="15.75">
      <c r="B28" s="32" t="s">
        <v>37</v>
      </c>
      <c r="C28" s="38" t="s">
        <v>12</v>
      </c>
      <c r="D28" s="31" t="s">
        <v>11</v>
      </c>
      <c r="E28" s="31" t="s">
        <v>13</v>
      </c>
      <c r="F28" s="31" t="s">
        <v>14</v>
      </c>
      <c r="G28" s="31" t="s">
        <v>9</v>
      </c>
      <c r="H28" s="31" t="s">
        <v>16</v>
      </c>
      <c r="I28" s="31" t="s">
        <v>10</v>
      </c>
      <c r="J28" s="32" t="s">
        <v>37</v>
      </c>
      <c r="K28" s="20"/>
      <c r="L28" s="20"/>
    </row>
    <row r="29" spans="1:12" ht="15.75">
      <c r="B29" s="32" t="s">
        <v>38</v>
      </c>
      <c r="C29" s="31" t="s">
        <v>11</v>
      </c>
      <c r="D29" s="31" t="s">
        <v>13</v>
      </c>
      <c r="E29" s="31" t="s">
        <v>14</v>
      </c>
      <c r="F29" s="31" t="s">
        <v>9</v>
      </c>
      <c r="G29" s="31" t="s">
        <v>16</v>
      </c>
      <c r="H29" s="31" t="s">
        <v>10</v>
      </c>
      <c r="I29" s="31" t="s">
        <v>12</v>
      </c>
      <c r="J29" s="32" t="s">
        <v>38</v>
      </c>
      <c r="K29" s="20"/>
      <c r="L29" s="20"/>
    </row>
    <row r="30" spans="1:12" ht="15.75">
      <c r="B30" s="32" t="s">
        <v>39</v>
      </c>
      <c r="C30" s="31" t="s">
        <v>13</v>
      </c>
      <c r="D30" s="31" t="s">
        <v>14</v>
      </c>
      <c r="E30" s="31" t="s">
        <v>9</v>
      </c>
      <c r="F30" s="31" t="s">
        <v>16</v>
      </c>
      <c r="G30" s="31" t="s">
        <v>10</v>
      </c>
      <c r="H30" s="31" t="s">
        <v>12</v>
      </c>
      <c r="I30" s="31" t="s">
        <v>11</v>
      </c>
      <c r="J30" s="32" t="s">
        <v>39</v>
      </c>
      <c r="K30" s="20"/>
      <c r="L30" s="20"/>
    </row>
    <row r="31" spans="1:12" ht="15.75">
      <c r="B31" s="32" t="s">
        <v>40</v>
      </c>
      <c r="C31" s="31" t="s">
        <v>14</v>
      </c>
      <c r="D31" s="31" t="s">
        <v>9</v>
      </c>
      <c r="E31" s="31" t="s">
        <v>16</v>
      </c>
      <c r="F31" s="31" t="s">
        <v>10</v>
      </c>
      <c r="G31" s="31" t="s">
        <v>12</v>
      </c>
      <c r="H31" s="31" t="s">
        <v>11</v>
      </c>
      <c r="I31" s="31" t="s">
        <v>13</v>
      </c>
      <c r="J31" s="32" t="s">
        <v>40</v>
      </c>
      <c r="K31" s="20"/>
      <c r="L31" s="20"/>
    </row>
    <row r="32" spans="1:12" ht="15.75">
      <c r="B32" s="32" t="s">
        <v>41</v>
      </c>
      <c r="C32" s="31" t="s">
        <v>9</v>
      </c>
      <c r="D32" s="31" t="s">
        <v>16</v>
      </c>
      <c r="E32" s="31" t="s">
        <v>10</v>
      </c>
      <c r="F32" s="31" t="s">
        <v>12</v>
      </c>
      <c r="G32" s="31" t="s">
        <v>11</v>
      </c>
      <c r="H32" s="31" t="s">
        <v>13</v>
      </c>
      <c r="I32" s="31" t="s">
        <v>14</v>
      </c>
      <c r="J32" s="32" t="s">
        <v>41</v>
      </c>
      <c r="K32" s="20"/>
      <c r="L32" s="20"/>
    </row>
    <row r="33" spans="2:12" ht="15.75">
      <c r="B33" s="32" t="s">
        <v>42</v>
      </c>
      <c r="C33" s="31" t="s">
        <v>16</v>
      </c>
      <c r="D33" s="31" t="s">
        <v>10</v>
      </c>
      <c r="E33" s="31" t="s">
        <v>12</v>
      </c>
      <c r="F33" s="31" t="s">
        <v>11</v>
      </c>
      <c r="G33" s="31" t="s">
        <v>13</v>
      </c>
      <c r="H33" s="31" t="s">
        <v>14</v>
      </c>
      <c r="I33" s="31" t="s">
        <v>9</v>
      </c>
      <c r="J33" s="32" t="s">
        <v>42</v>
      </c>
      <c r="K33" s="20"/>
      <c r="L33" s="20"/>
    </row>
    <row r="34" spans="2:12" ht="15.75">
      <c r="B34" s="32" t="s">
        <v>43</v>
      </c>
      <c r="C34" s="31" t="s">
        <v>10</v>
      </c>
      <c r="D34" s="31" t="s">
        <v>12</v>
      </c>
      <c r="E34" s="31" t="s">
        <v>11</v>
      </c>
      <c r="F34" s="31" t="s">
        <v>13</v>
      </c>
      <c r="G34" s="31" t="s">
        <v>14</v>
      </c>
      <c r="H34" s="31" t="s">
        <v>9</v>
      </c>
      <c r="I34" s="31" t="s">
        <v>16</v>
      </c>
      <c r="J34" s="32" t="s">
        <v>43</v>
      </c>
      <c r="K34" s="20"/>
      <c r="L34" s="20"/>
    </row>
    <row r="35" spans="2:12" ht="15.75">
      <c r="B35" s="32"/>
      <c r="C35" s="31"/>
      <c r="D35" s="31"/>
      <c r="E35" s="31"/>
      <c r="F35" s="31"/>
      <c r="G35" s="31"/>
      <c r="H35" s="31"/>
      <c r="I35" s="31"/>
      <c r="J35" s="32"/>
      <c r="K35" s="20"/>
      <c r="L35" s="20"/>
    </row>
    <row r="36" spans="2:12" ht="15.75">
      <c r="B36" s="32" t="s">
        <v>44</v>
      </c>
      <c r="C36" s="31" t="s">
        <v>45</v>
      </c>
      <c r="D36" s="31" t="s">
        <v>46</v>
      </c>
      <c r="E36" s="31" t="s">
        <v>47</v>
      </c>
      <c r="F36" s="31" t="s">
        <v>48</v>
      </c>
      <c r="G36" s="31" t="s">
        <v>49</v>
      </c>
      <c r="H36" s="31" t="s">
        <v>50</v>
      </c>
      <c r="I36" s="31"/>
      <c r="J36" s="32" t="s">
        <v>44</v>
      </c>
      <c r="K36" s="20"/>
      <c r="L36" s="20"/>
    </row>
    <row r="37" spans="2:12" ht="15.75">
      <c r="B37" s="32"/>
      <c r="C37" s="31"/>
      <c r="D37" s="31"/>
      <c r="E37" s="31"/>
      <c r="F37" s="31"/>
      <c r="G37" s="31"/>
      <c r="H37" s="31"/>
      <c r="I37" s="31"/>
      <c r="J37" s="32"/>
      <c r="K37" s="20"/>
      <c r="L37" s="20"/>
    </row>
    <row r="38" spans="2:12" ht="15.75">
      <c r="B38" s="32" t="s">
        <v>51</v>
      </c>
      <c r="C38" s="31" t="s">
        <v>9</v>
      </c>
      <c r="D38" s="31" t="s">
        <v>14</v>
      </c>
      <c r="E38" s="31" t="s">
        <v>10</v>
      </c>
      <c r="F38" s="31" t="s">
        <v>12</v>
      </c>
      <c r="G38" s="31" t="s">
        <v>16</v>
      </c>
      <c r="H38" s="31" t="s">
        <v>11</v>
      </c>
      <c r="I38" s="31" t="s">
        <v>13</v>
      </c>
      <c r="J38" s="32" t="s">
        <v>51</v>
      </c>
      <c r="K38" s="20"/>
      <c r="L38" s="20"/>
    </row>
    <row r="39" spans="2:12" ht="15.75">
      <c r="B39" s="32" t="s">
        <v>52</v>
      </c>
      <c r="C39" s="31" t="s">
        <v>12</v>
      </c>
      <c r="D39" s="31" t="s">
        <v>16</v>
      </c>
      <c r="E39" s="31" t="s">
        <v>11</v>
      </c>
      <c r="F39" s="31" t="s">
        <v>9</v>
      </c>
      <c r="G39" s="31" t="s">
        <v>10</v>
      </c>
      <c r="H39" s="31" t="s">
        <v>13</v>
      </c>
      <c r="I39" s="31" t="s">
        <v>14</v>
      </c>
      <c r="J39" s="32" t="s">
        <v>52</v>
      </c>
      <c r="K39" s="20"/>
      <c r="L39" s="20"/>
    </row>
    <row r="40" spans="2:12" ht="15.75">
      <c r="B40" s="32"/>
      <c r="C40" s="31"/>
      <c r="D40" s="31"/>
      <c r="E40" s="31"/>
      <c r="F40" s="31"/>
      <c r="G40" s="31"/>
      <c r="H40" s="31"/>
      <c r="I40" s="31"/>
      <c r="J40" s="32"/>
      <c r="K40" s="20"/>
      <c r="L40" s="20"/>
    </row>
    <row r="41" spans="2:12" ht="15.75">
      <c r="B41" s="32" t="s">
        <v>53</v>
      </c>
      <c r="C41" s="31" t="s">
        <v>12</v>
      </c>
      <c r="D41" s="31" t="s">
        <v>9</v>
      </c>
      <c r="E41" s="31" t="s">
        <v>13</v>
      </c>
      <c r="F41" s="31" t="s">
        <v>14</v>
      </c>
      <c r="G41" s="31" t="s">
        <v>11</v>
      </c>
      <c r="H41" s="31" t="s">
        <v>16</v>
      </c>
      <c r="I41" s="31" t="s">
        <v>10</v>
      </c>
      <c r="J41" s="32" t="s">
        <v>53</v>
      </c>
      <c r="K41" s="20"/>
      <c r="L41" s="20"/>
    </row>
    <row r="42" spans="2:12" ht="15.75">
      <c r="B42" s="32" t="s">
        <v>54</v>
      </c>
      <c r="C42" s="31" t="s">
        <v>14</v>
      </c>
      <c r="D42" s="31" t="s">
        <v>11</v>
      </c>
      <c r="E42" s="31" t="s">
        <v>16</v>
      </c>
      <c r="F42" s="31" t="s">
        <v>10</v>
      </c>
      <c r="G42" s="31" t="s">
        <v>12</v>
      </c>
      <c r="H42" s="31" t="s">
        <v>9</v>
      </c>
      <c r="I42" s="31" t="s">
        <v>13</v>
      </c>
      <c r="J42" s="32" t="s">
        <v>54</v>
      </c>
      <c r="K42" s="20"/>
      <c r="L42" s="20"/>
    </row>
    <row r="43" spans="2:12">
      <c r="B43" s="20"/>
      <c r="C43" s="20"/>
      <c r="D43" s="20"/>
      <c r="E43" s="20"/>
      <c r="F43" s="20"/>
      <c r="G43" s="20"/>
      <c r="H43" s="20"/>
      <c r="J43" s="20"/>
      <c r="K43" s="20"/>
      <c r="L43" s="20"/>
    </row>
    <row r="44" spans="2:12">
      <c r="B44" s="20"/>
      <c r="C44" s="20"/>
      <c r="D44" s="20"/>
      <c r="E44" s="20"/>
      <c r="F44" s="20"/>
      <c r="G44" s="20"/>
      <c r="H44" s="20"/>
      <c r="J44" s="20"/>
      <c r="K44" s="20"/>
      <c r="L44" s="20"/>
    </row>
    <row r="45" spans="2:12" ht="15">
      <c r="B45" s="28" t="s">
        <v>55</v>
      </c>
      <c r="C45" s="20"/>
      <c r="D45" s="20"/>
      <c r="E45" s="20"/>
      <c r="F45" s="20"/>
      <c r="G45" s="20"/>
      <c r="H45" s="20"/>
      <c r="J45" s="28" t="s">
        <v>55</v>
      </c>
      <c r="K45" s="20"/>
      <c r="L45" s="20"/>
    </row>
    <row r="46" spans="2:12">
      <c r="B46" s="20"/>
      <c r="C46" s="20"/>
      <c r="D46" s="20"/>
      <c r="E46" s="20"/>
      <c r="F46" s="20"/>
      <c r="G46" s="20"/>
      <c r="H46" s="20"/>
      <c r="J46" s="20"/>
      <c r="K46" s="20"/>
      <c r="L46" s="20"/>
    </row>
    <row r="47" spans="2:12" ht="15">
      <c r="B47" s="42" t="s">
        <v>56</v>
      </c>
      <c r="C47" s="42" t="s">
        <v>57</v>
      </c>
      <c r="D47" s="42" t="s">
        <v>58</v>
      </c>
      <c r="E47" s="42" t="s">
        <v>57</v>
      </c>
      <c r="F47" s="20"/>
      <c r="G47" s="20"/>
      <c r="H47" s="20"/>
      <c r="J47" s="42" t="s">
        <v>56</v>
      </c>
      <c r="K47" s="20"/>
      <c r="L47" s="20"/>
    </row>
    <row r="48" spans="2:12">
      <c r="B48" s="1"/>
      <c r="C48" s="1"/>
      <c r="D48" s="1"/>
      <c r="E48" s="1"/>
      <c r="F48" s="20"/>
      <c r="G48" s="20"/>
      <c r="H48" s="20"/>
      <c r="J48" s="20" t="s">
        <v>13</v>
      </c>
      <c r="K48" s="20"/>
      <c r="L48" s="20"/>
    </row>
    <row r="49" spans="2:12">
      <c r="B49" s="1"/>
      <c r="C49" s="1"/>
      <c r="D49" s="1"/>
      <c r="E49" s="1"/>
      <c r="F49" s="20"/>
      <c r="G49" s="20"/>
      <c r="H49" s="20"/>
      <c r="J49" s="20" t="s">
        <v>13</v>
      </c>
      <c r="K49" s="20"/>
      <c r="L49" s="20"/>
    </row>
    <row r="50" spans="2:12">
      <c r="B50" s="1"/>
      <c r="C50" s="1"/>
      <c r="D50" s="1"/>
      <c r="E50" s="1"/>
      <c r="F50" s="20"/>
      <c r="G50" s="20"/>
      <c r="H50" s="20"/>
      <c r="J50" s="20" t="s">
        <v>9</v>
      </c>
      <c r="K50" s="20"/>
      <c r="L50" s="20"/>
    </row>
    <row r="51" spans="2:12">
      <c r="B51" s="1"/>
      <c r="C51" s="1"/>
      <c r="D51" s="1"/>
      <c r="E51" s="1"/>
      <c r="F51" s="20"/>
      <c r="G51" s="20"/>
      <c r="H51" s="20"/>
      <c r="J51" s="20" t="s">
        <v>14</v>
      </c>
      <c r="K51" s="20"/>
      <c r="L51" s="20"/>
    </row>
    <row r="52" spans="2:12">
      <c r="B52" s="1"/>
      <c r="C52" s="1"/>
      <c r="D52" s="1"/>
      <c r="E52" s="1"/>
      <c r="F52" s="20"/>
      <c r="G52" s="20"/>
      <c r="H52" s="20"/>
      <c r="J52" s="20" t="s">
        <v>9</v>
      </c>
      <c r="K52" s="20"/>
      <c r="L52" s="20"/>
    </row>
    <row r="53" spans="2:12">
      <c r="B53" s="1"/>
      <c r="C53" s="1"/>
      <c r="D53" s="1"/>
      <c r="E53" s="1"/>
      <c r="F53" s="20"/>
      <c r="G53" s="20"/>
      <c r="H53" s="20"/>
      <c r="J53" s="20" t="s">
        <v>14</v>
      </c>
      <c r="K53" s="20"/>
      <c r="L53" s="20"/>
    </row>
    <row r="54" spans="2:12">
      <c r="B54" s="1"/>
      <c r="C54" s="1"/>
      <c r="D54" s="1"/>
      <c r="E54" s="1"/>
      <c r="F54" s="20"/>
      <c r="G54" s="20"/>
      <c r="H54" s="20"/>
      <c r="J54" s="20" t="s">
        <v>12</v>
      </c>
      <c r="K54" s="20"/>
      <c r="L54" s="20"/>
    </row>
    <row r="55" spans="2:12">
      <c r="B55" s="1"/>
      <c r="C55" s="1"/>
      <c r="D55" s="1"/>
      <c r="E55" s="1"/>
      <c r="F55" s="20"/>
      <c r="G55" s="20"/>
      <c r="H55" s="20"/>
      <c r="J55" s="20" t="s">
        <v>11</v>
      </c>
      <c r="K55" s="20"/>
      <c r="L55" s="20"/>
    </row>
    <row r="56" spans="2:12">
      <c r="B56" s="1"/>
      <c r="C56" s="1"/>
      <c r="D56" s="1"/>
      <c r="E56" s="1"/>
      <c r="F56" s="20"/>
      <c r="G56" s="20"/>
      <c r="H56" s="20"/>
      <c r="J56" s="20" t="s">
        <v>11</v>
      </c>
      <c r="K56" s="20"/>
      <c r="L56" s="20"/>
    </row>
    <row r="57" spans="2:12">
      <c r="B57" s="1"/>
      <c r="C57" s="1"/>
      <c r="D57" s="1"/>
      <c r="E57" s="1"/>
      <c r="F57" s="20"/>
      <c r="G57" s="20"/>
      <c r="H57" s="20"/>
      <c r="J57" s="20" t="s">
        <v>11</v>
      </c>
      <c r="K57" s="20"/>
      <c r="L57" s="20"/>
    </row>
    <row r="58" spans="2:12">
      <c r="B58" s="1"/>
      <c r="C58" s="1"/>
      <c r="D58" s="1"/>
      <c r="E58" s="1"/>
      <c r="F58" s="20"/>
      <c r="G58" s="20"/>
      <c r="H58" s="20"/>
      <c r="J58" s="20" t="s">
        <v>11</v>
      </c>
      <c r="K58" s="20"/>
      <c r="L58" s="20"/>
    </row>
    <row r="59" spans="2:12">
      <c r="B59" s="1"/>
      <c r="C59" s="1"/>
      <c r="D59" s="1"/>
      <c r="E59" s="1"/>
      <c r="F59" s="20"/>
      <c r="G59" s="20"/>
      <c r="H59" s="20"/>
      <c r="J59" s="20" t="s">
        <v>10</v>
      </c>
      <c r="K59" s="20"/>
      <c r="L59" s="20"/>
    </row>
    <row r="60" spans="2:12">
      <c r="B60" s="20"/>
      <c r="C60" s="20"/>
      <c r="D60" s="20"/>
      <c r="E60" s="20"/>
      <c r="F60" s="20"/>
      <c r="G60" s="20"/>
      <c r="H60" s="20"/>
      <c r="J60" s="20"/>
      <c r="K60" s="20"/>
      <c r="L60" s="20"/>
    </row>
    <row r="61" spans="2:12">
      <c r="B61" s="20"/>
      <c r="C61" s="20"/>
      <c r="D61" s="20"/>
      <c r="E61" s="20"/>
      <c r="F61" s="20"/>
      <c r="G61" s="20"/>
      <c r="H61" s="20"/>
      <c r="J61" s="20"/>
      <c r="K61" s="20"/>
      <c r="L61" s="20"/>
    </row>
  </sheetData>
  <mergeCells count="4">
    <mergeCell ref="B1:H1"/>
    <mergeCell ref="D14:H14"/>
    <mergeCell ref="D13:H13"/>
    <mergeCell ref="G10:H10"/>
  </mergeCells>
  <phoneticPr fontId="1" type="noConversion"/>
  <dataValidations count="1">
    <dataValidation type="list" allowBlank="1" showInputMessage="1" showErrorMessage="1" sqref="L1" xr:uid="{00000000-0002-0000-0000-000000000000}">
      <formula1>Year</formula1>
    </dataValidation>
  </dataValidations>
  <printOptions horizontalCentered="1"/>
  <pageMargins left="0.5" right="0.5" top="0.75" bottom="0.75" header="0.5" footer="0.5"/>
  <pageSetup orientation="portrait" horizontalDpi="4294967292" verticalDpi="4294967292"/>
  <headerFooter alignWithMargins="0"/>
  <customProperties>
    <customPr name="SheetChange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15"/>
  <sheetViews>
    <sheetView showGridLines="0" topLeftCell="A6" workbookViewId="0">
      <selection activeCell="G8" sqref="G8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8" s="1" customFormat="1" ht="59.25" customHeight="1" thickBot="1">
      <c r="B1" s="146">
        <f>DATE(CalendarYear,10,1)</f>
        <v>43739</v>
      </c>
      <c r="C1" s="146"/>
      <c r="D1" s="146"/>
      <c r="E1" s="146"/>
      <c r="F1" s="146"/>
      <c r="G1" s="146"/>
      <c r="H1" s="146"/>
    </row>
    <row r="2" spans="1:8" s="3" customFormat="1" ht="21.75" customHeight="1">
      <c r="A2" s="2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</row>
    <row r="3" spans="1:8" ht="14.1" customHeight="1">
      <c r="B3" s="9" t="str">
        <f>IF(AND(YEAR(OctSun1)=CalendarYear,MONTH(OctSun1)=10),OctSun1, "")</f>
        <v/>
      </c>
      <c r="C3" s="5" t="str">
        <f>IF(AND(YEAR(OctSun1+1)=CalendarYear,MONTH(OctSun1+1)=10),OctSun1+1, "")</f>
        <v/>
      </c>
      <c r="D3" s="5">
        <f>IF(AND(YEAR(OctSun1+2)=CalendarYear,MONTH(OctSun1+2)=10),OctSun1+2, "")</f>
        <v>43739</v>
      </c>
      <c r="E3" s="5">
        <f>IF(AND(YEAR(OctSun1+3)=CalendarYear,MONTH(OctSun1+3)=10),OctSun1+3, "")</f>
        <v>43740</v>
      </c>
      <c r="F3" s="5">
        <f>IF(AND(YEAR(OctSun1+4)=CalendarYear,MONTH(OctSun1+4)=10),OctSun1+4, "")</f>
        <v>43741</v>
      </c>
      <c r="G3" s="5">
        <f>IF(AND(YEAR(OctSun1+5)=CalendarYear,MONTH(OctSun1+5)=10),OctSun1+5, "")</f>
        <v>43742</v>
      </c>
      <c r="H3" s="10">
        <f>IF(AND(YEAR(OctSun1+6)=CalendarYear,MONTH(OctSun1+6)=10),OctSun1+6, "")</f>
        <v>43743</v>
      </c>
    </row>
    <row r="4" spans="1:8" ht="58.35" customHeight="1">
      <c r="B4" s="91"/>
      <c r="C4" s="81"/>
      <c r="D4" s="49" t="s">
        <v>12</v>
      </c>
      <c r="E4" s="129"/>
      <c r="F4" s="49" t="s">
        <v>12</v>
      </c>
      <c r="G4" s="50" t="s">
        <v>13</v>
      </c>
      <c r="H4" s="130"/>
    </row>
    <row r="5" spans="1:8" ht="14.1" customHeight="1">
      <c r="B5" s="11">
        <f>IF(AND(YEAR(OctSun1+7)=CalendarYear,MONTH(OctSun1+7)=10),OctSun1+7, "")</f>
        <v>43744</v>
      </c>
      <c r="C5" s="5">
        <f>IF(AND(YEAR(OctSun1+8)=CalendarYear,MONTH(OctSun1+8)=10),OctSun1+8, "")</f>
        <v>43745</v>
      </c>
      <c r="D5" s="5">
        <f>IF(AND(YEAR(OctSun1+9)=CalendarYear,MONTH(OctSun1+9)=10),OctSun1+9, "")</f>
        <v>43746</v>
      </c>
      <c r="E5" s="5">
        <f>IF(AND(YEAR(OctSun1+10)=CalendarYear,MONTH(OctSun1+10)=10),OctSun1+10, "")</f>
        <v>43747</v>
      </c>
      <c r="F5" s="5">
        <f>IF(AND(YEAR(OctSun1+11)=CalendarYear,MONTH(OctSun1+11)=10),OctSun1+11, "")</f>
        <v>43748</v>
      </c>
      <c r="G5" s="5">
        <f>IF(AND(YEAR(OctSun1+12)=CalendarYear,MONTH(OctSun1+12)=10),OctSun1+12,"")</f>
        <v>43749</v>
      </c>
      <c r="H5" s="10">
        <f>IF(AND(YEAR(OctSun1+13)=CalendarYear,MONTH(OctSun1+13)=10),OctSun1+13, "")</f>
        <v>43750</v>
      </c>
    </row>
    <row r="6" spans="1:8" ht="58.35" customHeight="1">
      <c r="B6" s="94"/>
      <c r="C6" s="94"/>
      <c r="D6" s="94"/>
      <c r="E6" s="94"/>
      <c r="F6" s="50" t="s">
        <v>13</v>
      </c>
      <c r="G6" s="89" t="s">
        <v>81</v>
      </c>
      <c r="H6" s="90"/>
    </row>
    <row r="7" spans="1:8" ht="14.1" customHeight="1">
      <c r="B7" s="11">
        <f>IF(AND(YEAR(OctSun1+14)=CalendarYear,MONTH(OctSun1+14)=10),OctSun1+14, "")</f>
        <v>43751</v>
      </c>
      <c r="C7" s="5">
        <f>IF(AND(YEAR(OctSun1+15)=CalendarYear,MONTH(OctSun1+15)=10),OctSun1+15, "")</f>
        <v>43752</v>
      </c>
      <c r="D7" s="5">
        <f>IF(AND(YEAR(OctSun1+16)=CalendarYear,MONTH(OctSun1+16)=10),OctSun1+16, "")</f>
        <v>43753</v>
      </c>
      <c r="E7" s="5">
        <f>IF(AND(YEAR(OctSun1+17)=CalendarYear,MONTH(OctSun1+17)=10),OctSun1+17, "")</f>
        <v>43754</v>
      </c>
      <c r="F7" s="5">
        <f>IF(AND(YEAR(OctSun1+18)=CalendarYear,MONTH(OctSun1+18)=10),OctSun1+18, "")</f>
        <v>43755</v>
      </c>
      <c r="G7" s="5">
        <f>IF(AND(YEAR(OctSun1+19)=CalendarYear,MONTH(OctSun1+19)=10),OctSun1+19, "")</f>
        <v>43756</v>
      </c>
      <c r="H7" s="10">
        <f>IF(AND(YEAR(OctSun1+20)=CalendarYear,MONTH(OctSun1+20)=10),OctSun1+20, "")</f>
        <v>43757</v>
      </c>
    </row>
    <row r="8" spans="1:8" ht="58.35" customHeight="1">
      <c r="B8" s="71"/>
      <c r="C8" s="89" t="s">
        <v>82</v>
      </c>
      <c r="D8" s="52" t="s">
        <v>14</v>
      </c>
      <c r="E8" s="118"/>
      <c r="F8" s="52" t="s">
        <v>14</v>
      </c>
      <c r="G8" s="48" t="s">
        <v>16</v>
      </c>
      <c r="H8" s="112"/>
    </row>
    <row r="9" spans="1:8" ht="14.1" customHeight="1">
      <c r="B9" s="12">
        <f>IF(AND(YEAR(OctSun1+21)=CalendarYear,MONTH(OctSun1+21)=10),OctSun1+21, "")</f>
        <v>43758</v>
      </c>
      <c r="C9" s="6">
        <f>IF(AND(YEAR(OctSun1+22)=CalendarYear,MONTH(OctSun1+22)=10),OctSun1+22, "")</f>
        <v>43759</v>
      </c>
      <c r="D9" s="6">
        <f>IF(AND(YEAR(OctSun1+23)=CalendarYear,MONTH(OctSun1+23)=10),OctSun1+23, "")</f>
        <v>43760</v>
      </c>
      <c r="E9" s="6">
        <f>IF(AND(YEAR(OctSun1+24)=CalendarYear,MONTH(OctSun1+24)=10),OctSun1+24, "")</f>
        <v>43761</v>
      </c>
      <c r="F9" s="6">
        <f>IF(AND(YEAR(OctSun1+25)=CalendarYear,MONTH(OctSun1+25)=10),OctSun1+25, "")</f>
        <v>43762</v>
      </c>
      <c r="G9" s="6">
        <f>IF(AND(YEAR(OctSun1+26)=CalendarYear,MONTH(OctSun1+26)=10),OctSun1+26, "")</f>
        <v>43763</v>
      </c>
      <c r="H9" s="13">
        <f>IF(AND(YEAR(OctSun1+27)=CalendarYear,MONTH(OctSun1+27)=10),OctSun1+27, "")</f>
        <v>43764</v>
      </c>
    </row>
    <row r="10" spans="1:8" ht="58.35" customHeight="1">
      <c r="B10" s="48" t="s">
        <v>16</v>
      </c>
      <c r="C10" s="47" t="s">
        <v>10</v>
      </c>
      <c r="D10" s="47" t="s">
        <v>10</v>
      </c>
      <c r="E10" s="52" t="s">
        <v>14</v>
      </c>
      <c r="F10" s="52" t="s">
        <v>14</v>
      </c>
      <c r="G10" s="49" t="s">
        <v>12</v>
      </c>
      <c r="H10" s="49"/>
    </row>
    <row r="11" spans="1:8" ht="14.1" customHeight="1">
      <c r="B11" s="12">
        <f>IF(AND(YEAR(OctSun1+28)=CalendarYear,MONTH(OctSun1+28)=10),OctSun1+28, "")</f>
        <v>43765</v>
      </c>
      <c r="C11" s="6">
        <f>IF(AND(YEAR(OctSun1+29)=CalendarYear,MONTH(OctSun1+29)=10),OctSun1+29, "")</f>
        <v>43766</v>
      </c>
      <c r="D11" s="6">
        <f>IF(AND(YEAR(OctSun1+30)=CalendarYear,MONTH(OctSun1+30)=10),OctSun1+30, "")</f>
        <v>43767</v>
      </c>
      <c r="E11" s="6">
        <f>IF(AND(YEAR(OctSun1+31)=CalendarYear,MONTH(OctSun1+31)=10),OctSun1+31, "")</f>
        <v>43768</v>
      </c>
      <c r="F11" s="6">
        <f>IF(AND(YEAR(OctSun1+32)=CalendarYear,MONTH(OctSun1+32)=10),OctSun1+32, "")</f>
        <v>43769</v>
      </c>
      <c r="G11" s="6" t="str">
        <f>IF(AND(YEAR(OctSun1+33)=CalendarYear,MONTH(OctSun1+33)=10),OctSun1+33, "")</f>
        <v/>
      </c>
      <c r="H11" s="13" t="str">
        <f>IF(AND(YEAR(OctSun1+34)=CalendarYear,MONTH(OctSun1+34)=10),OctSun1+34, "")</f>
        <v/>
      </c>
    </row>
    <row r="12" spans="1:8" ht="58.35" customHeight="1">
      <c r="B12" s="49" t="s">
        <v>12</v>
      </c>
      <c r="C12" s="65" t="s">
        <v>9</v>
      </c>
      <c r="D12" s="65" t="s">
        <v>9</v>
      </c>
      <c r="E12" s="47" t="s">
        <v>10</v>
      </c>
      <c r="F12" s="47" t="s">
        <v>10</v>
      </c>
      <c r="G12" s="76"/>
      <c r="H12" s="78"/>
    </row>
    <row r="13" spans="1:8" ht="14.1" customHeight="1">
      <c r="B13" s="143" t="s">
        <v>17</v>
      </c>
      <c r="C13" s="143"/>
      <c r="D13" s="143"/>
      <c r="E13" s="143"/>
      <c r="F13" s="144"/>
      <c r="G13" s="20"/>
      <c r="H13" s="20"/>
    </row>
    <row r="14" spans="1:8" ht="58.35" customHeight="1">
      <c r="B14" s="140"/>
      <c r="C14" s="141"/>
      <c r="D14" s="141"/>
      <c r="E14" s="141"/>
      <c r="F14" s="142"/>
      <c r="G14" s="20"/>
      <c r="H14" s="20"/>
    </row>
    <row r="15" spans="1:8">
      <c r="B15" s="20"/>
      <c r="C15" s="20"/>
      <c r="D15" s="20"/>
      <c r="E15" s="20"/>
      <c r="F15" s="20"/>
      <c r="G15" s="20"/>
      <c r="H15" s="20"/>
    </row>
  </sheetData>
  <mergeCells count="1">
    <mergeCell ref="B1:H1"/>
  </mergeCells>
  <phoneticPr fontId="1" type="noConversion"/>
  <printOptions horizontalCentered="1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4"/>
  <sheetViews>
    <sheetView showGridLines="0" topLeftCell="A8" workbookViewId="0">
      <selection activeCell="G8" sqref="G8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8" s="1" customFormat="1" ht="59.25" customHeight="1" thickBot="1">
      <c r="B1" s="146">
        <f>DATE(CalendarYear,11,1)</f>
        <v>43770</v>
      </c>
      <c r="C1" s="146"/>
      <c r="D1" s="146"/>
      <c r="E1" s="146"/>
      <c r="F1" s="146"/>
      <c r="G1" s="146"/>
      <c r="H1" s="146"/>
    </row>
    <row r="2" spans="1:8" s="3" customFormat="1" ht="21.75" customHeight="1">
      <c r="A2" s="2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</row>
    <row r="3" spans="1:8" ht="14.1" customHeight="1">
      <c r="B3" s="9" t="str">
        <f>IF(AND(YEAR(NovSun1)=CalendarYear,MONTH(NovSun1)=11),NovSun1, "")</f>
        <v/>
      </c>
      <c r="C3" s="5" t="str">
        <f>IF(AND(YEAR(NovSun1+1)=CalendarYear,MONTH(NovSun1+1)=11),NovSun1+1, "")</f>
        <v/>
      </c>
      <c r="D3" s="5" t="str">
        <f>IF(AND(YEAR(NovSun1+2)=CalendarYear,MONTH(NovSun1+2)=11),NovSun1+2, "")</f>
        <v/>
      </c>
      <c r="E3" s="5" t="str">
        <f>IF(AND(YEAR(NovSun1+3)=CalendarYear,MONTH(NovSun1+3)=11),NovSun1+3, "")</f>
        <v/>
      </c>
      <c r="F3" s="5" t="str">
        <f>IF(AND(YEAR(NovSun1+4)=CalendarYear,MONTH(NovSun1+4)=11),NovSun1+4, "")</f>
        <v/>
      </c>
      <c r="G3" s="5">
        <f>IF(AND(YEAR(NovSun1+5)=CalendarYear,MONTH(NovSun1+5)=11),NovSun1+5, "")</f>
        <v>43770</v>
      </c>
      <c r="H3" s="10">
        <f>IF(AND(YEAR(NovSun1+6)=CalendarYear,MONTH(NovSun1+6)=11),NovSun1+6, "")</f>
        <v>43771</v>
      </c>
    </row>
    <row r="4" spans="1:8" ht="58.35" customHeight="1">
      <c r="B4" s="26"/>
      <c r="C4" s="26"/>
      <c r="D4" s="26"/>
      <c r="E4" s="26"/>
      <c r="F4" s="26"/>
      <c r="G4" s="65" t="s">
        <v>9</v>
      </c>
      <c r="H4" s="67"/>
    </row>
    <row r="5" spans="1:8" ht="14.1" customHeight="1">
      <c r="B5" s="11">
        <f>IF(AND(YEAR(NovSun1+7)=CalendarYear,MONTH(NovSun1+7)=11),NovSun1+7, "")</f>
        <v>43772</v>
      </c>
      <c r="C5" s="5">
        <f>IF(AND(YEAR(NovSun1+8)=CalendarYear,MONTH(NovSun1+8)=11),NovSun1+8, "")</f>
        <v>43773</v>
      </c>
      <c r="D5" s="5">
        <f>IF(AND(YEAR(NovSun1+9)=CalendarYear,MONTH(NovSun1+9)=11),NovSun1+9, "")</f>
        <v>43774</v>
      </c>
      <c r="E5" s="5">
        <f>IF(AND(YEAR(NovSun1+10)=CalendarYear,MONTH(NovSun1+10)=11),NovSun1+10, "")</f>
        <v>43775</v>
      </c>
      <c r="F5" s="5">
        <f>IF(AND(YEAR(NovSun1+11)=CalendarYear,MONTH(NovSun1+11)=11),NovSun1+11, "")</f>
        <v>43776</v>
      </c>
      <c r="G5" s="5">
        <f>IF(AND(YEAR(NovSun1+12)=CalendarYear,MONTH(NovSun1+12)=11),NovSun1+12,"")</f>
        <v>43777</v>
      </c>
      <c r="H5" s="10">
        <f>IF(AND(YEAR(NovSun1+13)=CalendarYear,MONTH(NovSun1+13)=11),NovSun1+13, "")</f>
        <v>43778</v>
      </c>
    </row>
    <row r="6" spans="1:8" ht="58.35" customHeight="1">
      <c r="B6" s="65" t="s">
        <v>9</v>
      </c>
      <c r="C6" s="51" t="s">
        <v>11</v>
      </c>
      <c r="D6" s="51"/>
      <c r="E6" s="51"/>
      <c r="F6" s="51" t="s">
        <v>11</v>
      </c>
      <c r="G6" s="52" t="s">
        <v>14</v>
      </c>
      <c r="H6" s="52"/>
    </row>
    <row r="7" spans="1:8" ht="14.1" customHeight="1">
      <c r="B7" s="11">
        <f>IF(AND(YEAR(NovSun1+14)=CalendarYear,MONTH(NovSun1+14)=11),NovSun1+14, "")</f>
        <v>43779</v>
      </c>
      <c r="C7" s="5">
        <f>IF(AND(YEAR(NovSun1+15)=CalendarYear,MONTH(NovSun1+15)=11),NovSun1+15, "")</f>
        <v>43780</v>
      </c>
      <c r="D7" s="5">
        <f>IF(AND(YEAR(NovSun1+16)=CalendarYear,MONTH(NovSun1+16)=11),NovSun1+16, "")</f>
        <v>43781</v>
      </c>
      <c r="E7" s="5">
        <f>IF(AND(YEAR(NovSun1+17)=CalendarYear,MONTH(NovSun1+17)=11),NovSun1+17, "")</f>
        <v>43782</v>
      </c>
      <c r="F7" s="5">
        <f>IF(AND(YEAR(NovSun1+18)=CalendarYear,MONTH(NovSun1+18)=11),NovSun1+18, "")</f>
        <v>43783</v>
      </c>
      <c r="G7" s="5">
        <f>IF(AND(YEAR(NovSun1+19)=CalendarYear,MONTH(NovSun1+19)=11),NovSun1+19, "")</f>
        <v>43784</v>
      </c>
      <c r="H7" s="10">
        <f>IF(AND(YEAR(NovSun1+20)=CalendarYear,MONTH(NovSun1+20)=11),NovSun1+20, "")</f>
        <v>43785</v>
      </c>
    </row>
    <row r="8" spans="1:8" ht="58.35" customHeight="1">
      <c r="B8" s="52" t="s">
        <v>14</v>
      </c>
      <c r="C8" s="49" t="s">
        <v>12</v>
      </c>
      <c r="D8" s="131"/>
      <c r="E8" s="131"/>
      <c r="F8" s="49" t="s">
        <v>12</v>
      </c>
      <c r="G8" s="47" t="s">
        <v>10</v>
      </c>
      <c r="H8" s="132"/>
    </row>
    <row r="9" spans="1:8" ht="14.1" customHeight="1">
      <c r="B9" s="12">
        <f>IF(AND(YEAR(NovSun1+21)=CalendarYear,MONTH(NovSun1+21)=11),NovSun1+21, "")</f>
        <v>43786</v>
      </c>
      <c r="C9" s="6">
        <f>IF(AND(YEAR(NovSun1+22)=CalendarYear,MONTH(NovSun1+22)=11),NovSun1+22, "")</f>
        <v>43787</v>
      </c>
      <c r="D9" s="6">
        <f>IF(AND(YEAR(NovSun1+23)=CalendarYear,MONTH(NovSun1+23)=11),NovSun1+23, "")</f>
        <v>43788</v>
      </c>
      <c r="E9" s="6">
        <f>IF(AND(YEAR(NovSun1+24)=CalendarYear,MONTH(NovSun1+24)=11),NovSun1+24, "")</f>
        <v>43789</v>
      </c>
      <c r="F9" s="6">
        <f>IF(AND(YEAR(NovSun1+25)=CalendarYear,MONTH(NovSun1+25)=11),NovSun1+25, "")</f>
        <v>43790</v>
      </c>
      <c r="G9" s="6">
        <f>IF(AND(YEAR(NovSun1+26)=CalendarYear,MONTH(NovSun1+26)=11),NovSun1+26, "")</f>
        <v>43791</v>
      </c>
      <c r="H9" s="13">
        <f>IF(AND(YEAR(NovSun1+27)=CalendarYear,MONTH(NovSun1+27)=11),NovSun1+27, "")</f>
        <v>43792</v>
      </c>
    </row>
    <row r="10" spans="1:8" ht="58.35" customHeight="1">
      <c r="B10" s="47" t="s">
        <v>10</v>
      </c>
      <c r="C10" s="48" t="s">
        <v>16</v>
      </c>
      <c r="D10" s="48"/>
      <c r="E10" s="48"/>
      <c r="F10" s="48" t="s">
        <v>16</v>
      </c>
      <c r="G10" s="51" t="s">
        <v>11</v>
      </c>
      <c r="H10" s="71"/>
    </row>
    <row r="11" spans="1:8" ht="14.1" customHeight="1">
      <c r="B11" s="12">
        <f>IF(AND(YEAR(NovSun1+28)=CalendarYear,MONTH(NovSun1+28)=11),NovSun1+28, "")</f>
        <v>43793</v>
      </c>
      <c r="C11" s="6">
        <f>IF(AND(YEAR(NovSun1+29)=CalendarYear,MONTH(NovSun1+29)=11),NovSun1+29, "")</f>
        <v>43794</v>
      </c>
      <c r="D11" s="6">
        <f>IF(AND(YEAR(NovSun1+30)=CalendarYear,MONTH(NovSun1+30)=11),NovSun1+30, "")</f>
        <v>43795</v>
      </c>
      <c r="E11" s="6">
        <f>IF(AND(YEAR(NovSun1+31)=CalendarYear,MONTH(NovSun1+31)=11),NovSun1+31, "")</f>
        <v>43796</v>
      </c>
      <c r="F11" s="6">
        <f>IF(AND(YEAR(NovSun1+32)=CalendarYear,MONTH(NovSun1+32)=11),NovSun1+32, "")</f>
        <v>43797</v>
      </c>
      <c r="G11" s="6">
        <f>IF(AND(YEAR(NovSun1+33)=CalendarYear,MONTH(NovSun1+33)=11),NovSun1+33, "")</f>
        <v>43798</v>
      </c>
      <c r="H11" s="13">
        <f>IF(AND(YEAR(NovSun1+34)=CalendarYear,MONTH(NovSun1+34)=11),NovSun1+34, "")</f>
        <v>43799</v>
      </c>
    </row>
    <row r="12" spans="1:8" ht="58.35" customHeight="1">
      <c r="B12" s="51" t="s">
        <v>11</v>
      </c>
      <c r="C12" s="52" t="s">
        <v>14</v>
      </c>
      <c r="D12" s="52"/>
      <c r="E12" s="52"/>
      <c r="F12" s="52" t="s">
        <v>14</v>
      </c>
      <c r="G12" s="49" t="s">
        <v>12</v>
      </c>
      <c r="H12" s="49" t="s">
        <v>12</v>
      </c>
    </row>
    <row r="13" spans="1:8" ht="14.1" customHeight="1">
      <c r="B13" s="25" t="str">
        <f>IF(AND(YEAR(NovSun1+35)=CalendarYear,MONTH(NovSun1+35)=11),NovSun1+35, "")</f>
        <v/>
      </c>
      <c r="C13" s="174" t="s">
        <v>17</v>
      </c>
      <c r="D13" s="174"/>
      <c r="E13" s="174"/>
      <c r="F13" s="174"/>
      <c r="G13" s="174"/>
      <c r="H13" s="175"/>
    </row>
    <row r="14" spans="1:8" ht="58.35" customHeight="1" thickBot="1">
      <c r="B14" s="27"/>
      <c r="C14" s="147"/>
      <c r="D14" s="148"/>
      <c r="E14" s="148"/>
      <c r="F14" s="148"/>
      <c r="G14" s="148"/>
      <c r="H14" s="149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H15"/>
  <sheetViews>
    <sheetView showGridLines="0" topLeftCell="A8" workbookViewId="0">
      <selection activeCell="I10" sqref="I10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8" s="1" customFormat="1" ht="59.25" customHeight="1" thickBot="1">
      <c r="B1" s="146">
        <f>DATE(CalendarYear,12,1)</f>
        <v>43800</v>
      </c>
      <c r="C1" s="146"/>
      <c r="D1" s="146"/>
      <c r="E1" s="146"/>
      <c r="F1" s="146"/>
      <c r="G1" s="146"/>
      <c r="H1" s="146"/>
    </row>
    <row r="2" spans="1:8" s="3" customFormat="1" ht="21.75" customHeight="1">
      <c r="A2" s="2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</row>
    <row r="3" spans="1:8" ht="14.1" customHeight="1">
      <c r="B3" s="9">
        <f>IF(AND(YEAR(DecSun1)=CalendarYear,MONTH(DecSun1)=12),DecSun1, "")</f>
        <v>43800</v>
      </c>
      <c r="C3" s="5">
        <f>IF(AND(YEAR(DecSun1+1)=CalendarYear,MONTH(DecSun1+1)=12),DecSun1+1, "")</f>
        <v>43801</v>
      </c>
      <c r="D3" s="5">
        <f>IF(AND(YEAR(DecSun1+2)=CalendarYear,MONTH(DecSun1+2)=12),DecSun1+2, "")</f>
        <v>43802</v>
      </c>
      <c r="E3" s="5">
        <f>IF(AND(YEAR(DecSun1+3)=CalendarYear,MONTH(DecSun1+3)=12),DecSun1+3, "")</f>
        <v>43803</v>
      </c>
      <c r="F3" s="5">
        <f>IF(AND(YEAR(DecSun1+4)=CalendarYear,MONTH(DecSun1+4)=12),DecSun1+4, "")</f>
        <v>43804</v>
      </c>
      <c r="G3" s="5">
        <f>IF(AND(YEAR(DecSun1+5)=CalendarYear,MONTH(DecSun1+5)=12),DecSun1+5, "")</f>
        <v>43805</v>
      </c>
      <c r="H3" s="10">
        <f>IF(AND(YEAR(DecSun1+6)=CalendarYear,MONTH(DecSun1+6)=12),DecSun1+6, "")</f>
        <v>43806</v>
      </c>
    </row>
    <row r="4" spans="1:8" ht="58.35" customHeight="1">
      <c r="B4" s="49" t="s">
        <v>12</v>
      </c>
      <c r="C4" s="133"/>
      <c r="D4" s="49" t="s">
        <v>12</v>
      </c>
      <c r="E4" s="50" t="s">
        <v>13</v>
      </c>
      <c r="F4" s="50" t="s">
        <v>13</v>
      </c>
      <c r="G4" s="65" t="s">
        <v>9</v>
      </c>
      <c r="H4" s="134"/>
    </row>
    <row r="5" spans="1:8" ht="14.1" customHeight="1">
      <c r="B5" s="11">
        <f>IF(AND(YEAR(DecSun1+7)=CalendarYear,MONTH(DecSun1+7)=12),DecSun1+7, "")</f>
        <v>43807</v>
      </c>
      <c r="C5" s="5">
        <f>IF(AND(YEAR(DecSun1+8)=CalendarYear,MONTH(DecSun1+8)=12),DecSun1+8, "")</f>
        <v>43808</v>
      </c>
      <c r="D5" s="5">
        <f>IF(AND(YEAR(DecSun1+9)=CalendarYear,MONTH(DecSun1+9)=12),DecSun1+9, "")</f>
        <v>43809</v>
      </c>
      <c r="E5" s="5">
        <f>IF(AND(YEAR(DecSun1+10)=CalendarYear,MONTH(DecSun1+10)=12),DecSun1+10, "")</f>
        <v>43810</v>
      </c>
      <c r="F5" s="5">
        <f>IF(AND(YEAR(DecSun1+11)=CalendarYear,MONTH(DecSun1+11)=12),DecSun1+11, "")</f>
        <v>43811</v>
      </c>
      <c r="G5" s="5">
        <f>IF(AND(YEAR(DecSun1+12)=CalendarYear,MONTH(DecSun1+12)=12),DecSun1+12,"")</f>
        <v>43812</v>
      </c>
      <c r="H5" s="10">
        <f>IF(AND(YEAR(DecSun1+13)=CalendarYear,MONTH(DecSun1+13)=12),DecSun1+13, "")</f>
        <v>43813</v>
      </c>
    </row>
    <row r="6" spans="1:8" ht="58.35" customHeight="1">
      <c r="B6" s="107"/>
      <c r="C6" s="134"/>
      <c r="D6" s="65" t="s">
        <v>9</v>
      </c>
      <c r="E6" s="48" t="s">
        <v>16</v>
      </c>
      <c r="F6" s="48" t="s">
        <v>16</v>
      </c>
      <c r="G6" s="52" t="s">
        <v>14</v>
      </c>
      <c r="H6" s="68"/>
    </row>
    <row r="7" spans="1:8" ht="14.1" customHeight="1">
      <c r="B7" s="11">
        <f>IF(AND(YEAR(DecSun1+14)=CalendarYear,MONTH(DecSun1+14)=12),DecSun1+14, "")</f>
        <v>43814</v>
      </c>
      <c r="C7" s="5">
        <f>IF(AND(YEAR(DecSun1+15)=CalendarYear,MONTH(DecSun1+15)=12),DecSun1+15, "")</f>
        <v>43815</v>
      </c>
      <c r="D7" s="5">
        <f>IF(AND(YEAR(DecSun1+16)=CalendarYear,MONTH(DecSun1+16)=12),DecSun1+16, "")</f>
        <v>43816</v>
      </c>
      <c r="E7" s="5">
        <f>IF(AND(YEAR(DecSun1+17)=CalendarYear,MONTH(DecSun1+17)=12),DecSun1+17, "")</f>
        <v>43817</v>
      </c>
      <c r="F7" s="5">
        <f>IF(AND(YEAR(DecSun1+18)=CalendarYear,MONTH(DecSun1+18)=12),DecSun1+18, "")</f>
        <v>43818</v>
      </c>
      <c r="G7" s="5">
        <f>IF(AND(YEAR(DecSun1+19)=CalendarYear,MONTH(DecSun1+19)=12),DecSun1+19, "")</f>
        <v>43819</v>
      </c>
      <c r="H7" s="10">
        <f>IF(AND(YEAR(DecSun1+20)=CalendarYear,MONTH(DecSun1+20)=12),DecSun1+20, "")</f>
        <v>43820</v>
      </c>
    </row>
    <row r="8" spans="1:8" ht="58.35" customHeight="1">
      <c r="B8" s="52" t="s">
        <v>14</v>
      </c>
      <c r="C8" s="47" t="s">
        <v>10</v>
      </c>
      <c r="D8" s="47"/>
      <c r="E8" s="47"/>
      <c r="F8" s="47" t="s">
        <v>10</v>
      </c>
      <c r="G8" s="180" t="s">
        <v>83</v>
      </c>
      <c r="H8" s="181"/>
    </row>
    <row r="9" spans="1:8" ht="14.1" customHeight="1">
      <c r="B9" s="12">
        <f>IF(AND(YEAR(DecSun1+21)=CalendarYear,MONTH(DecSun1+21)=12),DecSun1+21, "")</f>
        <v>43821</v>
      </c>
      <c r="C9" s="6">
        <f>IF(AND(YEAR(DecSun1+22)=CalendarYear,MONTH(DecSun1+22)=12),DecSun1+22, "")</f>
        <v>43822</v>
      </c>
      <c r="D9" s="6">
        <f>IF(AND(YEAR(DecSun1+23)=CalendarYear,MONTH(DecSun1+23)=12),DecSun1+23, "")</f>
        <v>43823</v>
      </c>
      <c r="E9" s="6">
        <f>IF(AND(YEAR(DecSun1+24)=CalendarYear,MONTH(DecSun1+24)=12),DecSun1+24, "")</f>
        <v>43824</v>
      </c>
      <c r="F9" s="6">
        <f>IF(AND(YEAR(DecSun1+25)=CalendarYear,MONTH(DecSun1+25)=12),DecSun1+25, "")</f>
        <v>43825</v>
      </c>
      <c r="G9" s="6">
        <f>IF(AND(YEAR(DecSun1+26)=CalendarYear,MONTH(DecSun1+26)=12),DecSun1+26, "")</f>
        <v>43826</v>
      </c>
      <c r="H9" s="13">
        <f>IF(AND(YEAR(DecSun1+27)=CalendarYear,MONTH(DecSun1+27)=12),DecSun1+27, "")</f>
        <v>43827</v>
      </c>
    </row>
    <row r="10" spans="1:8" ht="58.35" customHeight="1">
      <c r="B10" s="178" t="s">
        <v>84</v>
      </c>
      <c r="C10" s="179"/>
      <c r="D10" s="179"/>
      <c r="E10" s="179"/>
      <c r="F10" s="179"/>
      <c r="G10" s="182" t="s">
        <v>85</v>
      </c>
      <c r="H10" s="183"/>
    </row>
    <row r="11" spans="1:8" ht="14.1" customHeight="1">
      <c r="B11" s="12">
        <f>IF(AND(YEAR(DecSun1+28)=CalendarYear,MONTH(DecSun1+28)=12),DecSun1+28, "")</f>
        <v>43828</v>
      </c>
      <c r="C11" s="6">
        <f>IF(AND(YEAR(DecSun1+29)=CalendarYear,MONTH(DecSun1+29)=12),DecSun1+29, "")</f>
        <v>43829</v>
      </c>
      <c r="D11" s="6">
        <f>IF(AND(YEAR(DecSun1+30)=CalendarYear,MONTH(DecSun1+30)=12),DecSun1+30, "")</f>
        <v>43830</v>
      </c>
      <c r="E11" s="6" t="str">
        <f>IF(AND(YEAR(DecSun1+31)=CalendarYear,MONTH(DecSun1+31)=12),DecSun1+31, "")</f>
        <v/>
      </c>
      <c r="F11" s="6" t="str">
        <f>IF(AND(YEAR(DecSun1+32)=CalendarYear,MONTH(DecSun1+32)=12),DecSun1+32, "")</f>
        <v/>
      </c>
      <c r="G11" s="6" t="str">
        <f>IF(AND(YEAR(DecSun1+33)=CalendarYear,MONTH(DecSun1+33)=12),DecSun1+33, "")</f>
        <v/>
      </c>
      <c r="H11" s="13" t="str">
        <f>IF(AND(YEAR(DecSun1+34)=CalendarYear,MONTH(DecSun1+34)=12),DecSun1+34, "")</f>
        <v/>
      </c>
    </row>
    <row r="12" spans="1:8" ht="58.35" customHeight="1">
      <c r="B12" s="177" t="s">
        <v>86</v>
      </c>
      <c r="C12" s="177"/>
      <c r="D12" s="177"/>
      <c r="E12" s="93"/>
      <c r="F12" s="93"/>
      <c r="G12" s="93"/>
      <c r="H12" s="93"/>
    </row>
    <row r="13" spans="1:8" ht="14.1" customHeight="1">
      <c r="B13" s="25" t="str">
        <f>IF(AND(YEAR(DecSun1+35)=CalendarYear,MONTH(DecSun1+35)=12),DecSun1+35, "")</f>
        <v/>
      </c>
      <c r="C13" s="23" t="str">
        <f>IF(AND(YEAR(DecSun1+36)=CalendarYear,MONTH(DecSun1+36)=12),DecSun1+36, "")</f>
        <v/>
      </c>
      <c r="D13" s="150" t="s">
        <v>17</v>
      </c>
      <c r="E13" s="150"/>
      <c r="F13" s="150"/>
      <c r="G13" s="150"/>
      <c r="H13" s="151"/>
    </row>
    <row r="14" spans="1:8" ht="58.35" customHeight="1">
      <c r="B14" s="92"/>
      <c r="C14" s="92"/>
      <c r="D14" s="176"/>
      <c r="E14" s="148"/>
      <c r="F14" s="148"/>
      <c r="G14" s="148"/>
      <c r="H14" s="149"/>
    </row>
    <row r="15" spans="1:8">
      <c r="B15" s="20"/>
      <c r="C15" s="20"/>
      <c r="D15" s="20"/>
      <c r="E15" s="20"/>
      <c r="F15" s="20"/>
      <c r="G15" s="20"/>
      <c r="H15" s="53"/>
    </row>
  </sheetData>
  <mergeCells count="7">
    <mergeCell ref="B1:H1"/>
    <mergeCell ref="D13:H13"/>
    <mergeCell ref="D14:H14"/>
    <mergeCell ref="B12:D12"/>
    <mergeCell ref="B10:F10"/>
    <mergeCell ref="G8:H8"/>
    <mergeCell ref="G10:H10"/>
  </mergeCells>
  <phoneticPr fontId="1" type="noConversion"/>
  <printOptions horizontalCentered="1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2"/>
  <sheetViews>
    <sheetView workbookViewId="0">
      <selection activeCell="A11" sqref="A11"/>
    </sheetView>
  </sheetViews>
  <sheetFormatPr defaultColWidth="8.625" defaultRowHeight="14.25"/>
  <cols>
    <col min="1" max="1" width="10.375" style="4" customWidth="1"/>
    <col min="2" max="3" width="9.375" style="4" customWidth="1"/>
    <col min="4" max="16384" width="8.625" style="4"/>
  </cols>
  <sheetData>
    <row r="1" spans="1:3" ht="16.5">
      <c r="A1" s="20" t="s">
        <v>87</v>
      </c>
      <c r="B1" s="54" t="s">
        <v>88</v>
      </c>
      <c r="C1" s="20"/>
    </row>
    <row r="2" spans="1:3" ht="16.5">
      <c r="A2" s="21">
        <v>2010</v>
      </c>
      <c r="B2" s="54"/>
      <c r="C2" s="20"/>
    </row>
    <row r="3" spans="1:3" ht="16.5">
      <c r="A3" s="21">
        <v>2011</v>
      </c>
      <c r="B3" s="54"/>
      <c r="C3" s="20"/>
    </row>
    <row r="4" spans="1:3" ht="16.5">
      <c r="A4" s="21">
        <v>2012</v>
      </c>
      <c r="B4" s="54"/>
      <c r="C4" s="20"/>
    </row>
    <row r="5" spans="1:3" ht="16.5">
      <c r="A5" s="21">
        <v>2013</v>
      </c>
      <c r="B5" s="54"/>
      <c r="C5" s="20"/>
    </row>
    <row r="6" spans="1:3" ht="16.5">
      <c r="A6" s="21">
        <v>2014</v>
      </c>
      <c r="B6" s="54"/>
      <c r="C6" s="20"/>
    </row>
    <row r="7" spans="1:3" ht="16.5">
      <c r="A7" s="21">
        <v>2015</v>
      </c>
      <c r="B7" s="54"/>
      <c r="C7" s="20"/>
    </row>
    <row r="8" spans="1:3" ht="16.5">
      <c r="A8" s="22">
        <v>2016</v>
      </c>
      <c r="B8" s="54"/>
      <c r="C8" s="20"/>
    </row>
    <row r="9" spans="1:3" ht="16.5">
      <c r="A9" s="22">
        <v>2017</v>
      </c>
      <c r="B9" s="54"/>
      <c r="C9" s="54"/>
    </row>
    <row r="10" spans="1:3" ht="16.5">
      <c r="A10" s="44">
        <v>2018</v>
      </c>
      <c r="B10" s="54"/>
      <c r="C10" s="20"/>
    </row>
    <row r="11" spans="1:3" ht="16.5">
      <c r="A11" s="44">
        <v>2019</v>
      </c>
      <c r="B11" s="54"/>
      <c r="C11" s="20"/>
    </row>
    <row r="12" spans="1:3" ht="16.5">
      <c r="A12" s="21"/>
      <c r="B12" s="21"/>
      <c r="C12" s="20"/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4"/>
  <sheetViews>
    <sheetView showGridLines="0" workbookViewId="0">
      <selection activeCell="G4" sqref="G4:H4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10" s="1" customFormat="1" ht="59.25" customHeight="1" thickBot="1">
      <c r="B1" s="146">
        <f>DATE(CalendarYear,2,1)</f>
        <v>43497</v>
      </c>
      <c r="C1" s="146"/>
      <c r="D1" s="146"/>
      <c r="E1" s="146"/>
      <c r="F1" s="146"/>
      <c r="G1" s="146"/>
      <c r="H1" s="146"/>
    </row>
    <row r="2" spans="1:10" s="3" customFormat="1" ht="21.75" customHeight="1">
      <c r="A2" s="2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</row>
    <row r="3" spans="1:10" ht="14.1" customHeight="1">
      <c r="B3" s="9" t="str">
        <f>IF(AND(YEAR(FebSun1)=CalendarYear,MONTH(FebSun1)=2),FebSun1, "")</f>
        <v/>
      </c>
      <c r="C3" s="5" t="str">
        <f>IF(AND(YEAR(FebSun1+1)=CalendarYear,MONTH(FebSun1+1)=2),FebSun1+1, "")</f>
        <v/>
      </c>
      <c r="D3" s="5" t="str">
        <f>IF(AND(YEAR(FebSun1+2)=CalendarYear,MONTH(FebSun1+2)=2),FebSun1+2, "")</f>
        <v/>
      </c>
      <c r="E3" s="5" t="str">
        <f>IF(AND(YEAR(FebSun1+3)=CalendarYear,MONTH(FebSun1+3)=2),FebSun1+3, "")</f>
        <v/>
      </c>
      <c r="F3" s="5" t="str">
        <f>IF(AND(YEAR(FebSun1+4)=CalendarYear,MONTH(FebSun1+4)=2),FebSun1+4, "")</f>
        <v/>
      </c>
      <c r="G3" s="5">
        <f>IF(AND(YEAR(FebSun1+5)=CalendarYear,MONTH(FebSun1+5)=2),FebSun1+5, "")</f>
        <v>43497</v>
      </c>
      <c r="H3" s="10">
        <f>IF(AND(YEAR(FebSun1+6)=CalendarYear,MONTH(FebSun1+6)=2),FebSun1+6, "")</f>
        <v>43498</v>
      </c>
      <c r="I3" s="20"/>
      <c r="J3" s="20"/>
    </row>
    <row r="4" spans="1:10" ht="58.35" customHeight="1">
      <c r="B4" s="79"/>
      <c r="C4" s="79"/>
      <c r="D4" s="79"/>
      <c r="E4" s="79"/>
      <c r="F4" s="79"/>
      <c r="G4" s="114" t="s">
        <v>9</v>
      </c>
      <c r="H4" s="109"/>
      <c r="I4" s="20"/>
      <c r="J4" s="97"/>
    </row>
    <row r="5" spans="1:10" ht="14.1" customHeight="1">
      <c r="B5" s="11">
        <f>IF(AND(YEAR(FebSun1+7)=CalendarYear,MONTH(FebSun1+7)=2),FebSun1+7, "")</f>
        <v>43499</v>
      </c>
      <c r="C5" s="5">
        <f>IF(AND(YEAR(FebSun1+8)=CalendarYear,MONTH(FebSun1+8)=2),FebSun1+8, "")</f>
        <v>43500</v>
      </c>
      <c r="D5" s="5">
        <f>IF(AND(YEAR(FebSun1+9)=CalendarYear,MONTH(FebSun1+9)=2),FebSun1+9, "")</f>
        <v>43501</v>
      </c>
      <c r="E5" s="5">
        <f>IF(AND(YEAR(FebSun1+10)=CalendarYear,MONTH(FebSun1+10)=2),FebSun1+10, "")</f>
        <v>43502</v>
      </c>
      <c r="F5" s="5">
        <f>IF(AND(YEAR(FebSun1+11)=CalendarYear,MONTH(FebSun1+11)=2),FebSun1+11, "")</f>
        <v>43503</v>
      </c>
      <c r="G5" s="5">
        <f>IF(AND(YEAR(FebSun1+12)=CalendarYear,MONTH(FebSun1+12)=2),FebSun1+12,"")</f>
        <v>43504</v>
      </c>
      <c r="H5" s="10">
        <f>IF(AND(YEAR(FebSun1+13)=CalendarYear,MONTH(FebSun1+13)=2),FebSun1+13, "")</f>
        <v>43505</v>
      </c>
      <c r="I5" s="20"/>
      <c r="J5" s="20"/>
    </row>
    <row r="6" spans="1:10" ht="58.35" customHeight="1">
      <c r="B6" s="114" t="s">
        <v>9</v>
      </c>
      <c r="C6" s="48" t="s">
        <v>16</v>
      </c>
      <c r="D6" s="48"/>
      <c r="E6" s="48"/>
      <c r="F6" s="48" t="s">
        <v>16</v>
      </c>
      <c r="G6" s="71" t="s">
        <v>11</v>
      </c>
      <c r="H6" s="71"/>
      <c r="I6" s="20"/>
      <c r="J6" s="20"/>
    </row>
    <row r="7" spans="1:10" ht="14.1" customHeight="1">
      <c r="B7" s="11">
        <f>IF(AND(YEAR(FebSun1+14)=CalendarYear,MONTH(FebSun1+14)=2),FebSun1+14, "")</f>
        <v>43506</v>
      </c>
      <c r="C7" s="5">
        <f>IF(AND(YEAR(FebSun1+15)=CalendarYear,MONTH(FebSun1+15)=2),FebSun1+15, "")</f>
        <v>43507</v>
      </c>
      <c r="D7" s="5">
        <f>IF(AND(YEAR(FebSun1+16)=CalendarYear,MONTH(FebSun1+16)=2),FebSun1+16, "")</f>
        <v>43508</v>
      </c>
      <c r="E7" s="5">
        <f>IF(AND(YEAR(FebSun1+17)=CalendarYear,MONTH(FebSun1+17)=2),FebSun1+17, "")</f>
        <v>43509</v>
      </c>
      <c r="F7" s="5">
        <f>IF(AND(YEAR(FebSun1+18)=CalendarYear,MONTH(FebSun1+18)=2),FebSun1+18, "")</f>
        <v>43510</v>
      </c>
      <c r="G7" s="5">
        <f>IF(AND(YEAR(FebSun1+19)=CalendarYear,MONTH(FebSun1+19)=2),FebSun1+19, "")</f>
        <v>43511</v>
      </c>
      <c r="H7" s="10">
        <f>IF(AND(YEAR(FebSun1+20)=CalendarYear,MONTH(FebSun1+20)=2),FebSun1+20, "")</f>
        <v>43512</v>
      </c>
      <c r="I7" s="20"/>
      <c r="J7" s="20"/>
    </row>
    <row r="8" spans="1:10" ht="58.35" customHeight="1">
      <c r="B8" s="71" t="s">
        <v>11</v>
      </c>
      <c r="C8" s="101" t="s">
        <v>12</v>
      </c>
      <c r="D8" s="101" t="s">
        <v>12</v>
      </c>
      <c r="E8" s="104" t="s">
        <v>14</v>
      </c>
      <c r="F8" s="104" t="s">
        <v>14</v>
      </c>
      <c r="G8" s="50" t="s">
        <v>13</v>
      </c>
      <c r="H8" s="50"/>
      <c r="I8" s="20"/>
      <c r="J8" s="20"/>
    </row>
    <row r="9" spans="1:10" ht="14.1" customHeight="1">
      <c r="B9" s="12">
        <f>IF(AND(YEAR(FebSun1+21)=CalendarYear,MONTH(FebSun1+21)=2),FebSun1+21, "")</f>
        <v>43513</v>
      </c>
      <c r="C9" s="6">
        <f>IF(AND(YEAR(FebSun1+22)=CalendarYear,MONTH(FebSun1+22)=2),FebSun1+22, "")</f>
        <v>43514</v>
      </c>
      <c r="D9" s="6">
        <f>IF(AND(YEAR(FebSun1+23)=CalendarYear,MONTH(FebSun1+23)=2),FebSun1+23, "")</f>
        <v>43515</v>
      </c>
      <c r="E9" s="6">
        <f>IF(AND(YEAR(FebSun1+24)=CalendarYear,MONTH(FebSun1+24)=2),FebSun1+24, "")</f>
        <v>43516</v>
      </c>
      <c r="F9" s="6">
        <f>IF(AND(YEAR(FebSun1+25)=CalendarYear,MONTH(FebSun1+25)=2),FebSun1+25, "")</f>
        <v>43517</v>
      </c>
      <c r="G9" s="6">
        <f>IF(AND(YEAR(FebSun1+26)=CalendarYear,MONTH(FebSun1+26)=2),FebSun1+26, "")</f>
        <v>43518</v>
      </c>
      <c r="H9" s="13">
        <f>IF(AND(YEAR(FebSun1+27)=CalendarYear,MONTH(FebSun1+27)=2),FebSun1+27, "")</f>
        <v>43519</v>
      </c>
      <c r="I9" s="20"/>
      <c r="J9" s="20"/>
    </row>
    <row r="10" spans="1:10" ht="58.35" customHeight="1">
      <c r="B10" s="108"/>
      <c r="C10" s="137" t="s">
        <v>59</v>
      </c>
      <c r="D10" s="71" t="s">
        <v>11</v>
      </c>
      <c r="E10" s="110"/>
      <c r="F10" s="71" t="s">
        <v>11</v>
      </c>
      <c r="G10" s="101" t="s">
        <v>12</v>
      </c>
      <c r="H10" s="87"/>
      <c r="I10" s="20"/>
      <c r="J10" s="20"/>
    </row>
    <row r="11" spans="1:10" ht="14.1" customHeight="1">
      <c r="B11" s="12">
        <f>IF(AND(YEAR(FebSun1+28)=CalendarYear,MONTH(FebSun1+28)=2),FebSun1+28, "")</f>
        <v>43520</v>
      </c>
      <c r="C11" s="6">
        <f>IF(AND(YEAR(FebSun1+29)=CalendarYear,MONTH(FebSun1+29)=2),FebSun1+29, "")</f>
        <v>43521</v>
      </c>
      <c r="D11" s="6">
        <f>IF(AND(YEAR(FebSun1+30)=CalendarYear,MONTH(FebSun1+30)=2),FebSun1+30, "")</f>
        <v>43522</v>
      </c>
      <c r="E11" s="6">
        <f>IF(AND(YEAR(FebSun1+31)=CalendarYear,MONTH(FebSun1+31)=2),FebSun1+31, "")</f>
        <v>43523</v>
      </c>
      <c r="F11" s="6">
        <f>IF(AND(YEAR(FebSun1+32)=CalendarYear,MONTH(FebSun1+32)=2),FebSun1+32, "")</f>
        <v>43524</v>
      </c>
      <c r="G11" s="6" t="str">
        <f>IF(AND(YEAR(FebSun1+33)=CalendarYear,MONTH(FebSun1+33)=2),FebSun1+33, "")</f>
        <v/>
      </c>
      <c r="H11" s="13" t="str">
        <f>IF(AND(YEAR(FebSun1+34)=CalendarYear,MONTH(FebSun1+34)=2),FebSun1+34, "")</f>
        <v/>
      </c>
      <c r="I11" s="20"/>
      <c r="J11" s="20"/>
    </row>
    <row r="12" spans="1:10" ht="58.35" customHeight="1">
      <c r="B12" s="101" t="s">
        <v>12</v>
      </c>
      <c r="C12" s="96" t="s">
        <v>10</v>
      </c>
      <c r="D12" s="111"/>
      <c r="E12" s="111"/>
      <c r="F12" s="96" t="s">
        <v>10</v>
      </c>
      <c r="G12" s="76"/>
      <c r="H12" s="76"/>
      <c r="I12" s="20"/>
      <c r="J12" s="20"/>
    </row>
    <row r="13" spans="1:10" ht="14.1" customHeight="1">
      <c r="B13" s="155" t="s">
        <v>17</v>
      </c>
      <c r="C13" s="156"/>
      <c r="D13" s="156"/>
      <c r="E13" s="156"/>
      <c r="F13" s="156"/>
      <c r="G13" s="156"/>
      <c r="H13" s="157"/>
      <c r="I13" s="20"/>
      <c r="J13" s="20"/>
    </row>
    <row r="14" spans="1:10" ht="58.35" customHeight="1" thickBot="1">
      <c r="B14" s="154"/>
      <c r="C14" s="148"/>
      <c r="D14" s="148"/>
      <c r="E14" s="148"/>
      <c r="F14" s="148"/>
      <c r="G14" s="148"/>
      <c r="H14" s="149"/>
      <c r="I14" s="20"/>
      <c r="J14" s="20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5"/>
  <sheetViews>
    <sheetView showGridLines="0" topLeftCell="A2" workbookViewId="0">
      <selection activeCell="B12" sqref="B12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8" s="1" customFormat="1" ht="59.25" customHeight="1" thickBot="1">
      <c r="B1" s="146">
        <f>DATE(CalendarYear,3,1)</f>
        <v>43525</v>
      </c>
      <c r="C1" s="146"/>
      <c r="D1" s="146"/>
      <c r="E1" s="146"/>
      <c r="F1" s="146"/>
      <c r="G1" s="146"/>
      <c r="H1" s="146"/>
    </row>
    <row r="2" spans="1:8" s="3" customFormat="1" ht="21.75" customHeight="1">
      <c r="A2" s="2"/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7</v>
      </c>
    </row>
    <row r="3" spans="1:8" ht="14.1" customHeight="1">
      <c r="B3" s="9" t="str">
        <f>IF(AND(YEAR(MarSun1)=CalendarYear,MONTH(MarSun1)=3),MarSun1, "")</f>
        <v/>
      </c>
      <c r="C3" s="5" t="str">
        <f>IF(AND(YEAR(MarSun1+1)=CalendarYear,MONTH(MarSun1+1)=3),MarSun1+1, "")</f>
        <v/>
      </c>
      <c r="D3" s="5" t="str">
        <f>IF(AND(YEAR(MarSun1+2)=CalendarYear,MONTH(MarSun1+2)=3),MarSun1+2, "")</f>
        <v/>
      </c>
      <c r="E3" s="5" t="str">
        <f>IF(AND(YEAR(MarSun1+3)=CalendarYear,MONTH(MarSun1+3)=3),MarSun1+3, "")</f>
        <v/>
      </c>
      <c r="F3" s="5" t="str">
        <f>IF(AND(YEAR(MarSun1+4)=CalendarYear,MONTH(MarSun1+4)=3),MarSun1+4, "")</f>
        <v/>
      </c>
      <c r="G3" s="5">
        <f>IF(AND(YEAR(MarSun1+5)=CalendarYear,MONTH(MarSun1+5)=3),MarSun1+5, "")</f>
        <v>43525</v>
      </c>
      <c r="H3" s="10">
        <f>IF(AND(YEAR(MarSun1+6)=CalendarYear,MONTH(MarSun1+6)=3),MarSun1+6, "")</f>
        <v>43526</v>
      </c>
    </row>
    <row r="4" spans="1:8" ht="58.35" customHeight="1">
      <c r="B4" s="79"/>
      <c r="C4" s="79"/>
      <c r="D4" s="79"/>
      <c r="E4" s="79"/>
      <c r="F4" s="79"/>
      <c r="G4" s="96" t="s">
        <v>10</v>
      </c>
      <c r="H4" s="96"/>
    </row>
    <row r="5" spans="1:8" ht="14.1" customHeight="1">
      <c r="B5" s="11">
        <f>IF(AND(YEAR(MarSun1+7)=CalendarYear,MONTH(MarSun1+7)=3),MarSun1+7, "")</f>
        <v>43527</v>
      </c>
      <c r="C5" s="5">
        <f>IF(AND(YEAR(MarSun1+8)=CalendarYear,MONTH(MarSun1+8)=3),MarSun1+8, "")</f>
        <v>43528</v>
      </c>
      <c r="D5" s="5">
        <f>IF(AND(YEAR(MarSun1+9)=CalendarYear,MONTH(MarSun1+9)=3),MarSun1+9, "")</f>
        <v>43529</v>
      </c>
      <c r="E5" s="5">
        <f>IF(AND(YEAR(MarSun1+10)=CalendarYear,MONTH(MarSun1+10)=3),MarSun1+10, "")</f>
        <v>43530</v>
      </c>
      <c r="F5" s="5">
        <f>IF(AND(YEAR(MarSun1+11)=CalendarYear,MONTH(MarSun1+11)=3),MarSun1+11, "")</f>
        <v>43531</v>
      </c>
      <c r="G5" s="5">
        <f>IF(AND(YEAR(MarSun1+12)=CalendarYear,MONTH(MarSun1+12)=3),MarSun1+12,"")</f>
        <v>43532</v>
      </c>
      <c r="H5" s="10">
        <f>IF(AND(YEAR(MarSun1+13)=CalendarYear,MONTH(MarSun1+13)=3),MarSun1+13, "")</f>
        <v>43533</v>
      </c>
    </row>
    <row r="6" spans="1:8" ht="58.35" customHeight="1">
      <c r="B6" s="96" t="s">
        <v>10</v>
      </c>
      <c r="C6" s="136" t="s">
        <v>16</v>
      </c>
      <c r="D6" s="163" t="s">
        <v>60</v>
      </c>
      <c r="E6" s="164"/>
      <c r="F6" s="136" t="s">
        <v>16</v>
      </c>
      <c r="G6" s="158" t="s">
        <v>61</v>
      </c>
      <c r="H6" s="159"/>
    </row>
    <row r="7" spans="1:8" ht="14.1" customHeight="1">
      <c r="B7" s="11">
        <f>IF(AND(YEAR(MarSun1+14)=CalendarYear,MONTH(MarSun1+14)=3),MarSun1+14, "")</f>
        <v>43534</v>
      </c>
      <c r="C7" s="5">
        <f>IF(AND(YEAR(MarSun1+15)=CalendarYear,MONTH(MarSun1+15)=3),MarSun1+15, "")</f>
        <v>43535</v>
      </c>
      <c r="D7" s="5">
        <f>IF(AND(YEAR(MarSun1+16)=CalendarYear,MONTH(MarSun1+16)=3),MarSun1+16, "")</f>
        <v>43536</v>
      </c>
      <c r="E7" s="5">
        <f>IF(AND(YEAR(MarSun1+17)=CalendarYear,MONTH(MarSun1+17)=3),MarSun1+17, "")</f>
        <v>43537</v>
      </c>
      <c r="F7" s="5">
        <f>IF(AND(YEAR(MarSun1+18)=CalendarYear,MONTH(MarSun1+18)=3),MarSun1+18, "")</f>
        <v>43538</v>
      </c>
      <c r="G7" s="5">
        <f>IF(AND(YEAR(MarSun1+19)=CalendarYear,MONTH(MarSun1+19)=3),MarSun1+19, "")</f>
        <v>43539</v>
      </c>
      <c r="H7" s="10">
        <f>IF(AND(YEAR(MarSun1+20)=CalendarYear,MONTH(MarSun1+20)=3),MarSun1+20, "")</f>
        <v>43540</v>
      </c>
    </row>
    <row r="8" spans="1:8" ht="58.35" customHeight="1">
      <c r="B8" s="135" t="s">
        <v>14</v>
      </c>
      <c r="C8" s="161" t="s">
        <v>62</v>
      </c>
      <c r="D8" s="162"/>
      <c r="E8" s="160" t="s">
        <v>63</v>
      </c>
      <c r="F8" s="160"/>
      <c r="G8" s="161" t="s">
        <v>64</v>
      </c>
      <c r="H8" s="162"/>
    </row>
    <row r="9" spans="1:8" ht="14.1" customHeight="1">
      <c r="B9" s="45">
        <v>17</v>
      </c>
      <c r="C9" s="46">
        <v>18</v>
      </c>
      <c r="D9" s="6">
        <f>IF(AND(YEAR(MarSun1+23)=CalendarYear,MONTH(MarSun1+23)=3),MarSun1+23, "")</f>
        <v>43543</v>
      </c>
      <c r="E9" s="6">
        <f>IF(AND(YEAR(MarSun1+24)=CalendarYear,MONTH(MarSun1+24)=3),MarSun1+24, "")</f>
        <v>43544</v>
      </c>
      <c r="F9" s="6">
        <f>IF(AND(YEAR(MarSun1+25)=CalendarYear,MONTH(MarSun1+25)=3),MarSun1+25, "")</f>
        <v>43545</v>
      </c>
      <c r="G9" s="6">
        <f>IF(AND(YEAR(MarSun1+26)=CalendarYear,MONTH(MarSun1+26)=3),MarSun1+26, "")</f>
        <v>43546</v>
      </c>
      <c r="H9" s="13">
        <f>IF(AND(YEAR(MarSun1+27)=CalendarYear,MONTH(MarSun1+27)=3),MarSun1+27, "")</f>
        <v>43547</v>
      </c>
    </row>
    <row r="10" spans="1:8" ht="58.35" customHeight="1">
      <c r="B10" s="48" t="s">
        <v>16</v>
      </c>
      <c r="C10" s="51" t="s">
        <v>11</v>
      </c>
      <c r="D10" s="71"/>
      <c r="E10" s="71"/>
      <c r="F10" s="71"/>
      <c r="G10" s="138" t="s">
        <v>65</v>
      </c>
      <c r="H10" s="138" t="s">
        <v>65</v>
      </c>
    </row>
    <row r="11" spans="1:8" ht="14.1" customHeight="1">
      <c r="B11" s="12">
        <f>IF(AND(YEAR(MarSun1+28)=CalendarYear,MONTH(MarSun1+28)=3),MarSun1+28, "")</f>
        <v>43548</v>
      </c>
      <c r="C11" s="6">
        <f>IF(AND(YEAR(MarSun1+29)=CalendarYear,MONTH(MarSun1+29)=3),MarSun1+29, "")</f>
        <v>43549</v>
      </c>
      <c r="D11" s="6">
        <f>IF(AND(YEAR(MarSun1+30)=CalendarYear,MONTH(MarSun1+30)=3),MarSun1+30, "")</f>
        <v>43550</v>
      </c>
      <c r="E11" s="6">
        <f>IF(AND(YEAR(MarSun1+31)=CalendarYear,MONTH(MarSun1+31)=3),MarSun1+31, "")</f>
        <v>43551</v>
      </c>
      <c r="F11" s="6">
        <f>IF(AND(YEAR(MarSun1+32)=CalendarYear,MONTH(MarSun1+32)=3),MarSun1+32, "")</f>
        <v>43552</v>
      </c>
      <c r="G11" s="6">
        <f>IF(AND(YEAR(MarSun1+33)=CalendarYear,MONTH(MarSun1+33)=3),MarSun1+33, "")</f>
        <v>43553</v>
      </c>
      <c r="H11" s="13">
        <f>IF(AND(YEAR(MarSun1+34)=CalendarYear,MONTH(MarSun1+34)=3),MarSun1+34, "")</f>
        <v>43554</v>
      </c>
    </row>
    <row r="12" spans="1:8" ht="58.35" customHeight="1">
      <c r="B12" s="138" t="s">
        <v>65</v>
      </c>
      <c r="C12" s="50" t="s">
        <v>13</v>
      </c>
      <c r="D12" s="135" t="s">
        <v>66</v>
      </c>
      <c r="E12" s="86" t="s">
        <v>12</v>
      </c>
      <c r="F12" s="86"/>
      <c r="G12" s="86"/>
      <c r="H12" s="86"/>
    </row>
    <row r="13" spans="1:8" ht="14.1" customHeight="1">
      <c r="B13" s="12">
        <f>IF(AND(YEAR(MarSun1+35)=CalendarYear,MONTH(MarSun1+35)=3),MarSun1+35, "")</f>
        <v>43555</v>
      </c>
      <c r="C13" s="6" t="str">
        <f>IF(AND(YEAR(MarSun1+36)=CalendarYear,MONTH(MarSun1+36)=3),MarSun1+36, "")</f>
        <v/>
      </c>
      <c r="D13" s="150" t="s">
        <v>17</v>
      </c>
      <c r="E13" s="150"/>
      <c r="F13" s="150"/>
      <c r="G13" s="150"/>
      <c r="H13" s="151"/>
    </row>
    <row r="14" spans="1:8" ht="58.35" customHeight="1">
      <c r="B14" s="86" t="s">
        <v>12</v>
      </c>
      <c r="C14" s="80"/>
      <c r="D14" s="147"/>
      <c r="E14" s="148"/>
      <c r="F14" s="148"/>
      <c r="G14" s="148"/>
      <c r="H14" s="149"/>
    </row>
    <row r="15" spans="1:8">
      <c r="B15" s="20"/>
      <c r="C15" s="20"/>
      <c r="D15" s="20"/>
      <c r="E15" s="20"/>
      <c r="F15" s="20"/>
      <c r="G15" s="20"/>
      <c r="H15" s="20"/>
    </row>
  </sheetData>
  <mergeCells count="8">
    <mergeCell ref="B1:H1"/>
    <mergeCell ref="D14:H14"/>
    <mergeCell ref="D13:H13"/>
    <mergeCell ref="G6:H6"/>
    <mergeCell ref="E8:F8"/>
    <mergeCell ref="G8:H8"/>
    <mergeCell ref="C8:D8"/>
    <mergeCell ref="D6:E6"/>
  </mergeCells>
  <phoneticPr fontId="1" type="noConversion"/>
  <printOptions horizontalCentered="1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5"/>
  <sheetViews>
    <sheetView showGridLines="0" workbookViewId="0">
      <selection activeCell="D4" sqref="D4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11" s="1" customFormat="1" ht="59.25" customHeight="1" thickBot="1">
      <c r="B1" s="146">
        <f>DATE(CalendarYear,4,1)</f>
        <v>43556</v>
      </c>
      <c r="C1" s="146"/>
      <c r="D1" s="146"/>
      <c r="E1" s="146"/>
      <c r="F1" s="146"/>
      <c r="G1" s="146"/>
      <c r="H1" s="146"/>
    </row>
    <row r="2" spans="1:11" s="3" customFormat="1" ht="21.75" customHeight="1">
      <c r="A2" s="2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</row>
    <row r="3" spans="1:11" ht="14.1" customHeight="1">
      <c r="B3" s="9" t="str">
        <f>IF(AND(YEAR(AprSun1)=CalendarYear,MONTH(AprSun1)=4),AprSun1, "")</f>
        <v/>
      </c>
      <c r="C3" s="5">
        <f>IF(AND(YEAR(AprSun1+1)=CalendarYear,MONTH(AprSun1+1)=4),AprSun1+1, "")</f>
        <v>43556</v>
      </c>
      <c r="D3" s="5">
        <f>IF(AND(YEAR(AprSun1+2)=CalendarYear,MONTH(AprSun1+2)=4),AprSun1+2, "")</f>
        <v>43557</v>
      </c>
      <c r="E3" s="5">
        <f>IF(AND(YEAR(AprSun1+3)=CalendarYear,MONTH(AprSun1+3)=4),AprSun1+3, "")</f>
        <v>43558</v>
      </c>
      <c r="F3" s="5">
        <f>IF(AND(YEAR(AprSun1+4)=CalendarYear,MONTH(AprSun1+4)=4),AprSun1+4, "")</f>
        <v>43559</v>
      </c>
      <c r="G3" s="5">
        <f>IF(AND(YEAR(AprSun1+5)=CalendarYear,MONTH(AprSun1+5)=4),AprSun1+5, "")</f>
        <v>43560</v>
      </c>
      <c r="H3" s="10">
        <f>IF(AND(YEAR(AprSun1+6)=CalendarYear,MONTH(AprSun1+6)=4),AprSun1+6, "")</f>
        <v>43561</v>
      </c>
      <c r="I3" s="20"/>
      <c r="J3" s="20"/>
      <c r="K3" s="20"/>
    </row>
    <row r="4" spans="1:11" ht="58.35" customHeight="1">
      <c r="B4" s="81"/>
      <c r="C4" s="47" t="s">
        <v>10</v>
      </c>
      <c r="D4" s="47" t="s">
        <v>10</v>
      </c>
      <c r="E4" s="165" t="s">
        <v>67</v>
      </c>
      <c r="F4" s="166"/>
      <c r="G4" s="50" t="s">
        <v>13</v>
      </c>
      <c r="H4" s="50"/>
      <c r="I4" s="20"/>
      <c r="J4" s="20"/>
      <c r="K4" s="20"/>
    </row>
    <row r="5" spans="1:11" ht="14.1" customHeight="1">
      <c r="B5" s="11">
        <f>IF(AND(YEAR(AprSun1+7)=CalendarYear,MONTH(AprSun1+7)=4),AprSun1+7, "")</f>
        <v>43562</v>
      </c>
      <c r="C5" s="5">
        <f>IF(AND(YEAR(AprSun1+8)=CalendarYear,MONTH(AprSun1+8)=4),AprSun1+8, "")</f>
        <v>43563</v>
      </c>
      <c r="D5" s="5">
        <f>IF(AND(YEAR(AprSun1+9)=CalendarYear,MONTH(AprSun1+9)=4),AprSun1+9, "")</f>
        <v>43564</v>
      </c>
      <c r="E5" s="5">
        <f>IF(AND(YEAR(AprSun1+10)=CalendarYear,MONTH(AprSun1+10)=4),AprSun1+10, "")</f>
        <v>43565</v>
      </c>
      <c r="F5" s="5">
        <f>IF(AND(YEAR(AprSun1+11)=CalendarYear,MONTH(AprSun1+11)=4),AprSun1+11, "")</f>
        <v>43566</v>
      </c>
      <c r="G5" s="5">
        <f>IF(AND(YEAR(AprSun1+12)=CalendarYear,MONTH(AprSun1+12)=4),AprSun1+12,"")</f>
        <v>43567</v>
      </c>
      <c r="H5" s="10">
        <f>IF(AND(YEAR(AprSun1+13)=CalendarYear,MONTH(AprSun1+13)=4),AprSun1+13, "")</f>
        <v>43568</v>
      </c>
      <c r="I5" s="20"/>
      <c r="J5" s="20"/>
      <c r="K5" s="20"/>
    </row>
    <row r="6" spans="1:11" ht="58.35" customHeight="1">
      <c r="B6" s="113"/>
      <c r="C6" s="113"/>
      <c r="D6" s="50" t="s">
        <v>13</v>
      </c>
      <c r="E6" s="86" t="s">
        <v>12</v>
      </c>
      <c r="F6" s="86" t="s">
        <v>12</v>
      </c>
      <c r="G6" s="47" t="s">
        <v>10</v>
      </c>
      <c r="H6" s="47"/>
      <c r="I6" s="20"/>
      <c r="J6" s="20"/>
      <c r="K6" s="20"/>
    </row>
    <row r="7" spans="1:11" ht="14.1" customHeight="1">
      <c r="B7" s="11">
        <f>IF(AND(YEAR(AprSun1+14)=CalendarYear,MONTH(AprSun1+14)=4),AprSun1+14, "")</f>
        <v>43569</v>
      </c>
      <c r="C7" s="5">
        <f>IF(AND(YEAR(AprSun1+15)=CalendarYear,MONTH(AprSun1+15)=4),AprSun1+15, "")</f>
        <v>43570</v>
      </c>
      <c r="D7" s="5">
        <f>IF(AND(YEAR(AprSun1+16)=CalendarYear,MONTH(AprSun1+16)=4),AprSun1+16, "")</f>
        <v>43571</v>
      </c>
      <c r="E7" s="5">
        <f>IF(AND(YEAR(AprSun1+17)=CalendarYear,MONTH(AprSun1+17)=4),AprSun1+17, "")</f>
        <v>43572</v>
      </c>
      <c r="F7" s="5">
        <f>IF(AND(YEAR(AprSun1+18)=CalendarYear,MONTH(AprSun1+18)=4),AprSun1+18, "")</f>
        <v>43573</v>
      </c>
      <c r="G7" s="5">
        <f>IF(AND(YEAR(AprSun1+19)=CalendarYear,MONTH(AprSun1+19)=4),AprSun1+19, "")</f>
        <v>43574</v>
      </c>
      <c r="H7" s="10">
        <f>IF(AND(YEAR(AprSun1+20)=CalendarYear,MONTH(AprSun1+20)=4),AprSun1+20, "")</f>
        <v>43575</v>
      </c>
      <c r="I7" s="20"/>
      <c r="J7" s="20"/>
      <c r="K7" s="20"/>
    </row>
    <row r="8" spans="1:11" ht="58.35" customHeight="1">
      <c r="B8" s="47" t="s">
        <v>10</v>
      </c>
      <c r="C8" s="66" t="s">
        <v>9</v>
      </c>
      <c r="D8" s="65"/>
      <c r="E8" s="65"/>
      <c r="F8" s="66" t="s">
        <v>9</v>
      </c>
      <c r="G8" s="115" t="s">
        <v>68</v>
      </c>
      <c r="H8" s="68"/>
      <c r="I8" s="20"/>
      <c r="J8" s="20"/>
      <c r="K8" s="20"/>
    </row>
    <row r="9" spans="1:11" ht="14.1" customHeight="1">
      <c r="B9" s="12">
        <f>IF(AND(YEAR(AprSun1+21)=CalendarYear,MONTH(AprSun1+21)=4),AprSun1+21, "")</f>
        <v>43576</v>
      </c>
      <c r="C9" s="6">
        <f>IF(AND(YEAR(AprSun1+22)=CalendarYear,MONTH(AprSun1+22)=4),AprSun1+22, "")</f>
        <v>43577</v>
      </c>
      <c r="D9" s="6">
        <f>IF(AND(YEAR(AprSun1+23)=CalendarYear,MONTH(AprSun1+23)=4),AprSun1+23, "")</f>
        <v>43578</v>
      </c>
      <c r="E9" s="6">
        <f>IF(AND(YEAR(AprSun1+24)=CalendarYear,MONTH(AprSun1+24)=4),AprSun1+24, "")</f>
        <v>43579</v>
      </c>
      <c r="F9" s="6">
        <f>IF(AND(YEAR(AprSun1+25)=CalendarYear,MONTH(AprSun1+25)=4),AprSun1+25, "")</f>
        <v>43580</v>
      </c>
      <c r="G9" s="6">
        <f>IF(AND(YEAR(AprSun1+26)=CalendarYear,MONTH(AprSun1+26)=4),AprSun1+26, "")</f>
        <v>43581</v>
      </c>
      <c r="H9" s="13">
        <f>IF(AND(YEAR(AprSun1+27)=CalendarYear,MONTH(AprSun1+27)=4),AprSun1+27, "")</f>
        <v>43582</v>
      </c>
      <c r="I9" s="20"/>
      <c r="J9" s="20"/>
      <c r="K9" s="20"/>
    </row>
    <row r="10" spans="1:11" ht="58.35" customHeight="1">
      <c r="B10" s="68"/>
      <c r="C10" s="115" t="s">
        <v>68</v>
      </c>
      <c r="D10" s="86" t="s">
        <v>12</v>
      </c>
      <c r="E10" s="116"/>
      <c r="F10" s="86" t="s">
        <v>12</v>
      </c>
      <c r="G10" s="48" t="s">
        <v>16</v>
      </c>
      <c r="H10" s="117"/>
      <c r="I10" s="20"/>
      <c r="J10" s="20"/>
      <c r="K10" s="20"/>
    </row>
    <row r="11" spans="1:11" ht="14.1" customHeight="1">
      <c r="B11" s="12">
        <f>IF(AND(YEAR(AprSun1+28)=CalendarYear,MONTH(AprSun1+28)=4),AprSun1+28, "")</f>
        <v>43583</v>
      </c>
      <c r="C11" s="6">
        <f>IF(AND(YEAR(AprSun1+29)=CalendarYear,MONTH(AprSun1+29)=4),AprSun1+29, "")</f>
        <v>43584</v>
      </c>
      <c r="D11" s="6">
        <f>IF(AND(YEAR(AprSun1+30)=CalendarYear,MONTH(AprSun1+30)=4),AprSun1+30, "")</f>
        <v>43585</v>
      </c>
      <c r="E11" s="6" t="str">
        <f>IF(AND(YEAR(AprSun1+31)=CalendarYear,MONTH(AprSun1+31)=4),AprSun1+31, "")</f>
        <v/>
      </c>
      <c r="F11" s="6" t="str">
        <f>IF(AND(YEAR(AprSun1+32)=CalendarYear,MONTH(AprSun1+32)=4),AprSun1+32, "")</f>
        <v/>
      </c>
      <c r="G11" s="6" t="str">
        <f>IF(AND(YEAR(AprSun1+33)=CalendarYear,MONTH(AprSun1+33)=4),AprSun1+33, "")</f>
        <v/>
      </c>
      <c r="H11" s="13" t="str">
        <f>IF(AND(YEAR(AprSun1+34)=CalendarYear,MONTH(AprSun1+34)=4),AprSun1+34, "")</f>
        <v/>
      </c>
      <c r="I11" s="20"/>
      <c r="J11" s="20"/>
      <c r="K11" s="20"/>
    </row>
    <row r="12" spans="1:11" ht="58.35" customHeight="1">
      <c r="B12" s="48" t="s">
        <v>16</v>
      </c>
      <c r="C12" s="51" t="s">
        <v>11</v>
      </c>
      <c r="D12" s="51" t="s">
        <v>11</v>
      </c>
      <c r="E12" s="76"/>
      <c r="F12" s="76"/>
      <c r="G12" s="76"/>
      <c r="H12" s="76"/>
      <c r="I12" s="20"/>
      <c r="J12" s="20"/>
      <c r="K12" s="20"/>
    </row>
    <row r="13" spans="1:11" ht="14.1" customHeight="1">
      <c r="B13" s="12" t="str">
        <f>IF(AND(YEAR(AprSun1+35)=CalendarYear,MONTH(AprSun1+35)=4),AprSun1+35, "")</f>
        <v/>
      </c>
      <c r="C13" s="150" t="s">
        <v>69</v>
      </c>
      <c r="D13" s="150"/>
      <c r="E13" s="150"/>
      <c r="F13" s="150"/>
      <c r="G13" s="150"/>
      <c r="H13" s="151"/>
      <c r="I13" s="20"/>
      <c r="J13" s="20"/>
      <c r="K13" s="20"/>
    </row>
    <row r="14" spans="1:11" ht="58.35" customHeight="1">
      <c r="B14" s="75"/>
      <c r="C14" s="147"/>
      <c r="D14" s="148"/>
      <c r="E14" s="148"/>
      <c r="F14" s="148"/>
      <c r="G14" s="148"/>
      <c r="H14" s="149"/>
      <c r="I14" s="20"/>
      <c r="J14" s="20"/>
      <c r="K14" s="20"/>
    </row>
    <row r="15" spans="1:11">
      <c r="B15" s="20"/>
      <c r="C15" s="20"/>
      <c r="D15" s="20"/>
      <c r="E15" s="20"/>
      <c r="F15" s="20"/>
      <c r="G15" s="20"/>
      <c r="H15" s="20"/>
      <c r="I15" s="20"/>
      <c r="J15" s="20"/>
      <c r="K15" s="20"/>
    </row>
  </sheetData>
  <mergeCells count="4">
    <mergeCell ref="B1:H1"/>
    <mergeCell ref="C13:H13"/>
    <mergeCell ref="C14:H14"/>
    <mergeCell ref="E4:F4"/>
  </mergeCells>
  <phoneticPr fontId="1" type="noConversion"/>
  <printOptions horizontalCentered="1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14"/>
  <sheetViews>
    <sheetView showGridLines="0" topLeftCell="A4" workbookViewId="0">
      <selection activeCell="B6" sqref="B6:F6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8" s="1" customFormat="1" ht="59.25" customHeight="1" thickBot="1">
      <c r="B1" s="146">
        <f>DATE(CalendarYear,5,1)</f>
        <v>43586</v>
      </c>
      <c r="C1" s="146"/>
      <c r="D1" s="146"/>
      <c r="E1" s="146"/>
      <c r="F1" s="146"/>
      <c r="G1" s="146"/>
      <c r="H1" s="146"/>
    </row>
    <row r="2" spans="1:8" s="3" customFormat="1" ht="21.75" customHeight="1">
      <c r="A2" s="2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</row>
    <row r="3" spans="1:8" ht="14.1" customHeight="1">
      <c r="B3" s="9" t="str">
        <f>IF(AND(YEAR(MaySun1)=CalendarYear,MONTH(MaySun1)=5),MaySun1, "")</f>
        <v/>
      </c>
      <c r="C3" s="5" t="str">
        <f>IF(AND(YEAR(MaySun1+1)=CalendarYear,MONTH(MaySun1+1)=5),MaySun1+1, "")</f>
        <v/>
      </c>
      <c r="D3" s="5" t="str">
        <f>IF(AND(YEAR(MaySun1+2)=CalendarYear,MONTH(MaySun1+2)=5),MaySun1+2, "")</f>
        <v/>
      </c>
      <c r="E3" s="5">
        <f>IF(AND(YEAR(MaySun1+3)=CalendarYear,MONTH(MaySun1+3)=5),MaySun1+3, "")</f>
        <v>43586</v>
      </c>
      <c r="F3" s="5">
        <f>IF(AND(YEAR(MaySun1+4)=CalendarYear,MONTH(MaySun1+4)=5),MaySun1+4, "")</f>
        <v>43587</v>
      </c>
      <c r="G3" s="5">
        <f>IF(AND(YEAR(MaySun1+5)=CalendarYear,MONTH(MaySun1+5)=5),MaySun1+5, "")</f>
        <v>43588</v>
      </c>
      <c r="H3" s="10">
        <f>IF(AND(YEAR(MaySun1+6)=CalendarYear,MONTH(MaySun1+6)=5),MaySun1+6, "")</f>
        <v>43589</v>
      </c>
    </row>
    <row r="4" spans="1:8" ht="58.35" customHeight="1">
      <c r="B4" s="79"/>
      <c r="C4" s="79"/>
      <c r="D4" s="79"/>
      <c r="E4" s="167" t="s">
        <v>70</v>
      </c>
      <c r="F4" s="168"/>
      <c r="G4" s="167" t="s">
        <v>71</v>
      </c>
      <c r="H4" s="168"/>
    </row>
    <row r="5" spans="1:8" ht="14.1" customHeight="1">
      <c r="B5" s="11">
        <f>IF(AND(YEAR(MaySun1+7)=CalendarYear,MONTH(MaySun1+7)=5),MaySun1+7, "")</f>
        <v>43590</v>
      </c>
      <c r="C5" s="5">
        <f>IF(AND(YEAR(MaySun1+8)=CalendarYear,MONTH(MaySun1+8)=5),MaySun1+8, "")</f>
        <v>43591</v>
      </c>
      <c r="D5" s="5">
        <f>IF(AND(YEAR(MaySun1+9)=CalendarYear,MONTH(MaySun1+9)=5),MaySun1+9, "")</f>
        <v>43592</v>
      </c>
      <c r="E5" s="5">
        <f>IF(AND(YEAR(MaySun1+10)=CalendarYear,MONTH(MaySun1+10)=5),MaySun1+10, "")</f>
        <v>43593</v>
      </c>
      <c r="F5" s="5">
        <f>IF(AND(YEAR(MaySun1+11)=CalendarYear,MONTH(MaySun1+11)=5),MaySun1+11, "")</f>
        <v>43594</v>
      </c>
      <c r="G5" s="5">
        <f>IF(AND(YEAR(MaySun1+12)=CalendarYear,MONTH(MaySun1+12)=5),MaySun1+12,"")</f>
        <v>43595</v>
      </c>
      <c r="H5" s="10">
        <f>IF(AND(YEAR(MaySun1+13)=CalendarYear,MONTH(MaySun1+13)=5),MaySun1+13, "")</f>
        <v>43596</v>
      </c>
    </row>
    <row r="6" spans="1:8" ht="58.35" customHeight="1">
      <c r="B6" s="169" t="s">
        <v>72</v>
      </c>
      <c r="C6" s="170"/>
      <c r="D6" s="170"/>
      <c r="E6" s="170"/>
      <c r="F6" s="171"/>
      <c r="G6" s="49" t="s">
        <v>73</v>
      </c>
      <c r="H6" s="49"/>
    </row>
    <row r="7" spans="1:8" ht="14.1" customHeight="1">
      <c r="B7" s="11">
        <f>IF(AND(YEAR(MaySun1+14)=CalendarYear,MONTH(MaySun1+14)=5),MaySun1+14, "")</f>
        <v>43597</v>
      </c>
      <c r="C7" s="5">
        <f>IF(AND(YEAR(MaySun1+15)=CalendarYear,MONTH(MaySun1+15)=5),MaySun1+15, "")</f>
        <v>43598</v>
      </c>
      <c r="D7" s="5">
        <f>IF(AND(YEAR(MaySun1+16)=CalendarYear,MONTH(MaySun1+16)=5),MaySun1+16, "")</f>
        <v>43599</v>
      </c>
      <c r="E7" s="5">
        <f>IF(AND(YEAR(MaySun1+17)=CalendarYear,MONTH(MaySun1+17)=5),MaySun1+17, "")</f>
        <v>43600</v>
      </c>
      <c r="F7" s="5">
        <f>IF(AND(YEAR(MaySun1+18)=CalendarYear,MONTH(MaySun1+18)=5),MaySun1+18, "")</f>
        <v>43601</v>
      </c>
      <c r="G7" s="5">
        <f>IF(AND(YEAR(MaySun1+19)=CalendarYear,MONTH(MaySun1+19)=5),MaySun1+19, "")</f>
        <v>43602</v>
      </c>
      <c r="H7" s="10">
        <f>IF(AND(YEAR(MaySun1+20)=CalendarYear,MONTH(MaySun1+20)=5),MaySun1+20, "")</f>
        <v>43603</v>
      </c>
    </row>
    <row r="8" spans="1:8" ht="58.35" customHeight="1">
      <c r="B8" s="49" t="s">
        <v>73</v>
      </c>
      <c r="C8" s="52" t="s">
        <v>14</v>
      </c>
      <c r="D8" s="52"/>
      <c r="E8" s="52"/>
      <c r="F8" s="52" t="s">
        <v>14</v>
      </c>
      <c r="G8" s="69" t="s">
        <v>74</v>
      </c>
      <c r="H8" s="69" t="s">
        <v>74</v>
      </c>
    </row>
    <row r="9" spans="1:8" ht="14.1" customHeight="1">
      <c r="B9" s="12">
        <f>IF(AND(YEAR(MaySun1+21)=CalendarYear,MONTH(MaySun1+21)=5),MaySun1+21, "")</f>
        <v>43604</v>
      </c>
      <c r="C9" s="6">
        <f>IF(AND(YEAR(MaySun1+22)=CalendarYear,MONTH(MaySun1+22)=5),MaySun1+22, "")</f>
        <v>43605</v>
      </c>
      <c r="D9" s="6">
        <f>IF(AND(YEAR(MaySun1+23)=CalendarYear,MONTH(MaySun1+23)=5),MaySun1+23, "")</f>
        <v>43606</v>
      </c>
      <c r="E9" s="6">
        <f>IF(AND(YEAR(MaySun1+24)=CalendarYear,MONTH(MaySun1+24)=5),MaySun1+24, "")</f>
        <v>43607</v>
      </c>
      <c r="F9" s="6">
        <f>IF(AND(YEAR(MaySun1+25)=CalendarYear,MONTH(MaySun1+25)=5),MaySun1+25, "")</f>
        <v>43608</v>
      </c>
      <c r="G9" s="6">
        <f>IF(AND(YEAR(MaySun1+26)=CalendarYear,MONTH(MaySun1+26)=5),MaySun1+26, "")</f>
        <v>43609</v>
      </c>
      <c r="H9" s="13">
        <f>IF(AND(YEAR(MaySun1+27)=CalendarYear,MONTH(MaySun1+27)=5),MaySun1+27, "")</f>
        <v>43610</v>
      </c>
    </row>
    <row r="10" spans="1:8" ht="58.35" customHeight="1">
      <c r="B10" s="69" t="s">
        <v>74</v>
      </c>
      <c r="C10" s="69" t="s">
        <v>74</v>
      </c>
      <c r="D10" s="49" t="s">
        <v>73</v>
      </c>
      <c r="E10" s="49"/>
      <c r="F10" s="49" t="s">
        <v>73</v>
      </c>
      <c r="G10" s="48" t="s">
        <v>16</v>
      </c>
      <c r="H10" s="48"/>
    </row>
    <row r="11" spans="1:8" ht="14.1" customHeight="1">
      <c r="B11" s="12">
        <f>IF(AND(YEAR(MaySun1+28)=CalendarYear,MONTH(MaySun1+28)=5),MaySun1+28, "")</f>
        <v>43611</v>
      </c>
      <c r="C11" s="6">
        <f>IF(AND(YEAR(MaySun1+29)=CalendarYear,MONTH(MaySun1+29)=5),MaySun1+29, "")</f>
        <v>43612</v>
      </c>
      <c r="D11" s="6">
        <f>IF(AND(YEAR(MaySun1+30)=CalendarYear,MONTH(MaySun1+30)=5),MaySun1+30, "")</f>
        <v>43613</v>
      </c>
      <c r="E11" s="6">
        <f>IF(AND(YEAR(MaySun1+31)=CalendarYear,MONTH(MaySun1+31)=5),MaySun1+31, "")</f>
        <v>43614</v>
      </c>
      <c r="F11" s="6">
        <f>IF(AND(YEAR(MaySun1+32)=CalendarYear,MONTH(MaySun1+32)=5),MaySun1+32, "")</f>
        <v>43615</v>
      </c>
      <c r="G11" s="6">
        <f>IF(AND(YEAR(MaySun1+33)=CalendarYear,MONTH(MaySun1+33)=5),MaySun1+33, "")</f>
        <v>43616</v>
      </c>
      <c r="H11" s="13" t="str">
        <f>IF(AND(YEAR(MaySun1+34)=CalendarYear,MONTH(MaySun1+34)=5),MaySun1+34, "")</f>
        <v/>
      </c>
    </row>
    <row r="12" spans="1:8" ht="58.35" customHeight="1">
      <c r="B12" s="48" t="s">
        <v>16</v>
      </c>
      <c r="C12" s="50" t="s">
        <v>13</v>
      </c>
      <c r="D12" s="50" t="s">
        <v>13</v>
      </c>
      <c r="E12" s="51" t="s">
        <v>11</v>
      </c>
      <c r="F12" s="71"/>
      <c r="G12" s="51" t="s">
        <v>11</v>
      </c>
      <c r="H12" s="82"/>
    </row>
    <row r="13" spans="1:8" ht="14.1" customHeight="1">
      <c r="B13" s="25" t="str">
        <f>IF(AND(YEAR(MaySun1+35)=CalendarYear,MONTH(MaySun1+35)=5),MaySun1+35, "")</f>
        <v/>
      </c>
      <c r="C13" s="23" t="str">
        <f>IF(AND(YEAR(MaySun1+36)=CalendarYear,MONTH(MaySun1+36)=5),MaySun1+36, "")</f>
        <v/>
      </c>
      <c r="D13" s="150" t="s">
        <v>17</v>
      </c>
      <c r="E13" s="150"/>
      <c r="F13" s="150"/>
      <c r="G13" s="150"/>
      <c r="H13" s="151"/>
    </row>
    <row r="14" spans="1:8" ht="58.35" customHeight="1" thickBot="1">
      <c r="B14" s="83"/>
      <c r="C14" s="24"/>
      <c r="D14" s="147"/>
      <c r="E14" s="148"/>
      <c r="F14" s="148"/>
      <c r="G14" s="148"/>
      <c r="H14" s="149"/>
    </row>
  </sheetData>
  <mergeCells count="6">
    <mergeCell ref="B1:H1"/>
    <mergeCell ref="D13:H13"/>
    <mergeCell ref="D14:H14"/>
    <mergeCell ref="G4:H4"/>
    <mergeCell ref="B6:F6"/>
    <mergeCell ref="E4:F4"/>
  </mergeCells>
  <phoneticPr fontId="1" type="noConversion"/>
  <printOptions horizontalCentered="1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15"/>
  <sheetViews>
    <sheetView showGridLines="0" tabSelected="1" workbookViewId="0">
      <selection activeCell="G12" sqref="G12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8" s="1" customFormat="1" ht="59.25" customHeight="1" thickBot="1">
      <c r="B1" s="146">
        <f>DATE(CalendarYear,6,1)</f>
        <v>43617</v>
      </c>
      <c r="C1" s="146"/>
      <c r="D1" s="146"/>
      <c r="E1" s="146"/>
      <c r="F1" s="146"/>
      <c r="G1" s="146"/>
      <c r="H1" s="146"/>
    </row>
    <row r="2" spans="1:8" s="3" customFormat="1" ht="21.75" customHeight="1">
      <c r="A2" s="2"/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7</v>
      </c>
    </row>
    <row r="3" spans="1:8" ht="14.1" customHeight="1">
      <c r="B3" s="9" t="str">
        <f>IF(AND(YEAR(JunSun1)=CalendarYear,MONTH(JunSun1)=6),JunSun1, "")</f>
        <v/>
      </c>
      <c r="C3" s="5" t="str">
        <f>IF(AND(YEAR(JunSun1+1)=CalendarYear,MONTH(JunSun1+1)=6),JunSun1+1, "")</f>
        <v/>
      </c>
      <c r="D3" s="5" t="str">
        <f>IF(AND(YEAR(JunSun1+2)=CalendarYear,MONTH(JunSun1+2)=6),JunSun1+2, "")</f>
        <v/>
      </c>
      <c r="E3" s="5" t="str">
        <f>IF(AND(YEAR(JunSun1+3)=CalendarYear,MONTH(JunSun1+3)=6),JunSun1+3, "")</f>
        <v/>
      </c>
      <c r="F3" s="5" t="str">
        <f>IF(AND(YEAR(JunSun1+4)=CalendarYear,MONTH(JunSun1+4)=6),JunSun1+4, "")</f>
        <v/>
      </c>
      <c r="G3" s="5" t="str">
        <f>IF(AND(YEAR(JunSun1+5)=CalendarYear,MONTH(JunSun1+5)=6),JunSun1+5, "")</f>
        <v/>
      </c>
      <c r="H3" s="10">
        <f>IF(AND(YEAR(JunSun1+6)=CalendarYear,MONTH(JunSun1+6)=6),JunSun1+6, "")</f>
        <v>43617</v>
      </c>
    </row>
    <row r="4" spans="1:8" ht="58.35" customHeight="1">
      <c r="B4" s="79"/>
      <c r="C4" s="79"/>
      <c r="D4" s="79"/>
      <c r="E4" s="79"/>
      <c r="F4" s="79"/>
      <c r="G4" s="79"/>
      <c r="H4" s="51" t="s">
        <v>11</v>
      </c>
    </row>
    <row r="5" spans="1:8" ht="14.1" customHeight="1">
      <c r="B5" s="11">
        <f>IF(AND(YEAR(JunSun1+7)=CalendarYear,MONTH(JunSun1+7)=6),JunSun1+7, "")</f>
        <v>43618</v>
      </c>
      <c r="C5" s="5">
        <f>IF(AND(YEAR(JunSun1+8)=CalendarYear,MONTH(JunSun1+8)=6),JunSun1+8, "")</f>
        <v>43619</v>
      </c>
      <c r="D5" s="5">
        <f>IF(AND(YEAR(JunSun1+9)=CalendarYear,MONTH(JunSun1+9)=6),JunSun1+9, "")</f>
        <v>43620</v>
      </c>
      <c r="E5" s="5">
        <f>IF(AND(YEAR(JunSun1+10)=CalendarYear,MONTH(JunSun1+10)=6),JunSun1+10, "")</f>
        <v>43621</v>
      </c>
      <c r="F5" s="5">
        <f>IF(AND(YEAR(JunSun1+11)=CalendarYear,MONTH(JunSun1+11)=6),JunSun1+11, "")</f>
        <v>43622</v>
      </c>
      <c r="G5" s="5">
        <f>IF(AND(YEAR(JunSun1+12)=CalendarYear,MONTH(JunSun1+12)=6),JunSun1+12,"")</f>
        <v>43623</v>
      </c>
      <c r="H5" s="10">
        <f>IF(AND(YEAR(JunSun1+13)=CalendarYear,MONTH(JunSun1+13)=6),JunSun1+13, "")</f>
        <v>43624</v>
      </c>
    </row>
    <row r="6" spans="1:8" ht="58.35" customHeight="1">
      <c r="B6" s="51" t="s">
        <v>11</v>
      </c>
      <c r="C6" s="52" t="s">
        <v>14</v>
      </c>
      <c r="D6" s="52" t="s">
        <v>14</v>
      </c>
      <c r="E6" s="65" t="s">
        <v>9</v>
      </c>
      <c r="F6" s="65" t="s">
        <v>9</v>
      </c>
      <c r="G6" s="49" t="s">
        <v>12</v>
      </c>
      <c r="H6" s="49"/>
    </row>
    <row r="7" spans="1:8" ht="14.1" customHeight="1">
      <c r="B7" s="11">
        <f>IF(AND(YEAR(JunSun1+14)=CalendarYear,MONTH(JunSun1+14)=6),JunSun1+14, "")</f>
        <v>43625</v>
      </c>
      <c r="C7" s="5">
        <f>IF(AND(YEAR(JunSun1+15)=CalendarYear,MONTH(JunSun1+15)=6),JunSun1+15, "")</f>
        <v>43626</v>
      </c>
      <c r="D7" s="5">
        <f>IF(AND(YEAR(JunSun1+16)=CalendarYear,MONTH(JunSun1+16)=6),JunSun1+16, "")</f>
        <v>43627</v>
      </c>
      <c r="E7" s="5">
        <f>IF(AND(YEAR(JunSun1+17)=CalendarYear,MONTH(JunSun1+17)=6),JunSun1+17, "")</f>
        <v>43628</v>
      </c>
      <c r="F7" s="5">
        <f>IF(AND(YEAR(JunSun1+18)=CalendarYear,MONTH(JunSun1+18)=6),JunSun1+18, "")</f>
        <v>43629</v>
      </c>
      <c r="G7" s="5">
        <f>IF(AND(YEAR(JunSun1+19)=CalendarYear,MONTH(JunSun1+19)=6),JunSun1+19, "")</f>
        <v>43630</v>
      </c>
      <c r="H7" s="10">
        <f>IF(AND(YEAR(JunSun1+20)=CalendarYear,MONTH(JunSun1+20)=6),JunSun1+20, "")</f>
        <v>43631</v>
      </c>
    </row>
    <row r="8" spans="1:8" ht="58.35" customHeight="1">
      <c r="B8" s="49" t="s">
        <v>12</v>
      </c>
      <c r="C8" s="51" t="s">
        <v>11</v>
      </c>
      <c r="D8" s="51" t="s">
        <v>11</v>
      </c>
      <c r="E8" s="65" t="s">
        <v>9</v>
      </c>
      <c r="F8" s="65" t="s">
        <v>9</v>
      </c>
      <c r="G8" s="52" t="s">
        <v>14</v>
      </c>
      <c r="H8" s="52"/>
    </row>
    <row r="9" spans="1:8" ht="14.1" customHeight="1">
      <c r="B9" s="12">
        <f>IF(AND(YEAR(JunSun1+21)=CalendarYear,MONTH(JunSun1+21)=6),JunSun1+21, "")</f>
        <v>43632</v>
      </c>
      <c r="C9" s="6">
        <f>IF(AND(YEAR(JunSun1+22)=CalendarYear,MONTH(JunSun1+22)=6),JunSun1+22, "")</f>
        <v>43633</v>
      </c>
      <c r="D9" s="6">
        <f>IF(AND(YEAR(JunSun1+23)=CalendarYear,MONTH(JunSun1+23)=6),JunSun1+23, "")</f>
        <v>43634</v>
      </c>
      <c r="E9" s="6">
        <f>IF(AND(YEAR(JunSun1+24)=CalendarYear,MONTH(JunSun1+24)=6),JunSun1+24, "")</f>
        <v>43635</v>
      </c>
      <c r="F9" s="6">
        <f>IF(AND(YEAR(JunSun1+25)=CalendarYear,MONTH(JunSun1+25)=6),JunSun1+25, "")</f>
        <v>43636</v>
      </c>
      <c r="G9" s="6">
        <f>IF(AND(YEAR(JunSun1+26)=CalendarYear,MONTH(JunSun1+26)=6),JunSun1+26, "")</f>
        <v>43637</v>
      </c>
      <c r="H9" s="13">
        <f>IF(AND(YEAR(JunSun1+27)=CalendarYear,MONTH(JunSun1+27)=6),JunSun1+27, "")</f>
        <v>43638</v>
      </c>
    </row>
    <row r="10" spans="1:8" ht="58.35" customHeight="1">
      <c r="B10" s="52" t="s">
        <v>14</v>
      </c>
      <c r="C10" s="48" t="s">
        <v>16</v>
      </c>
      <c r="D10" s="48"/>
      <c r="E10" s="48"/>
      <c r="F10" s="48" t="s">
        <v>16</v>
      </c>
      <c r="G10" s="50" t="s">
        <v>13</v>
      </c>
      <c r="H10" s="113"/>
    </row>
    <row r="11" spans="1:8" ht="14.1" customHeight="1">
      <c r="B11" s="12">
        <f>IF(AND(YEAR(JunSun1+28)=CalendarYear,MONTH(JunSun1+28)=6),JunSun1+28, "")</f>
        <v>43639</v>
      </c>
      <c r="C11" s="6">
        <f>IF(AND(YEAR(JunSun1+29)=CalendarYear,MONTH(JunSun1+29)=6),JunSun1+29, "")</f>
        <v>43640</v>
      </c>
      <c r="D11" s="6">
        <f>IF(AND(YEAR(JunSun1+30)=CalendarYear,MONTH(JunSun1+30)=6),JunSun1+30, "")</f>
        <v>43641</v>
      </c>
      <c r="E11" s="6">
        <f>IF(AND(YEAR(JunSun1+31)=CalendarYear,MONTH(JunSun1+31)=6),JunSun1+31, "")</f>
        <v>43642</v>
      </c>
      <c r="F11" s="6">
        <f>IF(AND(YEAR(JunSun1+32)=CalendarYear,MONTH(JunSun1+32)=6),JunSun1+32, "")</f>
        <v>43643</v>
      </c>
      <c r="G11" s="6">
        <f>IF(AND(YEAR(JunSun1+33)=CalendarYear,MONTH(JunSun1+33)=6),JunSun1+33, "")</f>
        <v>43644</v>
      </c>
      <c r="H11" s="13">
        <f>IF(AND(YEAR(JunSun1+34)=CalendarYear,MONTH(JunSun1+34)=6),JunSun1+34, "")</f>
        <v>43645</v>
      </c>
    </row>
    <row r="12" spans="1:8" ht="58.35" customHeight="1">
      <c r="B12" s="50"/>
      <c r="C12" s="50"/>
      <c r="D12" s="50" t="s">
        <v>13</v>
      </c>
      <c r="E12" s="145" t="s">
        <v>75</v>
      </c>
      <c r="F12" s="145" t="s">
        <v>75</v>
      </c>
      <c r="G12" s="51" t="s">
        <v>76</v>
      </c>
      <c r="H12" s="51" t="s">
        <v>76</v>
      </c>
    </row>
    <row r="13" spans="1:8" ht="14.1" customHeight="1">
      <c r="B13" s="12">
        <f>IF(AND(YEAR(JunSun1+35)=CalendarYear,MONTH(JunSun1+35)=6),JunSun1+35, "")</f>
        <v>43646</v>
      </c>
      <c r="C13" s="150" t="s">
        <v>17</v>
      </c>
      <c r="D13" s="150"/>
      <c r="E13" s="150"/>
      <c r="F13" s="150"/>
      <c r="G13" s="150"/>
      <c r="H13" s="151"/>
    </row>
    <row r="14" spans="1:8" ht="58.35" customHeight="1">
      <c r="B14" s="51" t="s">
        <v>76</v>
      </c>
      <c r="C14" s="147"/>
      <c r="D14" s="148"/>
      <c r="E14" s="148"/>
      <c r="F14" s="148"/>
      <c r="G14" s="148"/>
      <c r="H14" s="149"/>
    </row>
    <row r="15" spans="1:8">
      <c r="B15" s="20"/>
      <c r="C15" s="20"/>
      <c r="D15" s="20"/>
      <c r="E15" s="20"/>
      <c r="F15" s="20"/>
      <c r="G15" s="20"/>
      <c r="H15" s="20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5"/>
  <sheetViews>
    <sheetView showGridLines="0" topLeftCell="A8" workbookViewId="0">
      <selection activeCell="F10" sqref="F10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8" s="1" customFormat="1" ht="59.25" customHeight="1" thickBot="1">
      <c r="B1" s="146">
        <f>DATE(CalendarYear,7,1)</f>
        <v>43647</v>
      </c>
      <c r="C1" s="146"/>
      <c r="D1" s="146"/>
      <c r="E1" s="146"/>
      <c r="F1" s="146"/>
      <c r="G1" s="146"/>
      <c r="H1" s="146"/>
    </row>
    <row r="2" spans="1:8" s="3" customFormat="1" ht="21.75" customHeight="1">
      <c r="A2" s="2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</row>
    <row r="3" spans="1:8" ht="14.1" customHeight="1">
      <c r="B3" s="9" t="str">
        <f>IF(AND(YEAR(JulSun1)=CalendarYear,MONTH(JulSun1)=7),JulSun1, "")</f>
        <v/>
      </c>
      <c r="C3" s="5">
        <f>IF(AND(YEAR(JulSun1+1)=CalendarYear,MONTH(JulSun1+1)=7),JulSun1+1, "")</f>
        <v>43647</v>
      </c>
      <c r="D3" s="5">
        <f>IF(AND(YEAR(JulSun1+2)=CalendarYear,MONTH(JulSun1+2)=7),JulSun1+2, "")</f>
        <v>43648</v>
      </c>
      <c r="E3" s="5">
        <f>IF(AND(YEAR(JulSun1+3)=CalendarYear,MONTH(JulSun1+3)=7),JulSun1+3, "")</f>
        <v>43649</v>
      </c>
      <c r="F3" s="5">
        <f>IF(AND(YEAR(JulSun1+4)=CalendarYear,MONTH(JulSun1+4)=7),JulSun1+4, "")</f>
        <v>43650</v>
      </c>
      <c r="G3" s="5">
        <f>IF(AND(YEAR(JulSun1+5)=CalendarYear,MONTH(JulSun1+5)=7),JulSun1+5, "")</f>
        <v>43651</v>
      </c>
      <c r="H3" s="10">
        <f>IF(AND(YEAR(JulSun1+6)=CalendarYear,MONTH(JulSun1+6)=7),JulSun1+6, "")</f>
        <v>43652</v>
      </c>
    </row>
    <row r="4" spans="1:8" ht="58.35" customHeight="1">
      <c r="B4" s="84"/>
      <c r="C4" s="48" t="s">
        <v>77</v>
      </c>
      <c r="D4" s="49" t="s">
        <v>12</v>
      </c>
      <c r="E4" s="49"/>
      <c r="F4" s="49" t="s">
        <v>12</v>
      </c>
      <c r="G4" s="48" t="s">
        <v>16</v>
      </c>
      <c r="H4" s="48"/>
    </row>
    <row r="5" spans="1:8" ht="14.1" customHeight="1">
      <c r="B5" s="11">
        <f>IF(AND(YEAR(JulSun1+7)=CalendarYear,MONTH(JulSun1+7)=7),JulSun1+7, "")</f>
        <v>43653</v>
      </c>
      <c r="C5" s="5">
        <f>IF(AND(YEAR(JulSun1+8)=CalendarYear,MONTH(JulSun1+8)=7),JulSun1+8, "")</f>
        <v>43654</v>
      </c>
      <c r="D5" s="5">
        <f>IF(AND(YEAR(JulSun1+9)=CalendarYear,MONTH(JulSun1+9)=7),JulSun1+9, "")</f>
        <v>43655</v>
      </c>
      <c r="E5" s="5">
        <f>IF(AND(YEAR(JulSun1+10)=CalendarYear,MONTH(JulSun1+10)=7),JulSun1+10, "")</f>
        <v>43656</v>
      </c>
      <c r="F5" s="5">
        <f>IF(AND(YEAR(JulSun1+11)=CalendarYear,MONTH(JulSun1+11)=7),JulSun1+11, "")</f>
        <v>43657</v>
      </c>
      <c r="G5" s="5">
        <f>IF(AND(YEAR(JulSun1+12)=CalendarYear,MONTH(JulSun1+12)=7),JulSun1+12,"")</f>
        <v>43658</v>
      </c>
      <c r="H5" s="10">
        <f>IF(AND(YEAR(JulSun1+13)=CalendarYear,MONTH(JulSun1+13)=7),JulSun1+13, "")</f>
        <v>43659</v>
      </c>
    </row>
    <row r="6" spans="1:8" ht="58.35" customHeight="1">
      <c r="B6" s="48" t="s">
        <v>16</v>
      </c>
      <c r="C6" s="51" t="s">
        <v>11</v>
      </c>
      <c r="D6" s="71"/>
      <c r="E6" s="71"/>
      <c r="F6" s="51" t="s">
        <v>11</v>
      </c>
      <c r="G6" s="52" t="s">
        <v>14</v>
      </c>
      <c r="H6" s="52"/>
    </row>
    <row r="7" spans="1:8" ht="14.1" customHeight="1">
      <c r="B7" s="11">
        <f>IF(AND(YEAR(JulSun1+14)=CalendarYear,MONTH(JulSun1+14)=7),JulSun1+14, "")</f>
        <v>43660</v>
      </c>
      <c r="C7" s="5">
        <f>IF(AND(YEAR(JulSun1+15)=CalendarYear,MONTH(JulSun1+15)=7),JulSun1+15, "")</f>
        <v>43661</v>
      </c>
      <c r="D7" s="5">
        <f>IF(AND(YEAR(JulSun1+16)=CalendarYear,MONTH(JulSun1+16)=7),JulSun1+16, "")</f>
        <v>43662</v>
      </c>
      <c r="E7" s="5">
        <f>IF(AND(YEAR(JulSun1+17)=CalendarYear,MONTH(JulSun1+17)=7),JulSun1+17, "")</f>
        <v>43663</v>
      </c>
      <c r="F7" s="5">
        <f>IF(AND(YEAR(JulSun1+18)=CalendarYear,MONTH(JulSun1+18)=7),JulSun1+18, "")</f>
        <v>43664</v>
      </c>
      <c r="G7" s="5">
        <f>IF(AND(YEAR(JulSun1+19)=CalendarYear,MONTH(JulSun1+19)=7),JulSun1+19, "")</f>
        <v>43665</v>
      </c>
      <c r="H7" s="10">
        <f>IF(AND(YEAR(JulSun1+20)=CalendarYear,MONTH(JulSun1+20)=7),JulSun1+20, "")</f>
        <v>43666</v>
      </c>
    </row>
    <row r="8" spans="1:8" ht="58.35" customHeight="1">
      <c r="B8" s="118"/>
      <c r="C8" s="118"/>
      <c r="D8" s="118"/>
      <c r="E8" s="118"/>
      <c r="F8" s="52" t="s">
        <v>14</v>
      </c>
      <c r="G8" s="50" t="s">
        <v>13</v>
      </c>
      <c r="H8" s="43"/>
    </row>
    <row r="9" spans="1:8" ht="14.1" customHeight="1">
      <c r="B9" s="12">
        <f>IF(AND(YEAR(JulSun1+21)=CalendarYear,MONTH(JulSun1+21)=7),JulSun1+21, "")</f>
        <v>43667</v>
      </c>
      <c r="C9" s="6">
        <f>IF(AND(YEAR(JulSun1+22)=CalendarYear,MONTH(JulSun1+22)=7),JulSun1+22, "")</f>
        <v>43668</v>
      </c>
      <c r="D9" s="6">
        <f>IF(AND(YEAR(JulSun1+23)=CalendarYear,MONTH(JulSun1+23)=7),JulSun1+23, "")</f>
        <v>43669</v>
      </c>
      <c r="E9" s="6">
        <f>IF(AND(YEAR(JulSun1+24)=CalendarYear,MONTH(JulSun1+24)=7),JulSun1+24, "")</f>
        <v>43670</v>
      </c>
      <c r="F9" s="6">
        <f>IF(AND(YEAR(JulSun1+25)=CalendarYear,MONTH(JulSun1+25)=7),JulSun1+25, "")</f>
        <v>43671</v>
      </c>
      <c r="G9" s="6">
        <f>IF(AND(YEAR(JulSun1+26)=CalendarYear,MONTH(JulSun1+26)=7),JulSun1+26, "")</f>
        <v>43672</v>
      </c>
      <c r="H9" s="13">
        <f>IF(AND(YEAR(JulSun1+27)=CalendarYear,MONTH(JulSun1+27)=7),JulSun1+27, "")</f>
        <v>43673</v>
      </c>
    </row>
    <row r="10" spans="1:8" ht="58.35" customHeight="1">
      <c r="B10" s="50" t="s">
        <v>13</v>
      </c>
      <c r="C10" s="47" t="s">
        <v>10</v>
      </c>
      <c r="D10" s="119"/>
      <c r="E10" s="119"/>
      <c r="F10" s="47" t="s">
        <v>10</v>
      </c>
      <c r="G10" s="65" t="s">
        <v>9</v>
      </c>
      <c r="H10" s="120"/>
    </row>
    <row r="11" spans="1:8" ht="14.1" customHeight="1">
      <c r="B11" s="12">
        <f>IF(AND(YEAR(JulSun1+28)=CalendarYear,MONTH(JulSun1+28)=7),JulSun1+28, "")</f>
        <v>43674</v>
      </c>
      <c r="C11" s="6">
        <f>IF(AND(YEAR(JulSun1+29)=CalendarYear,MONTH(JulSun1+29)=7),JulSun1+29, "")</f>
        <v>43675</v>
      </c>
      <c r="D11" s="6">
        <f>IF(AND(YEAR(JulSun1+30)=CalendarYear,MONTH(JulSun1+30)=7),JulSun1+30, "")</f>
        <v>43676</v>
      </c>
      <c r="E11" s="6">
        <f>IF(AND(YEAR(JulSun1+31)=CalendarYear,MONTH(JulSun1+31)=7),JulSun1+31, "")</f>
        <v>43677</v>
      </c>
      <c r="F11" s="6" t="str">
        <f>IF(AND(YEAR(JulSun1+32)=CalendarYear,MONTH(JulSun1+32)=7),JulSun1+32, "")</f>
        <v/>
      </c>
      <c r="G11" s="6" t="str">
        <f>IF(AND(YEAR(JulSun1+33)=CalendarYear,MONTH(JulSun1+33)=7),JulSun1+33, "")</f>
        <v/>
      </c>
      <c r="H11" s="13" t="str">
        <f>IF(AND(YEAR(JulSun1+34)=CalendarYear,MONTH(JulSun1+34)=7),JulSun1+34, "")</f>
        <v/>
      </c>
    </row>
    <row r="12" spans="1:8" ht="58.35" customHeight="1">
      <c r="B12" s="65"/>
      <c r="C12" s="65"/>
      <c r="D12" s="65"/>
      <c r="E12" s="65" t="s">
        <v>9</v>
      </c>
      <c r="F12" s="85"/>
      <c r="G12" s="85"/>
      <c r="H12" s="85"/>
    </row>
    <row r="13" spans="1:8" ht="14.1" customHeight="1">
      <c r="B13" s="143" t="s">
        <v>17</v>
      </c>
      <c r="C13" s="143"/>
      <c r="D13" s="143"/>
      <c r="E13" s="143"/>
      <c r="F13" s="144"/>
      <c r="G13" s="20"/>
      <c r="H13" s="20"/>
    </row>
    <row r="14" spans="1:8" ht="58.35" customHeight="1">
      <c r="B14" s="140"/>
      <c r="C14" s="141"/>
      <c r="D14" s="141"/>
      <c r="E14" s="141"/>
      <c r="F14" s="142"/>
      <c r="G14" s="20"/>
      <c r="H14" s="20"/>
    </row>
    <row r="15" spans="1:8">
      <c r="B15" s="20"/>
      <c r="C15" s="20"/>
      <c r="D15" s="20"/>
      <c r="E15" s="20"/>
      <c r="F15" s="20"/>
      <c r="G15" s="20"/>
      <c r="H15" s="20"/>
    </row>
  </sheetData>
  <mergeCells count="1">
    <mergeCell ref="B1:H1"/>
  </mergeCells>
  <phoneticPr fontId="1" type="noConversion"/>
  <printOptions horizontalCentered="1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14"/>
  <sheetViews>
    <sheetView showGridLines="0" topLeftCell="A10" workbookViewId="0">
      <selection activeCell="H12" sqref="H12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8" s="1" customFormat="1" ht="59.25" customHeight="1" thickBot="1">
      <c r="B1" s="146">
        <f>DATE(CalendarYear,8,1)</f>
        <v>43678</v>
      </c>
      <c r="C1" s="146"/>
      <c r="D1" s="146"/>
      <c r="E1" s="146"/>
      <c r="F1" s="146"/>
      <c r="G1" s="146"/>
      <c r="H1" s="146"/>
    </row>
    <row r="2" spans="1:8" s="3" customFormat="1" ht="21.75" customHeight="1">
      <c r="A2" s="2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</row>
    <row r="3" spans="1:8" ht="14.1" customHeight="1">
      <c r="B3" s="9" t="str">
        <f>IF(AND(YEAR(AugSun1)=CalendarYear,MONTH(AugSun1)=8),AugSun1, "")</f>
        <v/>
      </c>
      <c r="C3" s="5" t="str">
        <f>IF(AND(YEAR(AugSun1+1)=CalendarYear,MONTH(AugSun1+1)=8),AugSun1+1, "")</f>
        <v/>
      </c>
      <c r="D3" s="5" t="str">
        <f>IF(AND(YEAR(AugSun1+2)=CalendarYear,MONTH(AugSun1+2)=8),AugSun1+2, "")</f>
        <v/>
      </c>
      <c r="E3" s="5" t="str">
        <f>IF(AND(YEAR(AugSun1+3)=CalendarYear,MONTH(AugSun1+3)=8),AugSun1+3, "")</f>
        <v/>
      </c>
      <c r="F3" s="5">
        <f>IF(AND(YEAR(AugSun1+4)=CalendarYear,MONTH(AugSun1+4)=8),AugSun1+4, "")</f>
        <v>43678</v>
      </c>
      <c r="G3" s="5">
        <f>IF(AND(YEAR(AugSun1+5)=CalendarYear,MONTH(AugSun1+5)=8),AugSun1+5, "")</f>
        <v>43679</v>
      </c>
      <c r="H3" s="10">
        <f>IF(AND(YEAR(AugSun1+6)=CalendarYear,MONTH(AugSun1+6)=8),AugSun1+6, "")</f>
        <v>43680</v>
      </c>
    </row>
    <row r="4" spans="1:8" ht="58.35" customHeight="1">
      <c r="B4" s="79"/>
      <c r="C4" s="79"/>
      <c r="D4" s="79"/>
      <c r="E4" s="79"/>
      <c r="F4" s="65" t="s">
        <v>9</v>
      </c>
      <c r="G4" s="72" t="s">
        <v>78</v>
      </c>
      <c r="H4" s="73"/>
    </row>
    <row r="5" spans="1:8" ht="14.1" customHeight="1">
      <c r="B5" s="11">
        <f>IF(AND(YEAR(AugSun1+7)=CalendarYear,MONTH(AugSun1+7)=8),AugSun1+7, "")</f>
        <v>43681</v>
      </c>
      <c r="C5" s="5">
        <f>IF(AND(YEAR(AugSun1+8)=CalendarYear,MONTH(AugSun1+8)=8),AugSun1+8, "")</f>
        <v>43682</v>
      </c>
      <c r="D5" s="5">
        <f>IF(AND(YEAR(AugSun1+9)=CalendarYear,MONTH(AugSun1+9)=8),AugSun1+9, "")</f>
        <v>43683</v>
      </c>
      <c r="E5" s="5">
        <f>IF(AND(YEAR(AugSun1+10)=CalendarYear,MONTH(AugSun1+10)=8),AugSun1+10, "")</f>
        <v>43684</v>
      </c>
      <c r="F5" s="5">
        <f>IF(AND(YEAR(AugSun1+11)=CalendarYear,MONTH(AugSun1+11)=8),AugSun1+11, "")</f>
        <v>43685</v>
      </c>
      <c r="G5" s="5">
        <f>IF(AND(YEAR(AugSun1+12)=CalendarYear,MONTH(AugSun1+12)=8),AugSun1+12,"")</f>
        <v>43686</v>
      </c>
      <c r="H5" s="10">
        <f>IF(AND(YEAR(AugSun1+13)=CalendarYear,MONTH(AugSun1+13)=8),AugSun1+13, "")</f>
        <v>43687</v>
      </c>
    </row>
    <row r="6" spans="1:8" ht="58.35" customHeight="1">
      <c r="B6" s="74"/>
      <c r="C6" s="72" t="s">
        <v>78</v>
      </c>
      <c r="D6" s="49" t="s">
        <v>12</v>
      </c>
      <c r="E6" s="121"/>
      <c r="F6" s="49" t="s">
        <v>12</v>
      </c>
      <c r="G6" s="50" t="s">
        <v>13</v>
      </c>
      <c r="H6" s="122"/>
    </row>
    <row r="7" spans="1:8" ht="14.1" customHeight="1">
      <c r="B7" s="11">
        <f>IF(AND(YEAR(AugSun1+14)=CalendarYear,MONTH(AugSun1+14)=8),AugSun1+14, "")</f>
        <v>43688</v>
      </c>
      <c r="C7" s="5">
        <f>IF(AND(YEAR(AugSun1+15)=CalendarYear,MONTH(AugSun1+15)=8),AugSun1+15, "")</f>
        <v>43689</v>
      </c>
      <c r="D7" s="5">
        <f>IF(AND(YEAR(AugSun1+16)=CalendarYear,MONTH(AugSun1+16)=8),AugSun1+16, "")</f>
        <v>43690</v>
      </c>
      <c r="E7" s="5">
        <f>IF(AND(YEAR(AugSun1+17)=CalendarYear,MONTH(AugSun1+17)=8),AugSun1+17, "")</f>
        <v>43691</v>
      </c>
      <c r="F7" s="5">
        <f>IF(AND(YEAR(AugSun1+18)=CalendarYear,MONTH(AugSun1+18)=8),AugSun1+18, "")</f>
        <v>43692</v>
      </c>
      <c r="G7" s="5">
        <f>IF(AND(YEAR(AugSun1+19)=CalendarYear,MONTH(AugSun1+19)=8),AugSun1+19, "")</f>
        <v>43693</v>
      </c>
      <c r="H7" s="10">
        <f>IF(AND(YEAR(AugSun1+20)=CalendarYear,MONTH(AugSun1+20)=8),AugSun1+20, "")</f>
        <v>43694</v>
      </c>
    </row>
    <row r="8" spans="1:8" ht="58.35" customHeight="1">
      <c r="B8" s="43"/>
      <c r="C8" s="43"/>
      <c r="D8" s="43"/>
      <c r="E8" s="43"/>
      <c r="F8" s="50" t="s">
        <v>13</v>
      </c>
      <c r="G8" s="51" t="s">
        <v>11</v>
      </c>
      <c r="H8" s="123"/>
    </row>
    <row r="9" spans="1:8" ht="14.1" customHeight="1">
      <c r="B9" s="12">
        <f>IF(AND(YEAR(AugSun1+21)=CalendarYear,MONTH(AugSun1+21)=8),AugSun1+21, "")</f>
        <v>43695</v>
      </c>
      <c r="C9" s="6">
        <f>IF(AND(YEAR(AugSun1+22)=CalendarYear,MONTH(AugSun1+22)=8),AugSun1+22, "")</f>
        <v>43696</v>
      </c>
      <c r="D9" s="6">
        <f>IF(AND(YEAR(AugSun1+23)=CalendarYear,MONTH(AugSun1+23)=8),AugSun1+23, "")</f>
        <v>43697</v>
      </c>
      <c r="E9" s="6">
        <f>IF(AND(YEAR(AugSun1+24)=CalendarYear,MONTH(AugSun1+24)=8),AugSun1+24, "")</f>
        <v>43698</v>
      </c>
      <c r="F9" s="6">
        <f>IF(AND(YEAR(AugSun1+25)=CalendarYear,MONTH(AugSun1+25)=8),AugSun1+25, "")</f>
        <v>43699</v>
      </c>
      <c r="G9" s="6">
        <f>IF(AND(YEAR(AugSun1+26)=CalendarYear,MONTH(AugSun1+26)=8),AugSun1+26, "")</f>
        <v>43700</v>
      </c>
      <c r="H9" s="13">
        <f>IF(AND(YEAR(AugSun1+27)=CalendarYear,MONTH(AugSun1+27)=8),AugSun1+27, "")</f>
        <v>43701</v>
      </c>
    </row>
    <row r="10" spans="1:8" ht="58.35" customHeight="1">
      <c r="B10" s="51" t="s">
        <v>11</v>
      </c>
      <c r="C10" s="52" t="s">
        <v>14</v>
      </c>
      <c r="D10" s="52" t="s">
        <v>14</v>
      </c>
      <c r="E10" s="48" t="s">
        <v>16</v>
      </c>
      <c r="F10" s="48"/>
      <c r="G10" s="48"/>
      <c r="H10" s="48"/>
    </row>
    <row r="11" spans="1:8" ht="14.1" customHeight="1">
      <c r="B11" s="12">
        <f>IF(AND(YEAR(AugSun1+28)=CalendarYear,MONTH(AugSun1+28)=8),AugSun1+28, "")</f>
        <v>43702</v>
      </c>
      <c r="C11" s="6">
        <f>IF(AND(YEAR(AugSun1+29)=CalendarYear,MONTH(AugSun1+29)=8),AugSun1+29, "")</f>
        <v>43703</v>
      </c>
      <c r="D11" s="6">
        <f>IF(AND(YEAR(AugSun1+30)=CalendarYear,MONTH(AugSun1+30)=8),AugSun1+30, "")</f>
        <v>43704</v>
      </c>
      <c r="E11" s="6">
        <f>IF(AND(YEAR(AugSun1+31)=CalendarYear,MONTH(AugSun1+31)=8),AugSun1+31, "")</f>
        <v>43705</v>
      </c>
      <c r="F11" s="6">
        <f>IF(AND(YEAR(AugSun1+32)=CalendarYear,MONTH(AugSun1+32)=8),AugSun1+32, "")</f>
        <v>43706</v>
      </c>
      <c r="G11" s="6">
        <f>IF(AND(YEAR(AugSun1+33)=CalendarYear,MONTH(AugSun1+33)=8),AugSun1+33, "")</f>
        <v>43707</v>
      </c>
      <c r="H11" s="13">
        <f>IF(AND(YEAR(AugSun1+34)=CalendarYear,MONTH(AugSun1+34)=8),AugSun1+34, "")</f>
        <v>43708</v>
      </c>
    </row>
    <row r="12" spans="1:8" ht="58.35" customHeight="1">
      <c r="B12" s="48" t="s">
        <v>16</v>
      </c>
      <c r="C12" s="65" t="s">
        <v>9</v>
      </c>
      <c r="D12" s="65" t="s">
        <v>9</v>
      </c>
      <c r="E12" s="47" t="s">
        <v>10</v>
      </c>
      <c r="F12" s="47" t="s">
        <v>10</v>
      </c>
      <c r="G12" s="86" t="s">
        <v>79</v>
      </c>
      <c r="H12" s="86" t="s">
        <v>79</v>
      </c>
    </row>
    <row r="13" spans="1:8" ht="14.1" customHeight="1">
      <c r="B13" s="25" t="str">
        <f>IF(AND(YEAR(AugSun1+35)=CalendarYear,MONTH(AugSun1+35)=8),AugSun1+35, "")</f>
        <v/>
      </c>
      <c r="C13" s="23" t="str">
        <f>IF(AND(YEAR(AugSun1+36)=CalendarYear,MONTH(AugSun1+36)=8),AugSun1+36, "")</f>
        <v/>
      </c>
      <c r="D13" s="150" t="s">
        <v>17</v>
      </c>
      <c r="E13" s="150"/>
      <c r="F13" s="150"/>
      <c r="G13" s="150"/>
      <c r="H13" s="151"/>
    </row>
    <row r="14" spans="1:8" ht="58.35" customHeight="1" thickBot="1">
      <c r="B14" s="83"/>
      <c r="C14" s="24"/>
      <c r="D14" s="147"/>
      <c r="E14" s="148"/>
      <c r="F14" s="148"/>
      <c r="G14" s="148"/>
      <c r="H14" s="149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15"/>
  <sheetViews>
    <sheetView showGridLines="0" workbookViewId="0">
      <selection activeCell="I12" sqref="I12"/>
    </sheetView>
  </sheetViews>
  <sheetFormatPr defaultColWidth="8.625" defaultRowHeight="14.25"/>
  <cols>
    <col min="1" max="1" width="2.375" style="1" customWidth="1"/>
    <col min="2" max="8" width="17.375" style="4" customWidth="1"/>
    <col min="9" max="16384" width="8.625" style="4"/>
  </cols>
  <sheetData>
    <row r="1" spans="1:8" s="1" customFormat="1" ht="59.25" customHeight="1" thickBot="1">
      <c r="B1" s="146">
        <f>DATE(CalendarYear,9,1)</f>
        <v>43709</v>
      </c>
      <c r="C1" s="146"/>
      <c r="D1" s="146"/>
      <c r="E1" s="146"/>
      <c r="F1" s="146"/>
      <c r="G1" s="146"/>
      <c r="H1" s="146"/>
    </row>
    <row r="2" spans="1:8" s="3" customFormat="1" ht="21.75" customHeight="1">
      <c r="A2" s="2"/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7</v>
      </c>
    </row>
    <row r="3" spans="1:8" ht="14.1" customHeight="1">
      <c r="B3" s="9">
        <f>IF(AND(YEAR(SepSun1)=CalendarYear,MONTH(SepSun1)=9),SepSun1, "")</f>
        <v>43709</v>
      </c>
      <c r="C3" s="5">
        <f>IF(AND(YEAR(SepSun1+1)=CalendarYear,MONTH(SepSun1+1)=9),SepSun1+1, "")</f>
        <v>43710</v>
      </c>
      <c r="D3" s="5">
        <f>IF(AND(YEAR(SepSun1+2)=CalendarYear,MONTH(SepSun1+2)=9),SepSun1+2, "")</f>
        <v>43711</v>
      </c>
      <c r="E3" s="5">
        <f>IF(AND(YEAR(SepSun1+3)=CalendarYear,MONTH(SepSun1+3)=9),SepSun1+3, "")</f>
        <v>43712</v>
      </c>
      <c r="F3" s="5">
        <f>IF(AND(YEAR(SepSun1+4)=CalendarYear,MONTH(SepSun1+4)=9),SepSun1+4, "")</f>
        <v>43713</v>
      </c>
      <c r="G3" s="5">
        <f>IF(AND(YEAR(SepSun1+5)=CalendarYear,MONTH(SepSun1+5)=9),SepSun1+5, "")</f>
        <v>43714</v>
      </c>
      <c r="H3" s="10">
        <f>IF(AND(YEAR(SepSun1+6)=CalendarYear,MONTH(SepSun1+6)=9),SepSun1+6, "")</f>
        <v>43715</v>
      </c>
    </row>
    <row r="4" spans="1:8" ht="58.35" customHeight="1">
      <c r="B4" s="172" t="s">
        <v>80</v>
      </c>
      <c r="C4" s="173"/>
      <c r="D4" s="50" t="s">
        <v>13</v>
      </c>
      <c r="E4" s="124"/>
      <c r="F4" s="50" t="s">
        <v>13</v>
      </c>
      <c r="G4" s="65" t="s">
        <v>9</v>
      </c>
      <c r="H4" s="125"/>
    </row>
    <row r="5" spans="1:8" ht="14.1" customHeight="1">
      <c r="B5" s="11">
        <f>IF(AND(YEAR(SepSun1+7)=CalendarYear,MONTH(SepSun1+7)=9),SepSun1+7, "")</f>
        <v>43716</v>
      </c>
      <c r="C5" s="5">
        <f>IF(AND(YEAR(SepSun1+8)=CalendarYear,MONTH(SepSun1+8)=9),SepSun1+8, "")</f>
        <v>43717</v>
      </c>
      <c r="D5" s="5">
        <f>IF(AND(YEAR(SepSun1+9)=CalendarYear,MONTH(SepSun1+9)=9),SepSun1+9, "")</f>
        <v>43718</v>
      </c>
      <c r="E5" s="5">
        <f>IF(AND(YEAR(SepSun1+10)=CalendarYear,MONTH(SepSun1+10)=9),SepSun1+10, "")</f>
        <v>43719</v>
      </c>
      <c r="F5" s="5">
        <f>IF(AND(YEAR(SepSun1+11)=CalendarYear,MONTH(SepSun1+11)=9),SepSun1+11, "")</f>
        <v>43720</v>
      </c>
      <c r="G5" s="5">
        <f>IF(AND(YEAR(SepSun1+12)=CalendarYear,MONTH(SepSun1+12)=9),SepSun1+12,"")</f>
        <v>43721</v>
      </c>
      <c r="H5" s="10">
        <f>IF(AND(YEAR(SepSun1+13)=CalendarYear,MONTH(SepSun1+13)=9),SepSun1+13, "")</f>
        <v>43722</v>
      </c>
    </row>
    <row r="6" spans="1:8" ht="58.35" customHeight="1">
      <c r="B6" s="126"/>
      <c r="C6" s="126"/>
      <c r="D6" s="126"/>
      <c r="E6" s="126"/>
      <c r="F6" s="65" t="s">
        <v>9</v>
      </c>
      <c r="G6" s="47" t="s">
        <v>10</v>
      </c>
      <c r="H6" s="127"/>
    </row>
    <row r="7" spans="1:8" ht="14.1" customHeight="1">
      <c r="B7" s="11">
        <f>IF(AND(YEAR(SepSun1+14)=CalendarYear,MONTH(SepSun1+14)=9),SepSun1+14, "")</f>
        <v>43723</v>
      </c>
      <c r="C7" s="5">
        <f>IF(AND(YEAR(SepSun1+15)=CalendarYear,MONTH(SepSun1+15)=9),SepSun1+15, "")</f>
        <v>43724</v>
      </c>
      <c r="D7" s="5">
        <f>IF(AND(YEAR(SepSun1+16)=CalendarYear,MONTH(SepSun1+16)=9),SepSun1+16, "")</f>
        <v>43725</v>
      </c>
      <c r="E7" s="5">
        <f>IF(AND(YEAR(SepSun1+17)=CalendarYear,MONTH(SepSun1+17)=9),SepSun1+17, "")</f>
        <v>43726</v>
      </c>
      <c r="F7" s="5">
        <f>IF(AND(YEAR(SepSun1+18)=CalendarYear,MONTH(SepSun1+18)=9),SepSun1+18, "")</f>
        <v>43727</v>
      </c>
      <c r="G7" s="5">
        <f>IF(AND(YEAR(SepSun1+19)=CalendarYear,MONTH(SepSun1+19)=9),SepSun1+19, "")</f>
        <v>43728</v>
      </c>
      <c r="H7" s="10">
        <f>IF(AND(YEAR(SepSun1+20)=CalendarYear,MONTH(SepSun1+20)=9),SepSun1+20, "")</f>
        <v>43729</v>
      </c>
    </row>
    <row r="8" spans="1:8" ht="58.35" customHeight="1">
      <c r="B8" s="47"/>
      <c r="C8" s="47"/>
      <c r="D8" s="47" t="s">
        <v>10</v>
      </c>
      <c r="E8" s="51" t="s">
        <v>11</v>
      </c>
      <c r="F8" s="51"/>
      <c r="G8" s="51"/>
      <c r="H8" s="51"/>
    </row>
    <row r="9" spans="1:8" ht="14.1" customHeight="1">
      <c r="B9" s="12">
        <f>IF(AND(YEAR(SepSun1+21)=CalendarYear,MONTH(SepSun1+21)=9),SepSun1+21, "")</f>
        <v>43730</v>
      </c>
      <c r="C9" s="6">
        <f>IF(AND(YEAR(SepSun1+22)=CalendarYear,MONTH(SepSun1+22)=9),SepSun1+22, "")</f>
        <v>43731</v>
      </c>
      <c r="D9" s="6">
        <f>IF(AND(YEAR(SepSun1+23)=CalendarYear,MONTH(SepSun1+23)=9),SepSun1+23, "")</f>
        <v>43732</v>
      </c>
      <c r="E9" s="6">
        <f>IF(AND(YEAR(SepSun1+24)=CalendarYear,MONTH(SepSun1+24)=9),SepSun1+24, "")</f>
        <v>43733</v>
      </c>
      <c r="F9" s="6">
        <f>IF(AND(YEAR(SepSun1+25)=CalendarYear,MONTH(SepSun1+25)=9),SepSun1+25, "")</f>
        <v>43734</v>
      </c>
      <c r="G9" s="6">
        <f>IF(AND(YEAR(SepSun1+26)=CalendarYear,MONTH(SepSun1+26)=9),SepSun1+26, "")</f>
        <v>43735</v>
      </c>
      <c r="H9" s="13">
        <f>IF(AND(YEAR(SepSun1+27)=CalendarYear,MONTH(SepSun1+27)=9),SepSun1+27, "")</f>
        <v>43736</v>
      </c>
    </row>
    <row r="10" spans="1:8" ht="58.35" customHeight="1">
      <c r="B10" s="51" t="s">
        <v>11</v>
      </c>
      <c r="C10" s="52" t="s">
        <v>14</v>
      </c>
      <c r="D10" s="52" t="s">
        <v>14</v>
      </c>
      <c r="E10" s="49" t="s">
        <v>12</v>
      </c>
      <c r="F10" s="49" t="s">
        <v>12</v>
      </c>
      <c r="G10" s="48" t="s">
        <v>16</v>
      </c>
      <c r="H10" s="112"/>
    </row>
    <row r="11" spans="1:8" ht="14.1" customHeight="1">
      <c r="B11" s="12">
        <f>IF(AND(YEAR(SepSun1+28)=CalendarYear,MONTH(SepSun1+28)=9),SepSun1+28, "")</f>
        <v>43737</v>
      </c>
      <c r="C11" s="6">
        <f>IF(AND(YEAR(SepSun1+29)=CalendarYear,MONTH(SepSun1+29)=9),SepSun1+29, "")</f>
        <v>43738</v>
      </c>
      <c r="D11" s="6" t="str">
        <f>IF(AND(YEAR(SepSun1+30)=CalendarYear,MONTH(SepSun1+30)=9),SepSun1+30, "")</f>
        <v/>
      </c>
      <c r="E11" s="6" t="str">
        <f>IF(AND(YEAR(SepSun1+31)=CalendarYear,MONTH(SepSun1+31)=9),SepSun1+31, "")</f>
        <v/>
      </c>
      <c r="F11" s="6" t="str">
        <f>IF(AND(YEAR(SepSun1+32)=CalendarYear,MONTH(SepSun1+32)=9),SepSun1+32, "")</f>
        <v/>
      </c>
      <c r="G11" s="6" t="str">
        <f>IF(AND(YEAR(SepSun1+33)=CalendarYear,MONTH(SepSun1+33)=9),SepSun1+33, "")</f>
        <v/>
      </c>
      <c r="H11" s="13" t="str">
        <f>IF(AND(YEAR(SepSun1+34)=CalendarYear,MONTH(SepSun1+34)=9),SepSun1+34, "")</f>
        <v/>
      </c>
    </row>
    <row r="12" spans="1:8" ht="58.35" customHeight="1">
      <c r="B12" s="128"/>
      <c r="C12" s="48" t="s">
        <v>16</v>
      </c>
      <c r="D12" s="88"/>
      <c r="E12" s="88"/>
      <c r="F12" s="88"/>
      <c r="G12" s="88"/>
      <c r="H12" s="88"/>
    </row>
    <row r="13" spans="1:8" ht="14.1" customHeight="1">
      <c r="B13" s="25" t="str">
        <f>IF(AND(YEAR(SepSun1+35)=CalendarYear,MONTH(SepSun1+35)=9),SepSun1+35, "")</f>
        <v/>
      </c>
      <c r="C13" s="150" t="s">
        <v>17</v>
      </c>
      <c r="D13" s="150"/>
      <c r="E13" s="150"/>
      <c r="F13" s="150"/>
      <c r="G13" s="150"/>
      <c r="H13" s="151"/>
    </row>
    <row r="14" spans="1:8" ht="58.35" customHeight="1">
      <c r="B14" s="70"/>
      <c r="C14" s="147"/>
      <c r="D14" s="148"/>
      <c r="E14" s="148"/>
      <c r="F14" s="148"/>
      <c r="G14" s="148"/>
      <c r="H14" s="149"/>
    </row>
    <row r="15" spans="1:8">
      <c r="B15" s="20"/>
      <c r="C15" s="20"/>
      <c r="D15" s="20"/>
      <c r="E15" s="20"/>
      <c r="F15" s="20"/>
      <c r="G15" s="20"/>
      <c r="H15" s="20"/>
    </row>
  </sheetData>
  <mergeCells count="4">
    <mergeCell ref="B1:H1"/>
    <mergeCell ref="C13:H13"/>
    <mergeCell ref="C14:H14"/>
    <mergeCell ref="B4:C4"/>
  </mergeCells>
  <phoneticPr fontId="1" type="noConversion"/>
  <printOptions horizontalCentered="1"/>
  <pageMargins left="0.5" right="0.5" top="0.75" bottom="0.75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  <vt:lpstr>CalendarYear</vt:lpstr>
      <vt:lpstr>Jan!Print_Area</vt:lpstr>
      <vt:lpstr>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Heming</dc:creator>
  <cp:keywords/>
  <dc:description/>
  <cp:lastModifiedBy>Ethan Heming</cp:lastModifiedBy>
  <cp:revision/>
  <dcterms:created xsi:type="dcterms:W3CDTF">2001-05-02T15:52:45Z</dcterms:created>
  <dcterms:modified xsi:type="dcterms:W3CDTF">2019-08-07T18:38:35Z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