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 tabRatio="911" activeTab="1"/>
  </bookViews>
  <sheets>
    <sheet name="COST SUMMARY" sheetId="12" r:id="rId1"/>
    <sheet name="BASE BID" sheetId="26" r:id="rId2"/>
    <sheet name="HOURLY RATES" sheetId="22" r:id="rId3"/>
  </sheets>
  <definedNames>
    <definedName name="_xlnm._FilterDatabase" localSheetId="1" hidden="1">'BASE BID'!$O$1:$O$838</definedName>
    <definedName name="_xlnm._FilterDatabase" localSheetId="0" hidden="1">'COST SUMMARY'!#REF!</definedName>
    <definedName name="_xlnm._FilterDatabase" localSheetId="2" hidden="1">'HOURLY RATES'!$B$8:$D$104</definedName>
    <definedName name="_xlnm.Print_Area" localSheetId="1">'BASE BID'!$A$1:$R$821</definedName>
    <definedName name="_xlnm.Print_Area" localSheetId="0">'COST SUMMARY'!$A$1:$Q$85</definedName>
    <definedName name="_xlnm.Print_Titles" localSheetId="1">'BASE BID'!$17:$17</definedName>
    <definedName name="_xlnm.Print_Titles" localSheetId="0">'COST SUMMARY'!#REF!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" i="12" l="1"/>
  <c r="M30" i="12" l="1"/>
  <c r="M77" i="12"/>
  <c r="K780" i="26"/>
  <c r="K777" i="26"/>
  <c r="K767" i="26"/>
  <c r="K766" i="26"/>
  <c r="K765" i="26"/>
  <c r="K763" i="26"/>
  <c r="K759" i="26"/>
  <c r="K772" i="26"/>
  <c r="K781" i="26"/>
  <c r="K778" i="26"/>
  <c r="K776" i="26"/>
  <c r="K775" i="26"/>
  <c r="K774" i="26"/>
  <c r="K773" i="26"/>
  <c r="K771" i="26"/>
  <c r="K770" i="26"/>
  <c r="K769" i="26"/>
  <c r="K678" i="26"/>
  <c r="K677" i="26"/>
  <c r="K552" i="26"/>
  <c r="K550" i="26"/>
  <c r="K551" i="26"/>
  <c r="K553" i="26"/>
  <c r="K549" i="26"/>
  <c r="K548" i="26"/>
  <c r="K279" i="26"/>
  <c r="K278" i="26"/>
  <c r="K142" i="26"/>
  <c r="H32" i="12" l="1"/>
  <c r="H79" i="12" s="1"/>
  <c r="H33" i="12"/>
  <c r="H80" i="12" s="1"/>
  <c r="H34" i="12"/>
  <c r="H81" i="12" s="1"/>
  <c r="L207" i="26"/>
  <c r="L123" i="26"/>
  <c r="K103" i="26"/>
  <c r="K102" i="26"/>
  <c r="M686" i="26" l="1"/>
  <c r="M625" i="26"/>
  <c r="M624" i="26"/>
  <c r="M623" i="26"/>
  <c r="M622" i="26"/>
  <c r="M621" i="26"/>
  <c r="M620" i="26"/>
  <c r="M609" i="26"/>
  <c r="M589" i="26"/>
  <c r="M588" i="26"/>
  <c r="M587" i="26"/>
  <c r="M586" i="26"/>
  <c r="M585" i="26"/>
  <c r="M584" i="26"/>
  <c r="M583" i="26"/>
  <c r="M554" i="26"/>
  <c r="M345" i="26"/>
  <c r="M344" i="26"/>
  <c r="M197" i="26"/>
  <c r="M137" i="26"/>
  <c r="M136" i="26"/>
  <c r="G609" i="26"/>
  <c r="M726" i="26"/>
  <c r="O726" i="26"/>
  <c r="O625" i="26"/>
  <c r="O624" i="26"/>
  <c r="O623" i="26"/>
  <c r="O622" i="26"/>
  <c r="O621" i="26"/>
  <c r="O620" i="26"/>
  <c r="O588" i="26"/>
  <c r="O587" i="26"/>
  <c r="O586" i="26"/>
  <c r="O585" i="26"/>
  <c r="O584" i="26"/>
  <c r="O583" i="26"/>
  <c r="O197" i="26" l="1"/>
  <c r="A66" i="26"/>
  <c r="A67" i="26"/>
  <c r="A68" i="26"/>
  <c r="A69" i="26"/>
  <c r="A72" i="26"/>
  <c r="A75" i="26"/>
  <c r="A78" i="26"/>
  <c r="A81" i="26"/>
  <c r="A82" i="26"/>
  <c r="A85" i="26"/>
  <c r="A86" i="26"/>
  <c r="A90" i="26"/>
  <c r="A91" i="26"/>
  <c r="A95" i="26"/>
  <c r="A96" i="26"/>
  <c r="A100" i="26"/>
  <c r="A101" i="26"/>
  <c r="A104" i="26"/>
  <c r="A105" i="26"/>
  <c r="A108" i="26"/>
  <c r="A109" i="26"/>
  <c r="A115" i="26"/>
  <c r="A116" i="26"/>
  <c r="A121" i="26"/>
  <c r="A122" i="26"/>
  <c r="A124" i="26"/>
  <c r="A125" i="26"/>
  <c r="A126" i="26"/>
  <c r="A127" i="26"/>
  <c r="A130" i="26"/>
  <c r="A131" i="26"/>
  <c r="A134" i="26"/>
  <c r="A135" i="26"/>
  <c r="A141" i="26"/>
  <c r="A143" i="26"/>
  <c r="A144" i="26"/>
  <c r="A145" i="26"/>
  <c r="A146" i="26"/>
  <c r="A148" i="26"/>
  <c r="A149" i="26"/>
  <c r="A150" i="26"/>
  <c r="A151" i="26"/>
  <c r="A154" i="26"/>
  <c r="A155" i="26"/>
  <c r="A158" i="26"/>
  <c r="A159" i="26"/>
  <c r="A176" i="26"/>
  <c r="A177" i="26"/>
  <c r="A180" i="26"/>
  <c r="A181" i="26"/>
  <c r="A185" i="26"/>
  <c r="A186" i="26"/>
  <c r="A188" i="26"/>
  <c r="A189" i="26"/>
  <c r="A190" i="26"/>
  <c r="A191" i="26"/>
  <c r="A195" i="26"/>
  <c r="A196" i="26"/>
  <c r="A198" i="26"/>
  <c r="A199" i="26"/>
  <c r="A201" i="26"/>
  <c r="A204" i="26"/>
  <c r="A205" i="26"/>
  <c r="A206" i="26"/>
  <c r="A208" i="26"/>
  <c r="A209" i="26"/>
  <c r="A210" i="26"/>
  <c r="A211" i="26"/>
  <c r="A215" i="26"/>
  <c r="A218" i="26"/>
  <c r="A220" i="26"/>
  <c r="A221" i="26"/>
  <c r="A224" i="26"/>
  <c r="A225" i="26"/>
  <c r="A226" i="26"/>
  <c r="A227" i="26"/>
  <c r="A232" i="26"/>
  <c r="A238" i="26"/>
  <c r="A253" i="26"/>
  <c r="A254" i="26"/>
  <c r="A260" i="26"/>
  <c r="A261" i="26"/>
  <c r="A264" i="26"/>
  <c r="A269" i="26"/>
  <c r="A271" i="26"/>
  <c r="A274" i="26"/>
  <c r="A275" i="26"/>
  <c r="A277" i="26"/>
  <c r="A280" i="26"/>
  <c r="A281" i="26"/>
  <c r="A282" i="26"/>
  <c r="A283" i="26"/>
  <c r="A300" i="26"/>
  <c r="A301" i="26"/>
  <c r="A322" i="26"/>
  <c r="A323" i="26"/>
  <c r="A342" i="26"/>
  <c r="A343" i="26"/>
  <c r="A346" i="26"/>
  <c r="A347" i="26"/>
  <c r="A348" i="26"/>
  <c r="A349" i="26"/>
  <c r="A350" i="26"/>
  <c r="A358" i="26"/>
  <c r="A367" i="26"/>
  <c r="A376" i="26"/>
  <c r="A385" i="26"/>
  <c r="A394" i="26"/>
  <c r="A403" i="26"/>
  <c r="A412" i="26"/>
  <c r="A421" i="26"/>
  <c r="A430" i="26"/>
  <c r="A436" i="26"/>
  <c r="A445" i="26"/>
  <c r="A453" i="26"/>
  <c r="A462" i="26"/>
  <c r="A471" i="26"/>
  <c r="A480" i="26"/>
  <c r="A489" i="26"/>
  <c r="A495" i="26"/>
  <c r="A501" i="26"/>
  <c r="A508" i="26"/>
  <c r="A515" i="26"/>
  <c r="A522" i="26"/>
  <c r="A527" i="26"/>
  <c r="A531" i="26"/>
  <c r="A534" i="26"/>
  <c r="A535" i="26"/>
  <c r="A537" i="26"/>
  <c r="A538" i="26"/>
  <c r="A557" i="26"/>
  <c r="A561" i="26"/>
  <c r="A563" i="26"/>
  <c r="A564" i="26"/>
  <c r="A566" i="26"/>
  <c r="A570" i="26"/>
  <c r="A573" i="26"/>
  <c r="A574" i="26"/>
  <c r="A577" i="26"/>
  <c r="A581" i="26"/>
  <c r="A582" i="26"/>
  <c r="A592" i="26"/>
  <c r="A593" i="26"/>
  <c r="A603" i="26"/>
  <c r="A604" i="26"/>
  <c r="A612" i="26"/>
  <c r="A614" i="26"/>
  <c r="A615" i="26"/>
  <c r="A618" i="26"/>
  <c r="A619" i="26"/>
  <c r="A626" i="26"/>
  <c r="A627" i="26"/>
  <c r="A628" i="26"/>
  <c r="A629" i="26"/>
  <c r="A641" i="26"/>
  <c r="A642" i="26"/>
  <c r="A649" i="26"/>
  <c r="A650" i="26"/>
  <c r="A662" i="26"/>
  <c r="A663" i="26"/>
  <c r="A664" i="26"/>
  <c r="A672" i="26"/>
  <c r="A673" i="26"/>
  <c r="A674" i="26"/>
  <c r="A676" i="26"/>
  <c r="A679" i="26"/>
  <c r="A680" i="26"/>
  <c r="A681" i="26"/>
  <c r="A682" i="26"/>
  <c r="A684" i="26"/>
  <c r="A685" i="26"/>
  <c r="A687" i="26"/>
  <c r="A688" i="26"/>
  <c r="A710" i="26"/>
  <c r="A711" i="26"/>
  <c r="A721" i="26"/>
  <c r="A722" i="26"/>
  <c r="A724" i="26"/>
  <c r="A725" i="26"/>
  <c r="A727" i="26"/>
  <c r="A728" i="26"/>
  <c r="A729" i="26"/>
  <c r="A730" i="26"/>
  <c r="A737" i="26"/>
  <c r="A738" i="26"/>
  <c r="A739" i="26"/>
  <c r="A740" i="26"/>
  <c r="A741" i="26"/>
  <c r="A757" i="26"/>
  <c r="A758" i="26"/>
  <c r="A782" i="26"/>
  <c r="A783" i="26"/>
  <c r="A791" i="26"/>
  <c r="A792" i="26"/>
  <c r="A800" i="26"/>
  <c r="A801" i="26"/>
  <c r="A802" i="26"/>
  <c r="A803" i="26"/>
  <c r="A804" i="26"/>
  <c r="A805" i="26"/>
  <c r="A811" i="26"/>
  <c r="O381" i="26"/>
  <c r="K381" i="26"/>
  <c r="G138" i="26" l="1"/>
  <c r="G812" i="26" l="1"/>
  <c r="O701" i="26"/>
  <c r="O700" i="26"/>
  <c r="O341" i="26"/>
  <c r="O336" i="26"/>
  <c r="K341" i="26"/>
  <c r="O340" i="26"/>
  <c r="K340" i="26"/>
  <c r="O325" i="26"/>
  <c r="K325" i="26"/>
  <c r="O219" i="26"/>
  <c r="K106" i="26"/>
  <c r="A32" i="26"/>
  <c r="A33" i="26"/>
  <c r="A37" i="26"/>
  <c r="A38" i="26"/>
  <c r="A45" i="26"/>
  <c r="A46" i="26"/>
  <c r="A52" i="26"/>
  <c r="A53" i="26"/>
  <c r="A58" i="26"/>
  <c r="A59" i="26"/>
  <c r="A63" i="26"/>
  <c r="A64" i="26"/>
  <c r="O511" i="26" l="1"/>
  <c r="K511" i="26"/>
  <c r="M787" i="26"/>
  <c r="G249" i="26"/>
  <c r="G247" i="26"/>
  <c r="M219" i="26"/>
  <c r="M709" i="26"/>
  <c r="M700" i="26"/>
  <c r="M701" i="26"/>
  <c r="G635" i="26"/>
  <c r="G634" i="26"/>
  <c r="G633" i="26"/>
  <c r="G632" i="26"/>
  <c r="G631" i="26"/>
  <c r="G630" i="26"/>
  <c r="M340" i="26"/>
  <c r="M341" i="26"/>
  <c r="O708" i="26" l="1"/>
  <c r="O699" i="26"/>
  <c r="O698" i="26"/>
  <c r="O697" i="26"/>
  <c r="O695" i="26"/>
  <c r="O694" i="26"/>
  <c r="O693" i="26"/>
  <c r="O691" i="26"/>
  <c r="O690" i="26"/>
  <c r="O689" i="26"/>
  <c r="O798" i="26"/>
  <c r="O795" i="26"/>
  <c r="O789" i="26"/>
  <c r="O781" i="26"/>
  <c r="O780" i="26"/>
  <c r="O779" i="26"/>
  <c r="O778" i="26"/>
  <c r="O777" i="26"/>
  <c r="O775" i="26"/>
  <c r="O774" i="26"/>
  <c r="O773" i="26"/>
  <c r="O772" i="26"/>
  <c r="O771" i="26"/>
  <c r="O768" i="26"/>
  <c r="O767" i="26"/>
  <c r="O766" i="26"/>
  <c r="O765" i="26"/>
  <c r="O764" i="26"/>
  <c r="O763" i="26"/>
  <c r="O762" i="26"/>
  <c r="O761" i="26"/>
  <c r="O760" i="26"/>
  <c r="O759" i="26"/>
  <c r="K789" i="26"/>
  <c r="K788" i="26"/>
  <c r="O613" i="26" l="1"/>
  <c r="O606" i="26"/>
  <c r="O607" i="26"/>
  <c r="O608" i="26"/>
  <c r="O610" i="26"/>
  <c r="O611" i="26"/>
  <c r="O605" i="26"/>
  <c r="O556" i="26"/>
  <c r="O541" i="26"/>
  <c r="O540" i="26"/>
  <c r="O539" i="26"/>
  <c r="M513" i="26"/>
  <c r="M512" i="26"/>
  <c r="M511" i="26"/>
  <c r="K504" i="26"/>
  <c r="O504" i="26"/>
  <c r="O474" i="26"/>
  <c r="O555" i="26"/>
  <c r="O425" i="26"/>
  <c r="O416" i="26"/>
  <c r="O407" i="26"/>
  <c r="O398" i="26"/>
  <c r="O389" i="26"/>
  <c r="O380" i="26"/>
  <c r="O371" i="26"/>
  <c r="O362" i="26"/>
  <c r="O353" i="26"/>
  <c r="O661" i="26"/>
  <c r="O660" i="26"/>
  <c r="O659" i="26"/>
  <c r="O658" i="26"/>
  <c r="O657" i="26"/>
  <c r="O656" i="26"/>
  <c r="O655" i="26"/>
  <c r="O654" i="26"/>
  <c r="O653" i="26"/>
  <c r="O652" i="26"/>
  <c r="O651" i="26"/>
  <c r="O617" i="26"/>
  <c r="O578" i="26"/>
  <c r="O575" i="26"/>
  <c r="O571" i="26"/>
  <c r="O567" i="26"/>
  <c r="O553" i="26"/>
  <c r="O552" i="26"/>
  <c r="O551" i="26"/>
  <c r="O550" i="26"/>
  <c r="O549" i="26"/>
  <c r="O548" i="26"/>
  <c r="O547" i="26"/>
  <c r="O546" i="26"/>
  <c r="O545" i="26"/>
  <c r="O544" i="26"/>
  <c r="O543" i="26"/>
  <c r="O542" i="26"/>
  <c r="O526" i="26"/>
  <c r="O525" i="26"/>
  <c r="O518" i="26"/>
  <c r="O499" i="26"/>
  <c r="O498" i="26"/>
  <c r="O493" i="26"/>
  <c r="O492" i="26"/>
  <c r="O487" i="26"/>
  <c r="O484" i="26"/>
  <c r="O478" i="26"/>
  <c r="O477" i="26"/>
  <c r="O476" i="26"/>
  <c r="O475" i="26"/>
  <c r="O469" i="26"/>
  <c r="O468" i="26"/>
  <c r="O467" i="26"/>
  <c r="O466" i="26"/>
  <c r="O460" i="26"/>
  <c r="O459" i="26"/>
  <c r="O458" i="26"/>
  <c r="O457" i="26"/>
  <c r="O451" i="26"/>
  <c r="O450" i="26"/>
  <c r="O449" i="26"/>
  <c r="O448" i="26"/>
  <c r="O443" i="26"/>
  <c r="O442" i="26"/>
  <c r="O441" i="26"/>
  <c r="O440" i="26"/>
  <c r="O434" i="26"/>
  <c r="O433" i="26"/>
  <c r="O428" i="26"/>
  <c r="O427" i="26"/>
  <c r="O426" i="26"/>
  <c r="O419" i="26"/>
  <c r="O418" i="26"/>
  <c r="O417" i="26"/>
  <c r="O410" i="26"/>
  <c r="O409" i="26"/>
  <c r="O408" i="26"/>
  <c r="O401" i="26"/>
  <c r="O400" i="26"/>
  <c r="O399" i="26"/>
  <c r="O392" i="26"/>
  <c r="O391" i="26"/>
  <c r="O390" i="26"/>
  <c r="O383" i="26"/>
  <c r="O382" i="26"/>
  <c r="O374" i="26"/>
  <c r="O373" i="26"/>
  <c r="O372" i="26"/>
  <c r="O365" i="26"/>
  <c r="O364" i="26"/>
  <c r="O363" i="26"/>
  <c r="O356" i="26"/>
  <c r="O355" i="26"/>
  <c r="O354" i="26"/>
  <c r="K661" i="26"/>
  <c r="K660" i="26"/>
  <c r="K659" i="26"/>
  <c r="K658" i="26"/>
  <c r="K657" i="26"/>
  <c r="K656" i="26"/>
  <c r="K655" i="26"/>
  <c r="K654" i="26"/>
  <c r="K653" i="26"/>
  <c r="K652" i="26"/>
  <c r="K651" i="26"/>
  <c r="K578" i="26"/>
  <c r="K575" i="26"/>
  <c r="K571" i="26"/>
  <c r="K567" i="26"/>
  <c r="K524" i="26"/>
  <c r="K518" i="26"/>
  <c r="K517" i="26"/>
  <c r="K510" i="26"/>
  <c r="K503" i="26"/>
  <c r="K498" i="26"/>
  <c r="K497" i="26"/>
  <c r="K492" i="26"/>
  <c r="K491" i="26"/>
  <c r="K484" i="26"/>
  <c r="K482" i="26"/>
  <c r="K475" i="26"/>
  <c r="K473" i="26"/>
  <c r="K466" i="26"/>
  <c r="K464" i="26"/>
  <c r="K457" i="26"/>
  <c r="K455" i="26"/>
  <c r="K448" i="26"/>
  <c r="K447" i="26"/>
  <c r="K440" i="26"/>
  <c r="K438" i="26"/>
  <c r="K433" i="26"/>
  <c r="K432" i="26"/>
  <c r="K426" i="26"/>
  <c r="K424" i="26"/>
  <c r="K423" i="26"/>
  <c r="K417" i="26"/>
  <c r="K415" i="26"/>
  <c r="K414" i="26"/>
  <c r="K408" i="26"/>
  <c r="K406" i="26"/>
  <c r="K405" i="26"/>
  <c r="K399" i="26"/>
  <c r="K397" i="26"/>
  <c r="K396" i="26"/>
  <c r="K390" i="26"/>
  <c r="K388" i="26"/>
  <c r="K387" i="26"/>
  <c r="K379" i="26"/>
  <c r="K378" i="26"/>
  <c r="K372" i="26"/>
  <c r="K370" i="26"/>
  <c r="K369" i="26"/>
  <c r="K363" i="26"/>
  <c r="K361" i="26"/>
  <c r="K360" i="26"/>
  <c r="K354" i="26"/>
  <c r="K352" i="26"/>
  <c r="O339" i="26" l="1"/>
  <c r="O338" i="26"/>
  <c r="O337" i="26"/>
  <c r="O335" i="26"/>
  <c r="O334" i="26"/>
  <c r="O333" i="26"/>
  <c r="O332" i="26"/>
  <c r="O331" i="26"/>
  <c r="O330" i="26"/>
  <c r="O329" i="26"/>
  <c r="O328" i="26"/>
  <c r="O327" i="26"/>
  <c r="O326" i="26"/>
  <c r="O324" i="26"/>
  <c r="K339" i="26"/>
  <c r="K338" i="26"/>
  <c r="K337" i="26"/>
  <c r="K336" i="26"/>
  <c r="K335" i="26"/>
  <c r="K334" i="26"/>
  <c r="K333" i="26"/>
  <c r="K332" i="26"/>
  <c r="K331" i="26"/>
  <c r="K330" i="26"/>
  <c r="K329" i="26"/>
  <c r="K328" i="26"/>
  <c r="K327" i="26"/>
  <c r="K326" i="26"/>
  <c r="K324" i="26"/>
  <c r="O298" i="26" l="1"/>
  <c r="M298" i="26"/>
  <c r="O297" i="26"/>
  <c r="M297" i="26"/>
  <c r="O299" i="26"/>
  <c r="M299" i="26"/>
  <c r="O295" i="26"/>
  <c r="M295" i="26"/>
  <c r="O294" i="26"/>
  <c r="M294" i="26"/>
  <c r="O291" i="26"/>
  <c r="M291" i="26"/>
  <c r="O288" i="26"/>
  <c r="M288" i="26"/>
  <c r="O287" i="26"/>
  <c r="M287" i="26"/>
  <c r="O223" i="26"/>
  <c r="O222" i="26"/>
  <c r="K147" i="26"/>
  <c r="O296" i="26" l="1"/>
  <c r="O293" i="26"/>
  <c r="O292" i="26"/>
  <c r="O290" i="26"/>
  <c r="O289" i="26"/>
  <c r="O286" i="26"/>
  <c r="O285" i="26"/>
  <c r="O284" i="26"/>
  <c r="O99" i="26"/>
  <c r="K94" i="26"/>
  <c r="K93" i="26"/>
  <c r="K92" i="26"/>
  <c r="K80" i="26"/>
  <c r="K79" i="26"/>
  <c r="K77" i="26"/>
  <c r="K76" i="26"/>
  <c r="K74" i="26"/>
  <c r="K73" i="26"/>
  <c r="K71" i="26"/>
  <c r="K70" i="26"/>
  <c r="O200" i="26"/>
  <c r="O194" i="26"/>
  <c r="O193" i="26"/>
  <c r="O192" i="26"/>
  <c r="O147" i="26"/>
  <c r="K223" i="26"/>
  <c r="O132" i="26" l="1"/>
  <c r="O133" i="26"/>
  <c r="O129" i="26"/>
  <c r="M273" i="26"/>
  <c r="M272" i="26"/>
  <c r="M270" i="26"/>
  <c r="O268" i="26"/>
  <c r="O266" i="26"/>
  <c r="O263" i="26"/>
  <c r="M259" i="26"/>
  <c r="O250" i="26"/>
  <c r="O246" i="26"/>
  <c r="O245" i="26"/>
  <c r="M242" i="26"/>
  <c r="O241" i="26"/>
  <c r="O237" i="26"/>
  <c r="O236" i="26"/>
  <c r="M236" i="26"/>
  <c r="O231" i="26"/>
  <c r="O230" i="26"/>
  <c r="M736" i="26"/>
  <c r="A813" i="26"/>
  <c r="M675" i="26"/>
  <c r="G675" i="26"/>
  <c r="G136" i="26"/>
  <c r="G262" i="26"/>
  <c r="M734" i="26"/>
  <c r="M735" i="26"/>
  <c r="G273" i="26"/>
  <c r="G272" i="26"/>
  <c r="M591" i="26"/>
  <c r="M683" i="26"/>
  <c r="M708" i="26"/>
  <c r="M723" i="26"/>
  <c r="M720" i="26"/>
  <c r="M719" i="26"/>
  <c r="M718" i="26"/>
  <c r="M717" i="26"/>
  <c r="M716" i="26"/>
  <c r="M715" i="26"/>
  <c r="M714" i="26"/>
  <c r="M713" i="26"/>
  <c r="M712" i="26"/>
  <c r="M707" i="26"/>
  <c r="M706" i="26"/>
  <c r="M705" i="26"/>
  <c r="M704" i="26"/>
  <c r="M703" i="26"/>
  <c r="M702" i="26"/>
  <c r="M699" i="26"/>
  <c r="M698" i="26"/>
  <c r="M697" i="26"/>
  <c r="M696" i="26"/>
  <c r="M695" i="26"/>
  <c r="M694" i="26"/>
  <c r="M693" i="26"/>
  <c r="M692" i="26"/>
  <c r="M691" i="26"/>
  <c r="M690" i="26"/>
  <c r="M689" i="26"/>
  <c r="M678" i="26"/>
  <c r="G640" i="26"/>
  <c r="M640" i="26"/>
  <c r="M133" i="26"/>
  <c r="M132" i="26"/>
  <c r="G276" i="26"/>
  <c r="M276" i="26"/>
  <c r="G536" i="26"/>
  <c r="G551" i="26"/>
  <c r="M551" i="26"/>
  <c r="G549" i="26"/>
  <c r="M549" i="26"/>
  <c r="G278" i="26"/>
  <c r="G279" i="26"/>
  <c r="M217" i="26"/>
  <c r="G243" i="26"/>
  <c r="M243" i="26"/>
  <c r="M266" i="26"/>
  <c r="M267" i="26"/>
  <c r="M268" i="26"/>
  <c r="M216" i="26"/>
  <c r="G610" i="26"/>
  <c r="G608" i="26"/>
  <c r="G607" i="26"/>
  <c r="G606" i="26"/>
  <c r="G605" i="26"/>
  <c r="G670" i="26"/>
  <c r="G669" i="26"/>
  <c r="G668" i="26"/>
  <c r="G667" i="26"/>
  <c r="G666" i="26"/>
  <c r="G665" i="26"/>
  <c r="M671" i="26"/>
  <c r="M670" i="26"/>
  <c r="M669" i="26"/>
  <c r="M668" i="26"/>
  <c r="M667" i="26"/>
  <c r="M666" i="26"/>
  <c r="M665" i="26"/>
  <c r="G613" i="26"/>
  <c r="M590" i="26"/>
  <c r="G580" i="26"/>
  <c r="G579" i="26"/>
  <c r="G578" i="26"/>
  <c r="M580" i="26"/>
  <c r="M579" i="26"/>
  <c r="G576" i="26"/>
  <c r="G575" i="26"/>
  <c r="M576" i="26"/>
  <c r="G572" i="26"/>
  <c r="G571" i="26"/>
  <c r="M572" i="26"/>
  <c r="G569" i="26"/>
  <c r="M569" i="26"/>
  <c r="G568" i="26"/>
  <c r="G567" i="26"/>
  <c r="M568" i="26"/>
  <c r="G565" i="26"/>
  <c r="M565" i="26"/>
  <c r="G560" i="26"/>
  <c r="G559" i="26"/>
  <c r="G558" i="26"/>
  <c r="G550" i="26"/>
  <c r="G553" i="26"/>
  <c r="G552" i="26"/>
  <c r="G548" i="26"/>
  <c r="M550" i="26"/>
  <c r="M553" i="26"/>
  <c r="M552" i="26"/>
  <c r="M548" i="26"/>
  <c r="M578" i="26"/>
  <c r="M575" i="26"/>
  <c r="M571" i="26"/>
  <c r="M567" i="26"/>
  <c r="M677" i="26"/>
  <c r="M661" i="26"/>
  <c r="M660" i="26"/>
  <c r="M659" i="26"/>
  <c r="M658" i="26"/>
  <c r="M657" i="26"/>
  <c r="M656" i="26"/>
  <c r="M655" i="26"/>
  <c r="M654" i="26"/>
  <c r="M653" i="26"/>
  <c r="M652" i="26"/>
  <c r="M651" i="26"/>
  <c r="M648" i="26"/>
  <c r="M647" i="26"/>
  <c r="M646" i="26"/>
  <c r="M645" i="26"/>
  <c r="M644" i="26"/>
  <c r="M643" i="26"/>
  <c r="M639" i="26"/>
  <c r="M638" i="26"/>
  <c r="M637" i="26"/>
  <c r="M636" i="26"/>
  <c r="M635" i="26"/>
  <c r="M634" i="26"/>
  <c r="M633" i="26"/>
  <c r="M632" i="26"/>
  <c r="M631" i="26"/>
  <c r="M630" i="26"/>
  <c r="M265" i="26"/>
  <c r="M263" i="26"/>
  <c r="M262" i="26"/>
  <c r="M617" i="26"/>
  <c r="M616" i="26"/>
  <c r="M613" i="26"/>
  <c r="M611" i="26"/>
  <c r="M610" i="26"/>
  <c r="M608" i="26"/>
  <c r="M607" i="26"/>
  <c r="M606" i="26"/>
  <c r="M605" i="26"/>
  <c r="M602" i="26"/>
  <c r="M601" i="26"/>
  <c r="M600" i="26"/>
  <c r="M599" i="26"/>
  <c r="M598" i="26"/>
  <c r="M597" i="26"/>
  <c r="M596" i="26"/>
  <c r="M595" i="26"/>
  <c r="M594" i="26"/>
  <c r="M562" i="26"/>
  <c r="M560" i="26"/>
  <c r="M559" i="26"/>
  <c r="M558" i="26"/>
  <c r="M556" i="26"/>
  <c r="M555" i="26"/>
  <c r="M547" i="26"/>
  <c r="M546" i="26"/>
  <c r="M545" i="26"/>
  <c r="M544" i="26"/>
  <c r="M543" i="26"/>
  <c r="M542" i="26"/>
  <c r="M541" i="26"/>
  <c r="M540" i="26"/>
  <c r="M539" i="26"/>
  <c r="M339" i="26" l="1"/>
  <c r="M338" i="26"/>
  <c r="M337" i="26"/>
  <c r="M336" i="26"/>
  <c r="M335" i="26"/>
  <c r="M334" i="26"/>
  <c r="M333" i="26"/>
  <c r="M332" i="26"/>
  <c r="M331" i="26"/>
  <c r="M330" i="26"/>
  <c r="M329" i="26"/>
  <c r="M328" i="26"/>
  <c r="M327" i="26"/>
  <c r="M326" i="26"/>
  <c r="M325" i="26"/>
  <c r="M324" i="26"/>
  <c r="M321" i="26"/>
  <c r="M320" i="26"/>
  <c r="M319" i="26"/>
  <c r="M318" i="26"/>
  <c r="M317" i="26"/>
  <c r="M316" i="26"/>
  <c r="M315" i="26"/>
  <c r="M314" i="26"/>
  <c r="M313" i="26"/>
  <c r="M312" i="26"/>
  <c r="M311" i="26"/>
  <c r="M310" i="26"/>
  <c r="M309" i="26"/>
  <c r="M308" i="26"/>
  <c r="M307" i="26"/>
  <c r="M306" i="26"/>
  <c r="M305" i="26"/>
  <c r="M304" i="26"/>
  <c r="M303" i="26"/>
  <c r="M302" i="26"/>
  <c r="M296" i="26"/>
  <c r="M293" i="26"/>
  <c r="M292" i="26"/>
  <c r="M290" i="26"/>
  <c r="M289" i="26"/>
  <c r="M286" i="26"/>
  <c r="M285" i="26"/>
  <c r="M284" i="26"/>
  <c r="G142" i="26"/>
  <c r="M129" i="26"/>
  <c r="G137" i="26"/>
  <c r="M138" i="26"/>
  <c r="M139" i="26"/>
  <c r="M140" i="26"/>
  <c r="M223" i="26" l="1"/>
  <c r="G222" i="26"/>
  <c r="M222" i="26"/>
  <c r="G212" i="26"/>
  <c r="G194" i="26"/>
  <c r="G193" i="26"/>
  <c r="G192" i="26"/>
  <c r="M193" i="26"/>
  <c r="M194" i="26"/>
  <c r="G213" i="26"/>
  <c r="G794" i="26"/>
  <c r="G798" i="26"/>
  <c r="G749" i="26"/>
  <c r="M761" i="26"/>
  <c r="M762" i="26"/>
  <c r="M763" i="26"/>
  <c r="M764" i="26"/>
  <c r="M765" i="26"/>
  <c r="M766" i="26"/>
  <c r="M767" i="26"/>
  <c r="M768" i="26"/>
  <c r="M769" i="26"/>
  <c r="M770" i="26"/>
  <c r="M771" i="26"/>
  <c r="M772" i="26"/>
  <c r="M773" i="26"/>
  <c r="M774" i="26"/>
  <c r="M775" i="26"/>
  <c r="M776" i="26"/>
  <c r="M777" i="26"/>
  <c r="M778" i="26"/>
  <c r="M779" i="26"/>
  <c r="M780" i="26"/>
  <c r="M781" i="26"/>
  <c r="M784" i="26"/>
  <c r="M785" i="26"/>
  <c r="M786" i="26"/>
  <c r="M788" i="26"/>
  <c r="M789" i="26"/>
  <c r="M790" i="26"/>
  <c r="M793" i="26"/>
  <c r="M794" i="26"/>
  <c r="M795" i="26"/>
  <c r="M796" i="26"/>
  <c r="M797" i="26"/>
  <c r="M798" i="26"/>
  <c r="M799" i="26"/>
  <c r="M743" i="26"/>
  <c r="M744" i="26"/>
  <c r="M745" i="26"/>
  <c r="M748" i="26"/>
  <c r="M749" i="26"/>
  <c r="M750" i="26"/>
  <c r="M751" i="26"/>
  <c r="M752" i="26"/>
  <c r="M753" i="26"/>
  <c r="M754" i="26"/>
  <c r="M755" i="26"/>
  <c r="M756" i="26"/>
  <c r="G345" i="26"/>
  <c r="G344" i="26"/>
  <c r="G530" i="26"/>
  <c r="G529" i="26"/>
  <c r="G528" i="26"/>
  <c r="G533" i="26"/>
  <c r="G532" i="26"/>
  <c r="G525" i="26"/>
  <c r="M526" i="26"/>
  <c r="G526" i="26"/>
  <c r="M525" i="26"/>
  <c r="M524" i="26"/>
  <c r="G524" i="26"/>
  <c r="G435" i="26"/>
  <c r="G434" i="26"/>
  <c r="G433" i="26"/>
  <c r="G432" i="26"/>
  <c r="M435" i="26"/>
  <c r="M432" i="26"/>
  <c r="G521" i="26"/>
  <c r="G520" i="26"/>
  <c r="G519" i="26"/>
  <c r="G518" i="26"/>
  <c r="G517" i="26"/>
  <c r="G514" i="26"/>
  <c r="G513" i="26"/>
  <c r="G512" i="26"/>
  <c r="G510" i="26"/>
  <c r="G511" i="26"/>
  <c r="M521" i="26"/>
  <c r="M520" i="26"/>
  <c r="M519" i="26"/>
  <c r="M518" i="26"/>
  <c r="M517" i="26"/>
  <c r="M514" i="26"/>
  <c r="M510" i="26"/>
  <c r="G507" i="26"/>
  <c r="G506" i="26"/>
  <c r="G505" i="26"/>
  <c r="G504" i="26"/>
  <c r="G503" i="26"/>
  <c r="M506" i="26"/>
  <c r="M434" i="26"/>
  <c r="M433" i="26"/>
  <c r="G497" i="26"/>
  <c r="M500" i="26"/>
  <c r="G500" i="26"/>
  <c r="M499" i="26"/>
  <c r="G499" i="26"/>
  <c r="M498" i="26"/>
  <c r="G498" i="26"/>
  <c r="M497" i="26"/>
  <c r="G494" i="26"/>
  <c r="G493" i="26"/>
  <c r="G492" i="26"/>
  <c r="G491" i="26"/>
  <c r="M494" i="26"/>
  <c r="M493" i="26"/>
  <c r="M492" i="26"/>
  <c r="M491" i="26"/>
  <c r="G487" i="26"/>
  <c r="G486" i="26"/>
  <c r="G485" i="26"/>
  <c r="G484" i="26"/>
  <c r="G483" i="26"/>
  <c r="G482" i="26"/>
  <c r="M488" i="26"/>
  <c r="G488" i="26"/>
  <c r="M487" i="26"/>
  <c r="M486" i="26"/>
  <c r="M485" i="26"/>
  <c r="M484" i="26"/>
  <c r="M483" i="26"/>
  <c r="M482" i="26"/>
  <c r="G478" i="26"/>
  <c r="G477" i="26"/>
  <c r="G476" i="26"/>
  <c r="G475" i="26"/>
  <c r="G474" i="26"/>
  <c r="G473" i="26"/>
  <c r="M479" i="26"/>
  <c r="G479" i="26"/>
  <c r="M478" i="26"/>
  <c r="M477" i="26"/>
  <c r="M476" i="26"/>
  <c r="M475" i="26"/>
  <c r="M474" i="26"/>
  <c r="M473" i="26"/>
  <c r="G470" i="26"/>
  <c r="G469" i="26"/>
  <c r="G468" i="26"/>
  <c r="G467" i="26"/>
  <c r="G466" i="26"/>
  <c r="G465" i="26"/>
  <c r="G464" i="26"/>
  <c r="M470" i="26"/>
  <c r="M469" i="26"/>
  <c r="M468" i="26"/>
  <c r="M467" i="26"/>
  <c r="M466" i="26"/>
  <c r="M465" i="26"/>
  <c r="M464" i="26"/>
  <c r="G461" i="26"/>
  <c r="G460" i="26"/>
  <c r="G459" i="26"/>
  <c r="G458" i="26"/>
  <c r="G457" i="26"/>
  <c r="G456" i="26"/>
  <c r="G455" i="26"/>
  <c r="G452" i="26"/>
  <c r="G451" i="26"/>
  <c r="G450" i="26"/>
  <c r="G449" i="26"/>
  <c r="G448" i="26"/>
  <c r="G447" i="26"/>
  <c r="M461" i="26"/>
  <c r="M460" i="26"/>
  <c r="M459" i="26"/>
  <c r="M458" i="26"/>
  <c r="M457" i="26"/>
  <c r="M456" i="26"/>
  <c r="M455" i="26"/>
  <c r="M452" i="26"/>
  <c r="M451" i="26"/>
  <c r="M450" i="26"/>
  <c r="M449" i="26"/>
  <c r="M448" i="26"/>
  <c r="M447" i="26"/>
  <c r="G444" i="26"/>
  <c r="G443" i="26"/>
  <c r="G442" i="26"/>
  <c r="G441" i="26"/>
  <c r="G440" i="26"/>
  <c r="G439" i="26"/>
  <c r="G438" i="26"/>
  <c r="M443" i="26"/>
  <c r="M442" i="26"/>
  <c r="G424" i="26"/>
  <c r="G423" i="26"/>
  <c r="G429" i="26"/>
  <c r="G428" i="26"/>
  <c r="G427" i="26"/>
  <c r="G426" i="26"/>
  <c r="G425" i="26"/>
  <c r="G420" i="26"/>
  <c r="G419" i="26"/>
  <c r="G418" i="26"/>
  <c r="G417" i="26"/>
  <c r="G416" i="26"/>
  <c r="G415" i="26"/>
  <c r="G414" i="26"/>
  <c r="G408" i="26"/>
  <c r="G402" i="26"/>
  <c r="G401" i="26"/>
  <c r="G400" i="26"/>
  <c r="G399" i="26"/>
  <c r="G398" i="26"/>
  <c r="G397" i="26"/>
  <c r="G396" i="26"/>
  <c r="G411" i="26"/>
  <c r="G410" i="26"/>
  <c r="G409" i="26"/>
  <c r="G407" i="26"/>
  <c r="G406" i="26"/>
  <c r="G405" i="26"/>
  <c r="G390" i="26"/>
  <c r="G393" i="26"/>
  <c r="G392" i="26"/>
  <c r="G391" i="26"/>
  <c r="G389" i="26"/>
  <c r="G387" i="26"/>
  <c r="G388" i="26"/>
  <c r="G384" i="26"/>
  <c r="G383" i="26"/>
  <c r="G382" i="26"/>
  <c r="G381" i="26"/>
  <c r="G380" i="26"/>
  <c r="G379" i="26"/>
  <c r="G378" i="26"/>
  <c r="G375" i="26"/>
  <c r="G374" i="26"/>
  <c r="G373" i="26"/>
  <c r="G372" i="26"/>
  <c r="G371" i="26"/>
  <c r="G370" i="26"/>
  <c r="G369" i="26"/>
  <c r="G366" i="26"/>
  <c r="G365" i="26"/>
  <c r="G364" i="26"/>
  <c r="G363" i="26"/>
  <c r="G362" i="26"/>
  <c r="G361" i="26"/>
  <c r="G360" i="26"/>
  <c r="G354" i="26"/>
  <c r="M429" i="26"/>
  <c r="M428" i="26"/>
  <c r="M427" i="26"/>
  <c r="M426" i="26"/>
  <c r="M425" i="26"/>
  <c r="M424" i="26"/>
  <c r="M423" i="26"/>
  <c r="M420" i="26"/>
  <c r="M419" i="26"/>
  <c r="M418" i="26"/>
  <c r="M417" i="26"/>
  <c r="M416" i="26"/>
  <c r="M415" i="26"/>
  <c r="M414" i="26"/>
  <c r="M411" i="26"/>
  <c r="M410" i="26"/>
  <c r="M409" i="26"/>
  <c r="M408" i="26"/>
  <c r="M407" i="26"/>
  <c r="M406" i="26"/>
  <c r="M405" i="26"/>
  <c r="M402" i="26"/>
  <c r="M401" i="26"/>
  <c r="M400" i="26"/>
  <c r="M399" i="26"/>
  <c r="M398" i="26"/>
  <c r="M397" i="26"/>
  <c r="M396" i="26"/>
  <c r="M393" i="26"/>
  <c r="M392" i="26"/>
  <c r="M391" i="26"/>
  <c r="M390" i="26"/>
  <c r="M389" i="26"/>
  <c r="M388" i="26"/>
  <c r="M387" i="26"/>
  <c r="M384" i="26"/>
  <c r="M383" i="26"/>
  <c r="M382" i="26"/>
  <c r="M381" i="26"/>
  <c r="M380" i="26"/>
  <c r="M379" i="26"/>
  <c r="M378" i="26"/>
  <c r="M375" i="26"/>
  <c r="M374" i="26"/>
  <c r="M373" i="26"/>
  <c r="M372" i="26"/>
  <c r="M371" i="26"/>
  <c r="M370" i="26"/>
  <c r="M369" i="26"/>
  <c r="G356" i="26"/>
  <c r="M356" i="26"/>
  <c r="M366" i="26"/>
  <c r="M365" i="26"/>
  <c r="M364" i="26"/>
  <c r="M363" i="26"/>
  <c r="M362" i="26"/>
  <c r="M361" i="26"/>
  <c r="M360" i="26"/>
  <c r="G357" i="26"/>
  <c r="G355" i="26"/>
  <c r="G353" i="26"/>
  <c r="G352" i="26"/>
  <c r="M353" i="26"/>
  <c r="G234" i="26"/>
  <c r="G235" i="26"/>
  <c r="G236" i="26"/>
  <c r="G237" i="26"/>
  <c r="G233" i="26"/>
  <c r="M237" i="26"/>
  <c r="M234" i="26"/>
  <c r="M235" i="26"/>
  <c r="G245" i="26"/>
  <c r="M248" i="26"/>
  <c r="M249" i="26"/>
  <c r="G257" i="26"/>
  <c r="G255" i="26"/>
  <c r="M256" i="26"/>
  <c r="M257" i="26"/>
  <c r="M258" i="26"/>
  <c r="M255" i="26"/>
  <c r="G228" i="26"/>
  <c r="M229" i="26"/>
  <c r="M230" i="26"/>
  <c r="M231" i="26"/>
  <c r="M240" i="26"/>
  <c r="G203" i="26"/>
  <c r="G187" i="26"/>
  <c r="G183" i="26"/>
  <c r="M183" i="26"/>
  <c r="M184" i="26"/>
  <c r="G179" i="26"/>
  <c r="G178" i="26"/>
  <c r="G175" i="26"/>
  <c r="G174" i="26"/>
  <c r="G173" i="26"/>
  <c r="G172" i="26"/>
  <c r="G171" i="26"/>
  <c r="G170" i="26"/>
  <c r="G169" i="26"/>
  <c r="G168" i="26"/>
  <c r="G167" i="26"/>
  <c r="G166" i="26"/>
  <c r="G165" i="26"/>
  <c r="G164" i="26"/>
  <c r="G163" i="26"/>
  <c r="G162" i="26"/>
  <c r="G161" i="26"/>
  <c r="G160" i="26"/>
  <c r="M165" i="26"/>
  <c r="M166" i="26"/>
  <c r="M167" i="26"/>
  <c r="M168" i="26"/>
  <c r="M169" i="26"/>
  <c r="M170" i="26"/>
  <c r="M171" i="26"/>
  <c r="M172" i="26"/>
  <c r="M173" i="26"/>
  <c r="M174" i="26"/>
  <c r="M175" i="26"/>
  <c r="G157" i="26"/>
  <c r="G153" i="26"/>
  <c r="G152" i="26"/>
  <c r="G156" i="26"/>
  <c r="M147" i="26"/>
  <c r="G70" i="26"/>
  <c r="G128" i="26"/>
  <c r="G112" i="26"/>
  <c r="G106" i="26"/>
  <c r="G98" i="26"/>
  <c r="G97" i="26"/>
  <c r="G94" i="26"/>
  <c r="G93" i="26"/>
  <c r="G92" i="26"/>
  <c r="G89" i="26"/>
  <c r="G88" i="26"/>
  <c r="G87" i="26"/>
  <c r="G84" i="26"/>
  <c r="G83" i="26"/>
  <c r="G80" i="26"/>
  <c r="G79" i="26"/>
  <c r="G77" i="26"/>
  <c r="G74" i="26"/>
  <c r="G71" i="26"/>
  <c r="G76" i="26"/>
  <c r="G73" i="26"/>
  <c r="M80" i="26"/>
  <c r="M79" i="26"/>
  <c r="O79" i="26" s="1"/>
  <c r="E18" i="12"/>
  <c r="G207" i="26" l="1"/>
  <c r="G123" i="26"/>
  <c r="M533" i="26" l="1"/>
  <c r="M818" i="26" l="1"/>
  <c r="M817" i="26"/>
  <c r="K4" i="12"/>
  <c r="M55" i="26"/>
  <c r="M278" i="26" l="1"/>
  <c r="M532" i="26"/>
  <c r="M812" i="26" l="1"/>
  <c r="M810" i="26"/>
  <c r="M809" i="26"/>
  <c r="M808" i="26"/>
  <c r="M807" i="26"/>
  <c r="M806" i="26"/>
  <c r="M760" i="26"/>
  <c r="M759" i="26"/>
  <c r="M747" i="26"/>
  <c r="M746" i="26"/>
  <c r="M742" i="26"/>
  <c r="M733" i="26"/>
  <c r="M732" i="26"/>
  <c r="M731" i="26"/>
  <c r="M536" i="26"/>
  <c r="M530" i="26"/>
  <c r="M529" i="26"/>
  <c r="M528" i="26"/>
  <c r="M507" i="26"/>
  <c r="M505" i="26"/>
  <c r="M504" i="26"/>
  <c r="M503" i="26"/>
  <c r="M444" i="26"/>
  <c r="M441" i="26"/>
  <c r="M440" i="26"/>
  <c r="M439" i="26"/>
  <c r="M438" i="26"/>
  <c r="M357" i="26"/>
  <c r="M355" i="26"/>
  <c r="M354" i="26"/>
  <c r="M352" i="26"/>
  <c r="M279" i="26"/>
  <c r="M252" i="26"/>
  <c r="M251" i="26"/>
  <c r="M250" i="26"/>
  <c r="M247" i="26"/>
  <c r="M246" i="26"/>
  <c r="M245" i="26"/>
  <c r="M244" i="26"/>
  <c r="M241" i="26"/>
  <c r="M239" i="26"/>
  <c r="M233" i="26"/>
  <c r="M228" i="26"/>
  <c r="M214" i="26"/>
  <c r="M213" i="26"/>
  <c r="M212" i="26"/>
  <c r="M207" i="26"/>
  <c r="O207" i="26" s="1"/>
  <c r="M203" i="26"/>
  <c r="M202" i="26"/>
  <c r="M200" i="26"/>
  <c r="M192" i="26"/>
  <c r="M187" i="26"/>
  <c r="M182" i="26"/>
  <c r="M179" i="26"/>
  <c r="M178" i="26"/>
  <c r="M164" i="26"/>
  <c r="M163" i="26"/>
  <c r="M162" i="26"/>
  <c r="M161" i="26"/>
  <c r="M160" i="26"/>
  <c r="M157" i="26"/>
  <c r="M156" i="26"/>
  <c r="M153" i="26"/>
  <c r="M152" i="26"/>
  <c r="M142" i="26"/>
  <c r="M128" i="26"/>
  <c r="M123" i="26"/>
  <c r="O123" i="26" s="1"/>
  <c r="M120" i="26"/>
  <c r="M119" i="26"/>
  <c r="M118" i="26"/>
  <c r="M117" i="26"/>
  <c r="M114" i="26"/>
  <c r="M113" i="26"/>
  <c r="M112" i="26"/>
  <c r="M111" i="26"/>
  <c r="M110" i="26"/>
  <c r="M107" i="26"/>
  <c r="M106" i="26"/>
  <c r="M103" i="26"/>
  <c r="M102" i="26"/>
  <c r="M99" i="26"/>
  <c r="M98" i="26"/>
  <c r="O98" i="26" s="1"/>
  <c r="M97" i="26"/>
  <c r="O97" i="26" s="1"/>
  <c r="M94" i="26"/>
  <c r="M93" i="26"/>
  <c r="M92" i="26"/>
  <c r="O92" i="26" s="1"/>
  <c r="M89" i="26"/>
  <c r="M88" i="26"/>
  <c r="M87" i="26"/>
  <c r="O87" i="26" s="1"/>
  <c r="M84" i="26"/>
  <c r="M83" i="26"/>
  <c r="O83" i="26" s="1"/>
  <c r="M77" i="26"/>
  <c r="M76" i="26"/>
  <c r="O76" i="26" s="1"/>
  <c r="M74" i="26"/>
  <c r="M73" i="26"/>
  <c r="O73" i="26" s="1"/>
  <c r="M71" i="26"/>
  <c r="M70" i="26"/>
  <c r="O70" i="26" s="1"/>
  <c r="M65" i="26"/>
  <c r="M62" i="26"/>
  <c r="M61" i="26"/>
  <c r="M60" i="26"/>
  <c r="M57" i="26"/>
  <c r="M56" i="26"/>
  <c r="M54" i="26"/>
  <c r="M51" i="26"/>
  <c r="M50" i="26"/>
  <c r="M49" i="26"/>
  <c r="M48" i="26"/>
  <c r="M47" i="26"/>
  <c r="M44" i="26"/>
  <c r="M43" i="26"/>
  <c r="M42" i="26"/>
  <c r="M41" i="26"/>
  <c r="M40" i="26"/>
  <c r="M39" i="26"/>
  <c r="M36" i="26"/>
  <c r="M35" i="26"/>
  <c r="M34" i="26"/>
  <c r="M31" i="26"/>
  <c r="M30" i="26"/>
  <c r="M29" i="26"/>
  <c r="M28" i="26"/>
  <c r="M27" i="26"/>
  <c r="M26" i="26"/>
  <c r="H31" i="12" l="1"/>
  <c r="C122" i="22"/>
  <c r="C123" i="22"/>
  <c r="C118" i="22"/>
  <c r="C119" i="22"/>
  <c r="C120" i="22"/>
  <c r="H559" i="26" s="1"/>
  <c r="I559" i="26" s="1"/>
  <c r="C121" i="22"/>
  <c r="C117" i="22"/>
  <c r="H675" i="26" s="1"/>
  <c r="I675" i="26" s="1"/>
  <c r="C116" i="22"/>
  <c r="H709" i="26" l="1"/>
  <c r="I709" i="26" s="1"/>
  <c r="L709" i="26" s="1"/>
  <c r="N709" i="26" s="1"/>
  <c r="H787" i="26"/>
  <c r="I787" i="26" s="1"/>
  <c r="H591" i="26"/>
  <c r="I591" i="26" s="1"/>
  <c r="H219" i="26"/>
  <c r="I219" i="26" s="1"/>
  <c r="P709" i="26"/>
  <c r="H700" i="26"/>
  <c r="I700" i="26" s="1"/>
  <c r="H701" i="26"/>
  <c r="I701" i="26" s="1"/>
  <c r="H736" i="26"/>
  <c r="I736" i="26" s="1"/>
  <c r="L736" i="26" s="1"/>
  <c r="N736" i="26" s="1"/>
  <c r="H341" i="26"/>
  <c r="I341" i="26" s="1"/>
  <c r="H340" i="26"/>
  <c r="I340" i="26" s="1"/>
  <c r="L675" i="26"/>
  <c r="N675" i="26" s="1"/>
  <c r="P675" i="26"/>
  <c r="H734" i="26"/>
  <c r="I734" i="26" s="1"/>
  <c r="H735" i="26"/>
  <c r="I735" i="26" s="1"/>
  <c r="P591" i="26"/>
  <c r="L591" i="26"/>
  <c r="N591" i="26" s="1"/>
  <c r="H678" i="26"/>
  <c r="I678" i="26" s="1"/>
  <c r="P678" i="26" s="1"/>
  <c r="H683" i="26"/>
  <c r="I683" i="26" s="1"/>
  <c r="H716" i="26"/>
  <c r="I716" i="26" s="1"/>
  <c r="H714" i="26"/>
  <c r="I714" i="26" s="1"/>
  <c r="H705" i="26"/>
  <c r="I705" i="26" s="1"/>
  <c r="H703" i="26"/>
  <c r="I703" i="26" s="1"/>
  <c r="H694" i="26"/>
  <c r="I694" i="26" s="1"/>
  <c r="H723" i="26"/>
  <c r="I723" i="26" s="1"/>
  <c r="H719" i="26"/>
  <c r="I719" i="26" s="1"/>
  <c r="H712" i="26"/>
  <c r="I712" i="26" s="1"/>
  <c r="H706" i="26"/>
  <c r="I706" i="26" s="1"/>
  <c r="H699" i="26"/>
  <c r="I699" i="26" s="1"/>
  <c r="H697" i="26"/>
  <c r="I697" i="26" s="1"/>
  <c r="H691" i="26"/>
  <c r="I691" i="26" s="1"/>
  <c r="H689" i="26"/>
  <c r="I689" i="26" s="1"/>
  <c r="H708" i="26"/>
  <c r="I708" i="26" s="1"/>
  <c r="H717" i="26"/>
  <c r="I717" i="26" s="1"/>
  <c r="H715" i="26"/>
  <c r="I715" i="26" s="1"/>
  <c r="H704" i="26"/>
  <c r="I704" i="26" s="1"/>
  <c r="H702" i="26"/>
  <c r="I702" i="26" s="1"/>
  <c r="H695" i="26"/>
  <c r="I695" i="26" s="1"/>
  <c r="H693" i="26"/>
  <c r="I693" i="26" s="1"/>
  <c r="H692" i="26"/>
  <c r="I692" i="26" s="1"/>
  <c r="H720" i="26"/>
  <c r="I720" i="26" s="1"/>
  <c r="H718" i="26"/>
  <c r="I718" i="26" s="1"/>
  <c r="H713" i="26"/>
  <c r="I713" i="26" s="1"/>
  <c r="H707" i="26"/>
  <c r="I707" i="26" s="1"/>
  <c r="H698" i="26"/>
  <c r="I698" i="26" s="1"/>
  <c r="H696" i="26"/>
  <c r="I696" i="26" s="1"/>
  <c r="H690" i="26"/>
  <c r="I690" i="26" s="1"/>
  <c r="H551" i="26"/>
  <c r="I551" i="26" s="1"/>
  <c r="L551" i="26" s="1"/>
  <c r="N551" i="26" s="1"/>
  <c r="H640" i="26"/>
  <c r="I640" i="26" s="1"/>
  <c r="H273" i="26"/>
  <c r="I273" i="26" s="1"/>
  <c r="L273" i="26" s="1"/>
  <c r="N273" i="26" s="1"/>
  <c r="H272" i="26"/>
  <c r="I272" i="26" s="1"/>
  <c r="L272" i="26" s="1"/>
  <c r="N272" i="26" s="1"/>
  <c r="H276" i="26"/>
  <c r="I276" i="26" s="1"/>
  <c r="P276" i="26" s="1"/>
  <c r="H133" i="26"/>
  <c r="I133" i="26" s="1"/>
  <c r="H132" i="26"/>
  <c r="I132" i="26" s="1"/>
  <c r="H549" i="26"/>
  <c r="I549" i="26" s="1"/>
  <c r="L549" i="26" s="1"/>
  <c r="N549" i="26" s="1"/>
  <c r="H243" i="26"/>
  <c r="I243" i="26" s="1"/>
  <c r="P243" i="26" s="1"/>
  <c r="H217" i="26"/>
  <c r="I217" i="26" s="1"/>
  <c r="H266" i="26"/>
  <c r="I266" i="26" s="1"/>
  <c r="H216" i="26"/>
  <c r="I216" i="26" s="1"/>
  <c r="H267" i="26"/>
  <c r="I267" i="26" s="1"/>
  <c r="H270" i="26"/>
  <c r="I270" i="26" s="1"/>
  <c r="L270" i="26" s="1"/>
  <c r="N270" i="26" s="1"/>
  <c r="H268" i="26"/>
  <c r="I268" i="26" s="1"/>
  <c r="H671" i="26"/>
  <c r="I671" i="26" s="1"/>
  <c r="P671" i="26" s="1"/>
  <c r="H197" i="26"/>
  <c r="I197" i="26" s="1"/>
  <c r="L197" i="26" s="1"/>
  <c r="N197" i="26" s="1"/>
  <c r="H670" i="26"/>
  <c r="I670" i="26" s="1"/>
  <c r="H669" i="26"/>
  <c r="I669" i="26" s="1"/>
  <c r="H668" i="26"/>
  <c r="I668" i="26" s="1"/>
  <c r="H667" i="26"/>
  <c r="I667" i="26" s="1"/>
  <c r="H666" i="26"/>
  <c r="I666" i="26" s="1"/>
  <c r="H665" i="26"/>
  <c r="I665" i="26" s="1"/>
  <c r="H576" i="26"/>
  <c r="I576" i="26" s="1"/>
  <c r="L576" i="26" s="1"/>
  <c r="N576" i="26" s="1"/>
  <c r="H579" i="26"/>
  <c r="I579" i="26" s="1"/>
  <c r="H580" i="26"/>
  <c r="I580" i="26" s="1"/>
  <c r="H590" i="26"/>
  <c r="I590" i="26" s="1"/>
  <c r="H589" i="26"/>
  <c r="I589" i="26" s="1"/>
  <c r="H588" i="26"/>
  <c r="I588" i="26" s="1"/>
  <c r="H587" i="26"/>
  <c r="I587" i="26" s="1"/>
  <c r="H586" i="26"/>
  <c r="I586" i="26" s="1"/>
  <c r="H585" i="26"/>
  <c r="I585" i="26" s="1"/>
  <c r="H584" i="26"/>
  <c r="I584" i="26" s="1"/>
  <c r="H583" i="26"/>
  <c r="I583" i="26" s="1"/>
  <c r="H569" i="26"/>
  <c r="I569" i="26" s="1"/>
  <c r="P569" i="26" s="1"/>
  <c r="H572" i="26"/>
  <c r="I572" i="26" s="1"/>
  <c r="H565" i="26"/>
  <c r="I565" i="26" s="1"/>
  <c r="L565" i="26" s="1"/>
  <c r="N565" i="26" s="1"/>
  <c r="H568" i="26"/>
  <c r="I568" i="26" s="1"/>
  <c r="H550" i="26"/>
  <c r="I550" i="26" s="1"/>
  <c r="H553" i="26"/>
  <c r="I553" i="26" s="1"/>
  <c r="H552" i="26"/>
  <c r="I552" i="26" s="1"/>
  <c r="H548" i="26"/>
  <c r="I548" i="26" s="1"/>
  <c r="H578" i="26"/>
  <c r="I578" i="26" s="1"/>
  <c r="H575" i="26"/>
  <c r="I575" i="26" s="1"/>
  <c r="H571" i="26"/>
  <c r="I571" i="26" s="1"/>
  <c r="H567" i="26"/>
  <c r="I567" i="26" s="1"/>
  <c r="L559" i="26"/>
  <c r="N559" i="26" s="1"/>
  <c r="P559" i="26"/>
  <c r="H624" i="26"/>
  <c r="I624" i="26" s="1"/>
  <c r="H622" i="26"/>
  <c r="I622" i="26" s="1"/>
  <c r="H613" i="26"/>
  <c r="I613" i="26" s="1"/>
  <c r="H611" i="26"/>
  <c r="I611" i="26" s="1"/>
  <c r="H558" i="26"/>
  <c r="I558" i="26" s="1"/>
  <c r="H621" i="26"/>
  <c r="I621" i="26" s="1"/>
  <c r="H617" i="26"/>
  <c r="I617" i="26" s="1"/>
  <c r="H620" i="26"/>
  <c r="I620" i="26" s="1"/>
  <c r="H616" i="26"/>
  <c r="I616" i="26" s="1"/>
  <c r="H625" i="26"/>
  <c r="I625" i="26" s="1"/>
  <c r="H623" i="26"/>
  <c r="I623" i="26" s="1"/>
  <c r="H554" i="26"/>
  <c r="I554" i="26" s="1"/>
  <c r="H265" i="26"/>
  <c r="I265" i="26" s="1"/>
  <c r="H648" i="26"/>
  <c r="I648" i="26" s="1"/>
  <c r="H646" i="26"/>
  <c r="I646" i="26" s="1"/>
  <c r="H644" i="26"/>
  <c r="I644" i="26" s="1"/>
  <c r="H639" i="26"/>
  <c r="I639" i="26" s="1"/>
  <c r="H262" i="26"/>
  <c r="I262" i="26" s="1"/>
  <c r="H609" i="26"/>
  <c r="I609" i="26" s="1"/>
  <c r="O609" i="26" s="1"/>
  <c r="H600" i="26"/>
  <c r="I600" i="26" s="1"/>
  <c r="H598" i="26"/>
  <c r="I598" i="26" s="1"/>
  <c r="H596" i="26"/>
  <c r="I596" i="26" s="1"/>
  <c r="H594" i="26"/>
  <c r="I594" i="26" s="1"/>
  <c r="H555" i="26"/>
  <c r="I555" i="26" s="1"/>
  <c r="H547" i="26"/>
  <c r="I547" i="26" s="1"/>
  <c r="H545" i="26"/>
  <c r="I545" i="26" s="1"/>
  <c r="H540" i="26"/>
  <c r="I540" i="26" s="1"/>
  <c r="H543" i="26"/>
  <c r="I543" i="26" s="1"/>
  <c r="H638" i="26"/>
  <c r="I638" i="26" s="1"/>
  <c r="H634" i="26"/>
  <c r="I634" i="26" s="1"/>
  <c r="H630" i="26"/>
  <c r="I630" i="26" s="1"/>
  <c r="H606" i="26"/>
  <c r="I606" i="26" s="1"/>
  <c r="H637" i="26"/>
  <c r="I637" i="26" s="1"/>
  <c r="H635" i="26"/>
  <c r="I635" i="26" s="1"/>
  <c r="H633" i="26"/>
  <c r="I633" i="26" s="1"/>
  <c r="H631" i="26"/>
  <c r="I631" i="26" s="1"/>
  <c r="H607" i="26"/>
  <c r="I607" i="26" s="1"/>
  <c r="H605" i="26"/>
  <c r="I605" i="26" s="1"/>
  <c r="H541" i="26"/>
  <c r="I541" i="26" s="1"/>
  <c r="H647" i="26"/>
  <c r="I647" i="26" s="1"/>
  <c r="H645" i="26"/>
  <c r="I645" i="26" s="1"/>
  <c r="H643" i="26"/>
  <c r="I643" i="26" s="1"/>
  <c r="H263" i="26"/>
  <c r="I263" i="26" s="1"/>
  <c r="H610" i="26"/>
  <c r="I610" i="26" s="1"/>
  <c r="H608" i="26"/>
  <c r="I608" i="26" s="1"/>
  <c r="H601" i="26"/>
  <c r="I601" i="26" s="1"/>
  <c r="H599" i="26"/>
  <c r="I599" i="26" s="1"/>
  <c r="H597" i="26"/>
  <c r="I597" i="26" s="1"/>
  <c r="H595" i="26"/>
  <c r="I595" i="26" s="1"/>
  <c r="H562" i="26"/>
  <c r="I562" i="26" s="1"/>
  <c r="H556" i="26"/>
  <c r="I556" i="26" s="1"/>
  <c r="H546" i="26"/>
  <c r="I546" i="26" s="1"/>
  <c r="H544" i="26"/>
  <c r="I544" i="26" s="1"/>
  <c r="H539" i="26"/>
  <c r="I539" i="26" s="1"/>
  <c r="H677" i="26"/>
  <c r="I677" i="26" s="1"/>
  <c r="H636" i="26"/>
  <c r="I636" i="26" s="1"/>
  <c r="H632" i="26"/>
  <c r="I632" i="26" s="1"/>
  <c r="H602" i="26"/>
  <c r="I602" i="26" s="1"/>
  <c r="H542" i="26"/>
  <c r="I542" i="26" s="1"/>
  <c r="H654" i="26"/>
  <c r="I654" i="26" s="1"/>
  <c r="H652" i="26"/>
  <c r="I652" i="26" s="1"/>
  <c r="H560" i="26"/>
  <c r="I560" i="26" s="1"/>
  <c r="H661" i="26"/>
  <c r="I661" i="26" s="1"/>
  <c r="H659" i="26"/>
  <c r="I659" i="26" s="1"/>
  <c r="H657" i="26"/>
  <c r="I657" i="26" s="1"/>
  <c r="H655" i="26"/>
  <c r="I655" i="26" s="1"/>
  <c r="H653" i="26"/>
  <c r="I653" i="26" s="1"/>
  <c r="H651" i="26"/>
  <c r="I651" i="26" s="1"/>
  <c r="H660" i="26"/>
  <c r="I660" i="26" s="1"/>
  <c r="H658" i="26"/>
  <c r="I658" i="26" s="1"/>
  <c r="H656" i="26"/>
  <c r="I656" i="26" s="1"/>
  <c r="H328" i="26"/>
  <c r="I328" i="26" s="1"/>
  <c r="H326" i="26"/>
  <c r="I326" i="26" s="1"/>
  <c r="H309" i="26"/>
  <c r="I309" i="26" s="1"/>
  <c r="H290" i="26"/>
  <c r="I290" i="26" s="1"/>
  <c r="H291" i="26"/>
  <c r="I291" i="26" s="1"/>
  <c r="L291" i="26" s="1"/>
  <c r="N291" i="26" s="1"/>
  <c r="H339" i="26"/>
  <c r="I339" i="26" s="1"/>
  <c r="H337" i="26"/>
  <c r="I337" i="26" s="1"/>
  <c r="H335" i="26"/>
  <c r="I335" i="26" s="1"/>
  <c r="H333" i="26"/>
  <c r="I333" i="26" s="1"/>
  <c r="H331" i="26"/>
  <c r="I331" i="26" s="1"/>
  <c r="H324" i="26"/>
  <c r="I324" i="26" s="1"/>
  <c r="H320" i="26"/>
  <c r="I320" i="26" s="1"/>
  <c r="H318" i="26"/>
  <c r="I318" i="26" s="1"/>
  <c r="H316" i="26"/>
  <c r="I316" i="26" s="1"/>
  <c r="H314" i="26"/>
  <c r="I314" i="26" s="1"/>
  <c r="H312" i="26"/>
  <c r="I312" i="26" s="1"/>
  <c r="H307" i="26"/>
  <c r="I307" i="26" s="1"/>
  <c r="H305" i="26"/>
  <c r="I305" i="26" s="1"/>
  <c r="H303" i="26"/>
  <c r="I303" i="26" s="1"/>
  <c r="H299" i="26"/>
  <c r="I299" i="26" s="1"/>
  <c r="L299" i="26" s="1"/>
  <c r="N299" i="26" s="1"/>
  <c r="H297" i="26"/>
  <c r="I297" i="26" s="1"/>
  <c r="L297" i="26" s="1"/>
  <c r="N297" i="26" s="1"/>
  <c r="H295" i="26"/>
  <c r="I295" i="26" s="1"/>
  <c r="L295" i="26" s="1"/>
  <c r="N295" i="26" s="1"/>
  <c r="H288" i="26"/>
  <c r="I288" i="26" s="1"/>
  <c r="L288" i="26" s="1"/>
  <c r="N288" i="26" s="1"/>
  <c r="H286" i="26"/>
  <c r="I286" i="26" s="1"/>
  <c r="H284" i="26"/>
  <c r="I284" i="26" s="1"/>
  <c r="H327" i="26"/>
  <c r="I327" i="26" s="1"/>
  <c r="H308" i="26"/>
  <c r="I308" i="26" s="1"/>
  <c r="H329" i="26"/>
  <c r="I329" i="26" s="1"/>
  <c r="H310" i="26"/>
  <c r="I310" i="26" s="1"/>
  <c r="H338" i="26"/>
  <c r="I338" i="26" s="1"/>
  <c r="H336" i="26"/>
  <c r="I336" i="26" s="1"/>
  <c r="H334" i="26"/>
  <c r="I334" i="26" s="1"/>
  <c r="H332" i="26"/>
  <c r="I332" i="26" s="1"/>
  <c r="H330" i="26"/>
  <c r="I330" i="26" s="1"/>
  <c r="H325" i="26"/>
  <c r="I325" i="26" s="1"/>
  <c r="H321" i="26"/>
  <c r="I321" i="26" s="1"/>
  <c r="H319" i="26"/>
  <c r="I319" i="26" s="1"/>
  <c r="H317" i="26"/>
  <c r="I317" i="26" s="1"/>
  <c r="H315" i="26"/>
  <c r="I315" i="26" s="1"/>
  <c r="H313" i="26"/>
  <c r="I313" i="26" s="1"/>
  <c r="H306" i="26"/>
  <c r="I306" i="26" s="1"/>
  <c r="H304" i="26"/>
  <c r="I304" i="26" s="1"/>
  <c r="H302" i="26"/>
  <c r="I302" i="26" s="1"/>
  <c r="H298" i="26"/>
  <c r="I298" i="26" s="1"/>
  <c r="L298" i="26" s="1"/>
  <c r="N298" i="26" s="1"/>
  <c r="H296" i="26"/>
  <c r="I296" i="26" s="1"/>
  <c r="H294" i="26"/>
  <c r="I294" i="26" s="1"/>
  <c r="L294" i="26" s="1"/>
  <c r="N294" i="26" s="1"/>
  <c r="H289" i="26"/>
  <c r="I289" i="26" s="1"/>
  <c r="H287" i="26"/>
  <c r="I287" i="26" s="1"/>
  <c r="L287" i="26" s="1"/>
  <c r="N287" i="26" s="1"/>
  <c r="H285" i="26"/>
  <c r="I285" i="26" s="1"/>
  <c r="H311" i="26"/>
  <c r="I311" i="26" s="1"/>
  <c r="H292" i="26"/>
  <c r="I292" i="26" s="1"/>
  <c r="H293" i="26"/>
  <c r="I293" i="26" s="1"/>
  <c r="H223" i="26"/>
  <c r="I223" i="26" s="1"/>
  <c r="L223" i="26" s="1"/>
  <c r="N223" i="26" s="1"/>
  <c r="H129" i="26"/>
  <c r="I129" i="26" s="1"/>
  <c r="H222" i="26"/>
  <c r="I222" i="26" s="1"/>
  <c r="L222" i="26" s="1"/>
  <c r="N222" i="26" s="1"/>
  <c r="H136" i="26"/>
  <c r="I136" i="26" s="1"/>
  <c r="H138" i="26"/>
  <c r="I138" i="26" s="1"/>
  <c r="H139" i="26"/>
  <c r="I139" i="26" s="1"/>
  <c r="H140" i="26"/>
  <c r="I140" i="26" s="1"/>
  <c r="H193" i="26"/>
  <c r="I193" i="26" s="1"/>
  <c r="H194" i="26"/>
  <c r="I194" i="26" s="1"/>
  <c r="H762" i="26"/>
  <c r="I762" i="26" s="1"/>
  <c r="H766" i="26"/>
  <c r="I766" i="26" s="1"/>
  <c r="H770" i="26"/>
  <c r="I770" i="26" s="1"/>
  <c r="H771" i="26"/>
  <c r="I771" i="26" s="1"/>
  <c r="H774" i="26"/>
  <c r="I774" i="26" s="1"/>
  <c r="H781" i="26"/>
  <c r="I781" i="26" s="1"/>
  <c r="H786" i="26"/>
  <c r="I786" i="26" s="1"/>
  <c r="H793" i="26"/>
  <c r="I793" i="26" s="1"/>
  <c r="H797" i="26"/>
  <c r="I797" i="26" s="1"/>
  <c r="H779" i="26"/>
  <c r="I779" i="26" s="1"/>
  <c r="H761" i="26"/>
  <c r="I761" i="26" s="1"/>
  <c r="H765" i="26"/>
  <c r="I765" i="26" s="1"/>
  <c r="H769" i="26"/>
  <c r="I769" i="26" s="1"/>
  <c r="H776" i="26"/>
  <c r="I776" i="26" s="1"/>
  <c r="H778" i="26"/>
  <c r="I778" i="26" s="1"/>
  <c r="H785" i="26"/>
  <c r="I785" i="26" s="1"/>
  <c r="H790" i="26"/>
  <c r="I790" i="26" s="1"/>
  <c r="H796" i="26"/>
  <c r="I796" i="26" s="1"/>
  <c r="H763" i="26"/>
  <c r="I763" i="26" s="1"/>
  <c r="H764" i="26"/>
  <c r="I764" i="26" s="1"/>
  <c r="H768" i="26"/>
  <c r="I768" i="26" s="1"/>
  <c r="H773" i="26"/>
  <c r="I773" i="26" s="1"/>
  <c r="H775" i="26"/>
  <c r="I775" i="26" s="1"/>
  <c r="H780" i="26"/>
  <c r="I780" i="26" s="1"/>
  <c r="H784" i="26"/>
  <c r="I784" i="26" s="1"/>
  <c r="H788" i="26"/>
  <c r="I788" i="26" s="1"/>
  <c r="H789" i="26"/>
  <c r="I789" i="26" s="1"/>
  <c r="H794" i="26"/>
  <c r="I794" i="26" s="1"/>
  <c r="H795" i="26"/>
  <c r="I795" i="26" s="1"/>
  <c r="H798" i="26"/>
  <c r="I798" i="26" s="1"/>
  <c r="H799" i="26"/>
  <c r="I799" i="26" s="1"/>
  <c r="H767" i="26"/>
  <c r="I767" i="26" s="1"/>
  <c r="H772" i="26"/>
  <c r="I772" i="26" s="1"/>
  <c r="H777" i="26"/>
  <c r="I777" i="26" s="1"/>
  <c r="H748" i="26"/>
  <c r="I748" i="26" s="1"/>
  <c r="H751" i="26"/>
  <c r="I751" i="26" s="1"/>
  <c r="H753" i="26"/>
  <c r="I753" i="26" s="1"/>
  <c r="H755" i="26"/>
  <c r="I755" i="26" s="1"/>
  <c r="H749" i="26"/>
  <c r="I749" i="26" s="1"/>
  <c r="H750" i="26"/>
  <c r="I750" i="26" s="1"/>
  <c r="H752" i="26"/>
  <c r="I752" i="26" s="1"/>
  <c r="H754" i="26"/>
  <c r="I754" i="26" s="1"/>
  <c r="H756" i="26"/>
  <c r="I756" i="26" s="1"/>
  <c r="H744" i="26"/>
  <c r="I744" i="26" s="1"/>
  <c r="H743" i="26"/>
  <c r="I743" i="26" s="1"/>
  <c r="H745" i="26"/>
  <c r="I745" i="26" s="1"/>
  <c r="H345" i="26"/>
  <c r="I345" i="26" s="1"/>
  <c r="H686" i="26"/>
  <c r="I686" i="26" s="1"/>
  <c r="L686" i="26" s="1"/>
  <c r="N686" i="26" s="1"/>
  <c r="H432" i="26"/>
  <c r="I432" i="26" s="1"/>
  <c r="P432" i="26" s="1"/>
  <c r="H525" i="26"/>
  <c r="I525" i="26" s="1"/>
  <c r="H524" i="26"/>
  <c r="I524" i="26" s="1"/>
  <c r="H435" i="26"/>
  <c r="I435" i="26" s="1"/>
  <c r="L435" i="26" s="1"/>
  <c r="N435" i="26" s="1"/>
  <c r="H523" i="26"/>
  <c r="I523" i="26" s="1"/>
  <c r="H526" i="26"/>
  <c r="I526" i="26" s="1"/>
  <c r="H518" i="26"/>
  <c r="I518" i="26" s="1"/>
  <c r="H517" i="26"/>
  <c r="I517" i="26" s="1"/>
  <c r="H519" i="26"/>
  <c r="I519" i="26" s="1"/>
  <c r="H521" i="26"/>
  <c r="I521" i="26" s="1"/>
  <c r="H516" i="26"/>
  <c r="I516" i="26" s="1"/>
  <c r="H520" i="26"/>
  <c r="I520" i="26" s="1"/>
  <c r="H511" i="26"/>
  <c r="I511" i="26" s="1"/>
  <c r="L511" i="26" s="1"/>
  <c r="N511" i="26" s="1"/>
  <c r="H510" i="26"/>
  <c r="I510" i="26" s="1"/>
  <c r="H506" i="26"/>
  <c r="H512" i="26"/>
  <c r="I512" i="26" s="1"/>
  <c r="L512" i="26" s="1"/>
  <c r="N512" i="26" s="1"/>
  <c r="H514" i="26"/>
  <c r="I514" i="26" s="1"/>
  <c r="H509" i="26"/>
  <c r="I509" i="26" s="1"/>
  <c r="H513" i="26"/>
  <c r="I513" i="26" s="1"/>
  <c r="L513" i="26" s="1"/>
  <c r="N513" i="26" s="1"/>
  <c r="H433" i="26"/>
  <c r="I433" i="26" s="1"/>
  <c r="H434" i="26"/>
  <c r="I434" i="26" s="1"/>
  <c r="H431" i="26"/>
  <c r="I431" i="26" s="1"/>
  <c r="H500" i="26"/>
  <c r="I500" i="26" s="1"/>
  <c r="H499" i="26"/>
  <c r="I499" i="26" s="1"/>
  <c r="H498" i="26"/>
  <c r="I498" i="26" s="1"/>
  <c r="H497" i="26"/>
  <c r="I497" i="26" s="1"/>
  <c r="H496" i="26"/>
  <c r="I496" i="26" s="1"/>
  <c r="H490" i="26"/>
  <c r="I490" i="26" s="1"/>
  <c r="H493" i="26"/>
  <c r="I493" i="26" s="1"/>
  <c r="H494" i="26"/>
  <c r="I494" i="26" s="1"/>
  <c r="H483" i="26"/>
  <c r="I483" i="26" s="1"/>
  <c r="L483" i="26" s="1"/>
  <c r="N483" i="26" s="1"/>
  <c r="H491" i="26"/>
  <c r="I491" i="26" s="1"/>
  <c r="H492" i="26"/>
  <c r="I492" i="26" s="1"/>
  <c r="H486" i="26"/>
  <c r="I486" i="26" s="1"/>
  <c r="H481" i="26"/>
  <c r="I481" i="26" s="1"/>
  <c r="H485" i="26"/>
  <c r="I485" i="26" s="1"/>
  <c r="H487" i="26"/>
  <c r="I487" i="26" s="1"/>
  <c r="H488" i="26"/>
  <c r="I488" i="26" s="1"/>
  <c r="H482" i="26"/>
  <c r="I482" i="26" s="1"/>
  <c r="H484" i="26"/>
  <c r="I484" i="26" s="1"/>
  <c r="H473" i="26"/>
  <c r="I473" i="26" s="1"/>
  <c r="H475" i="26"/>
  <c r="I475" i="26" s="1"/>
  <c r="H477" i="26"/>
  <c r="I477" i="26" s="1"/>
  <c r="H472" i="26"/>
  <c r="I472" i="26" s="1"/>
  <c r="H476" i="26"/>
  <c r="I476" i="26" s="1"/>
  <c r="H478" i="26"/>
  <c r="I478" i="26" s="1"/>
  <c r="H479" i="26"/>
  <c r="I479" i="26" s="1"/>
  <c r="H465" i="26"/>
  <c r="I465" i="26" s="1"/>
  <c r="L465" i="26" s="1"/>
  <c r="N465" i="26" s="1"/>
  <c r="H474" i="26"/>
  <c r="I474" i="26" s="1"/>
  <c r="H464" i="26"/>
  <c r="I464" i="26" s="1"/>
  <c r="H466" i="26"/>
  <c r="I466" i="26" s="1"/>
  <c r="H468" i="26"/>
  <c r="I468" i="26" s="1"/>
  <c r="H463" i="26"/>
  <c r="I463" i="26" s="1"/>
  <c r="H467" i="26"/>
  <c r="I467" i="26" s="1"/>
  <c r="H469" i="26"/>
  <c r="I469" i="26" s="1"/>
  <c r="H470" i="26"/>
  <c r="I470" i="26" s="1"/>
  <c r="H455" i="26"/>
  <c r="I455" i="26" s="1"/>
  <c r="H457" i="26"/>
  <c r="I457" i="26" s="1"/>
  <c r="H459" i="26"/>
  <c r="I459" i="26" s="1"/>
  <c r="H454" i="26"/>
  <c r="I454" i="26" s="1"/>
  <c r="H458" i="26"/>
  <c r="I458" i="26" s="1"/>
  <c r="H460" i="26"/>
  <c r="I460" i="26" s="1"/>
  <c r="H461" i="26"/>
  <c r="I461" i="26" s="1"/>
  <c r="H456" i="26"/>
  <c r="I456" i="26" s="1"/>
  <c r="H450" i="26"/>
  <c r="I450" i="26" s="1"/>
  <c r="H446" i="26"/>
  <c r="I446" i="26" s="1"/>
  <c r="H449" i="26"/>
  <c r="I449" i="26" s="1"/>
  <c r="H451" i="26"/>
  <c r="I451" i="26" s="1"/>
  <c r="H452" i="26"/>
  <c r="I452" i="26" s="1"/>
  <c r="H447" i="26"/>
  <c r="I447" i="26" s="1"/>
  <c r="H448" i="26"/>
  <c r="I448" i="26" s="1"/>
  <c r="H442" i="26"/>
  <c r="I442" i="26" s="1"/>
  <c r="L442" i="26" s="1"/>
  <c r="N442" i="26" s="1"/>
  <c r="H443" i="26"/>
  <c r="I443" i="26" s="1"/>
  <c r="H423" i="26"/>
  <c r="I423" i="26" s="1"/>
  <c r="H426" i="26"/>
  <c r="I426" i="26" s="1"/>
  <c r="H424" i="26"/>
  <c r="I424" i="26" s="1"/>
  <c r="H427" i="26"/>
  <c r="I427" i="26" s="1"/>
  <c r="H422" i="26"/>
  <c r="I422" i="26" s="1"/>
  <c r="H428" i="26"/>
  <c r="I428" i="26" s="1"/>
  <c r="H429" i="26"/>
  <c r="I429" i="26" s="1"/>
  <c r="H416" i="26"/>
  <c r="I416" i="26" s="1"/>
  <c r="L416" i="26" s="1"/>
  <c r="N416" i="26" s="1"/>
  <c r="H425" i="26"/>
  <c r="I425" i="26" s="1"/>
  <c r="H414" i="26"/>
  <c r="I414" i="26" s="1"/>
  <c r="H417" i="26"/>
  <c r="I417" i="26" s="1"/>
  <c r="H415" i="26"/>
  <c r="I415" i="26" s="1"/>
  <c r="H418" i="26"/>
  <c r="I418" i="26" s="1"/>
  <c r="H413" i="26"/>
  <c r="I413" i="26" s="1"/>
  <c r="H420" i="26"/>
  <c r="I420" i="26" s="1"/>
  <c r="H419" i="26"/>
  <c r="I419" i="26" s="1"/>
  <c r="H405" i="26"/>
  <c r="I405" i="26" s="1"/>
  <c r="H408" i="26"/>
  <c r="I408" i="26" s="1"/>
  <c r="H406" i="26"/>
  <c r="I406" i="26" s="1"/>
  <c r="H409" i="26"/>
  <c r="I409" i="26" s="1"/>
  <c r="H404" i="26"/>
  <c r="I404" i="26" s="1"/>
  <c r="H411" i="26"/>
  <c r="I411" i="26" s="1"/>
  <c r="H410" i="26"/>
  <c r="I410" i="26" s="1"/>
  <c r="H398" i="26"/>
  <c r="I398" i="26" s="1"/>
  <c r="L398" i="26" s="1"/>
  <c r="N398" i="26" s="1"/>
  <c r="H407" i="26"/>
  <c r="I407" i="26" s="1"/>
  <c r="H400" i="26"/>
  <c r="I400" i="26" s="1"/>
  <c r="H395" i="26"/>
  <c r="I395" i="26" s="1"/>
  <c r="H402" i="26"/>
  <c r="I402" i="26" s="1"/>
  <c r="H401" i="26"/>
  <c r="I401" i="26" s="1"/>
  <c r="H396" i="26"/>
  <c r="I396" i="26" s="1"/>
  <c r="H399" i="26"/>
  <c r="I399" i="26" s="1"/>
  <c r="H397" i="26"/>
  <c r="I397" i="26" s="1"/>
  <c r="H391" i="26"/>
  <c r="I391" i="26" s="1"/>
  <c r="H386" i="26"/>
  <c r="I386" i="26" s="1"/>
  <c r="H392" i="26"/>
  <c r="I392" i="26" s="1"/>
  <c r="H393" i="26"/>
  <c r="I393" i="26" s="1"/>
  <c r="H380" i="26"/>
  <c r="I380" i="26" s="1"/>
  <c r="P380" i="26" s="1"/>
  <c r="H389" i="26"/>
  <c r="I389" i="26" s="1"/>
  <c r="H387" i="26"/>
  <c r="I387" i="26" s="1"/>
  <c r="H390" i="26"/>
  <c r="I390" i="26" s="1"/>
  <c r="H388" i="26"/>
  <c r="I388" i="26" s="1"/>
  <c r="H382" i="26"/>
  <c r="I382" i="26" s="1"/>
  <c r="H377" i="26"/>
  <c r="I377" i="26" s="1"/>
  <c r="H384" i="26"/>
  <c r="I384" i="26" s="1"/>
  <c r="H383" i="26"/>
  <c r="I383" i="26" s="1"/>
  <c r="H378" i="26"/>
  <c r="I378" i="26" s="1"/>
  <c r="H381" i="26"/>
  <c r="I381" i="26" s="1"/>
  <c r="H379" i="26"/>
  <c r="I379" i="26" s="1"/>
  <c r="H356" i="26"/>
  <c r="I356" i="26" s="1"/>
  <c r="P356" i="26" s="1"/>
  <c r="H373" i="26"/>
  <c r="I373" i="26" s="1"/>
  <c r="H368" i="26"/>
  <c r="I368" i="26" s="1"/>
  <c r="H374" i="26"/>
  <c r="I374" i="26" s="1"/>
  <c r="H375" i="26"/>
  <c r="I375" i="26" s="1"/>
  <c r="H362" i="26"/>
  <c r="I362" i="26" s="1"/>
  <c r="L362" i="26" s="1"/>
  <c r="N362" i="26" s="1"/>
  <c r="H371" i="26"/>
  <c r="I371" i="26" s="1"/>
  <c r="H369" i="26"/>
  <c r="I369" i="26" s="1"/>
  <c r="H372" i="26"/>
  <c r="I372" i="26" s="1"/>
  <c r="H370" i="26"/>
  <c r="I370" i="26" s="1"/>
  <c r="H364" i="26"/>
  <c r="I364" i="26" s="1"/>
  <c r="H359" i="26"/>
  <c r="I359" i="26" s="1"/>
  <c r="H365" i="26"/>
  <c r="I365" i="26" s="1"/>
  <c r="H366" i="26"/>
  <c r="I366" i="26" s="1"/>
  <c r="H360" i="26"/>
  <c r="I360" i="26" s="1"/>
  <c r="H361" i="26"/>
  <c r="I361" i="26" s="1"/>
  <c r="H363" i="26"/>
  <c r="I363" i="26" s="1"/>
  <c r="H353" i="26"/>
  <c r="H234" i="26"/>
  <c r="I234" i="26" s="1"/>
  <c r="H237" i="26"/>
  <c r="I237" i="26" s="1"/>
  <c r="H235" i="26"/>
  <c r="I235" i="26" s="1"/>
  <c r="H236" i="26"/>
  <c r="I236" i="26" s="1"/>
  <c r="L236" i="26" s="1"/>
  <c r="N236" i="26" s="1"/>
  <c r="H240" i="26"/>
  <c r="I240" i="26" s="1"/>
  <c r="P240" i="26" s="1"/>
  <c r="H249" i="26"/>
  <c r="I249" i="26" s="1"/>
  <c r="H248" i="26"/>
  <c r="I248" i="26" s="1"/>
  <c r="H258" i="26"/>
  <c r="I258" i="26" s="1"/>
  <c r="H257" i="26"/>
  <c r="I257" i="26" s="1"/>
  <c r="H259" i="26"/>
  <c r="I259" i="26" s="1"/>
  <c r="L259" i="26" s="1"/>
  <c r="N259" i="26" s="1"/>
  <c r="H256" i="26"/>
  <c r="I256" i="26" s="1"/>
  <c r="H255" i="26"/>
  <c r="I255" i="26" s="1"/>
  <c r="H230" i="26"/>
  <c r="I230" i="26" s="1"/>
  <c r="H229" i="26"/>
  <c r="I229" i="26" s="1"/>
  <c r="H231" i="26"/>
  <c r="I231" i="26" s="1"/>
  <c r="H183" i="26"/>
  <c r="I183" i="26" s="1"/>
  <c r="H184" i="26"/>
  <c r="I184" i="26" s="1"/>
  <c r="H147" i="26"/>
  <c r="I147" i="26" s="1"/>
  <c r="P147" i="26" s="1"/>
  <c r="H166" i="26"/>
  <c r="I166" i="26" s="1"/>
  <c r="H170" i="26"/>
  <c r="I170" i="26" s="1"/>
  <c r="H174" i="26"/>
  <c r="I174" i="26" s="1"/>
  <c r="H167" i="26"/>
  <c r="I167" i="26" s="1"/>
  <c r="H171" i="26"/>
  <c r="I171" i="26" s="1"/>
  <c r="H175" i="26"/>
  <c r="I175" i="26" s="1"/>
  <c r="H165" i="26"/>
  <c r="I165" i="26" s="1"/>
  <c r="H169" i="26"/>
  <c r="I169" i="26" s="1"/>
  <c r="H173" i="26"/>
  <c r="I173" i="26" s="1"/>
  <c r="H168" i="26"/>
  <c r="I168" i="26" s="1"/>
  <c r="H172" i="26"/>
  <c r="I172" i="26" s="1"/>
  <c r="L147" i="26"/>
  <c r="N147" i="26" s="1"/>
  <c r="H80" i="26"/>
  <c r="I80" i="26" s="1"/>
  <c r="H79" i="26"/>
  <c r="I79" i="26" s="1"/>
  <c r="H78" i="12"/>
  <c r="H533" i="26"/>
  <c r="I533" i="26" s="1"/>
  <c r="L533" i="26" s="1"/>
  <c r="N533" i="26" s="1"/>
  <c r="H278" i="26"/>
  <c r="I278" i="26" s="1"/>
  <c r="H532" i="26"/>
  <c r="I532" i="26" s="1"/>
  <c r="H726" i="26"/>
  <c r="I726" i="26" s="1"/>
  <c r="L726" i="26" s="1"/>
  <c r="N726" i="26" s="1"/>
  <c r="H733" i="26"/>
  <c r="I733" i="26" s="1"/>
  <c r="H503" i="26"/>
  <c r="H440" i="26"/>
  <c r="H352" i="26"/>
  <c r="H200" i="26"/>
  <c r="I200" i="26" s="1"/>
  <c r="H732" i="26"/>
  <c r="I732" i="26" s="1"/>
  <c r="H504" i="26"/>
  <c r="H439" i="26"/>
  <c r="H239" i="26"/>
  <c r="I239" i="26" s="1"/>
  <c r="H530" i="26"/>
  <c r="H438" i="26"/>
  <c r="H354" i="26"/>
  <c r="H731" i="26"/>
  <c r="I731" i="26" s="1"/>
  <c r="H747" i="26"/>
  <c r="I747" i="26" s="1"/>
  <c r="H344" i="26"/>
  <c r="I344" i="26" s="1"/>
  <c r="H760" i="26"/>
  <c r="I760" i="26" s="1"/>
  <c r="H507" i="26"/>
  <c r="H251" i="26"/>
  <c r="I251" i="26" s="1"/>
  <c r="H245" i="26"/>
  <c r="I245" i="26" s="1"/>
  <c r="H242" i="26"/>
  <c r="I242" i="26" s="1"/>
  <c r="L242" i="26" s="1"/>
  <c r="N242" i="26" s="1"/>
  <c r="H213" i="26"/>
  <c r="H759" i="26"/>
  <c r="I759" i="26" s="1"/>
  <c r="H536" i="26"/>
  <c r="I536" i="26" s="1"/>
  <c r="H528" i="26"/>
  <c r="H505" i="26"/>
  <c r="H357" i="26"/>
  <c r="H250" i="26"/>
  <c r="I250" i="26" s="1"/>
  <c r="H244" i="26"/>
  <c r="I244" i="26" s="1"/>
  <c r="H212" i="26"/>
  <c r="H107" i="26"/>
  <c r="I107" i="26" s="1"/>
  <c r="H444" i="26"/>
  <c r="H355" i="26"/>
  <c r="H247" i="26"/>
  <c r="I247" i="26" s="1"/>
  <c r="H106" i="26"/>
  <c r="I106" i="26" s="1"/>
  <c r="H441" i="26"/>
  <c r="H246" i="26"/>
  <c r="I246" i="26" s="1"/>
  <c r="H252" i="26"/>
  <c r="I252" i="26" s="1"/>
  <c r="H214" i="26"/>
  <c r="I214" i="26" s="1"/>
  <c r="H192" i="26"/>
  <c r="H742" i="26"/>
  <c r="H746" i="26"/>
  <c r="I746" i="26" s="1"/>
  <c r="H202" i="26"/>
  <c r="I202" i="26" s="1"/>
  <c r="H128" i="26"/>
  <c r="H117" i="26"/>
  <c r="I117" i="26" s="1"/>
  <c r="H111" i="26"/>
  <c r="I111" i="26" s="1"/>
  <c r="H103" i="26"/>
  <c r="I103" i="26" s="1"/>
  <c r="H241" i="26"/>
  <c r="I241" i="26" s="1"/>
  <c r="H228" i="26"/>
  <c r="I228" i="26" s="1"/>
  <c r="H142" i="26"/>
  <c r="I142" i="26" s="1"/>
  <c r="H120" i="26"/>
  <c r="I120" i="26" s="1"/>
  <c r="H114" i="26"/>
  <c r="I114" i="26" s="1"/>
  <c r="H110" i="26"/>
  <c r="I110" i="26" s="1"/>
  <c r="H102" i="26"/>
  <c r="I102" i="26" s="1"/>
  <c r="H182" i="26"/>
  <c r="I182" i="26" s="1"/>
  <c r="H119" i="26"/>
  <c r="I119" i="26" s="1"/>
  <c r="H113" i="26"/>
  <c r="I113" i="26" s="1"/>
  <c r="H99" i="26"/>
  <c r="I99" i="26" s="1"/>
  <c r="H203" i="26"/>
  <c r="I203" i="26" s="1"/>
  <c r="H279" i="26"/>
  <c r="H137" i="26"/>
  <c r="I137" i="26" s="1"/>
  <c r="H118" i="26"/>
  <c r="I118" i="26" s="1"/>
  <c r="H233" i="26"/>
  <c r="I233" i="26" s="1"/>
  <c r="H112" i="26"/>
  <c r="I112" i="26" s="1"/>
  <c r="H207" i="26"/>
  <c r="H123" i="26"/>
  <c r="I123" i="26" s="1"/>
  <c r="H60" i="26"/>
  <c r="I60" i="26" s="1"/>
  <c r="H54" i="26"/>
  <c r="I54" i="26" s="1"/>
  <c r="H65" i="26"/>
  <c r="I65" i="26" s="1"/>
  <c r="H57" i="26"/>
  <c r="I57" i="26" s="1"/>
  <c r="H51" i="26"/>
  <c r="I51" i="26" s="1"/>
  <c r="H47" i="26"/>
  <c r="I47" i="26" s="1"/>
  <c r="H41" i="26"/>
  <c r="I41" i="26" s="1"/>
  <c r="H35" i="26"/>
  <c r="I35" i="26" s="1"/>
  <c r="H29" i="26"/>
  <c r="I29" i="26" s="1"/>
  <c r="H25" i="26"/>
  <c r="I25" i="26" s="1"/>
  <c r="H62" i="26"/>
  <c r="I62" i="26" s="1"/>
  <c r="H56" i="26"/>
  <c r="I56" i="26" s="1"/>
  <c r="H50" i="26"/>
  <c r="I50" i="26" s="1"/>
  <c r="H44" i="26"/>
  <c r="I44" i="26" s="1"/>
  <c r="H40" i="26"/>
  <c r="I40" i="26" s="1"/>
  <c r="H34" i="26"/>
  <c r="I34" i="26" s="1"/>
  <c r="H28" i="26"/>
  <c r="I28" i="26" s="1"/>
  <c r="H55" i="26"/>
  <c r="I55" i="26" s="1"/>
  <c r="H42" i="26"/>
  <c r="I42" i="26" s="1"/>
  <c r="H30" i="26"/>
  <c r="I30" i="26" s="1"/>
  <c r="H31" i="26"/>
  <c r="I31" i="26" s="1"/>
  <c r="H49" i="26"/>
  <c r="I49" i="26" s="1"/>
  <c r="H39" i="26"/>
  <c r="I39" i="26" s="1"/>
  <c r="H27" i="26"/>
  <c r="I27" i="26" s="1"/>
  <c r="H61" i="26"/>
  <c r="I61" i="26" s="1"/>
  <c r="H48" i="26"/>
  <c r="I48" i="26" s="1"/>
  <c r="H36" i="26"/>
  <c r="I36" i="26" s="1"/>
  <c r="H26" i="26"/>
  <c r="I26" i="26" s="1"/>
  <c r="H43" i="26"/>
  <c r="I43" i="26" s="1"/>
  <c r="H529" i="26"/>
  <c r="H179" i="26"/>
  <c r="I179" i="26" s="1"/>
  <c r="H163" i="26"/>
  <c r="H152" i="26"/>
  <c r="I152" i="26" s="1"/>
  <c r="H94" i="26"/>
  <c r="H89" i="26"/>
  <c r="H187" i="26"/>
  <c r="I187" i="26" s="1"/>
  <c r="H178" i="26"/>
  <c r="I178" i="26" s="1"/>
  <c r="H162" i="26"/>
  <c r="H93" i="26"/>
  <c r="H88" i="26"/>
  <c r="H84" i="26"/>
  <c r="H74" i="26"/>
  <c r="H161" i="26"/>
  <c r="H157" i="26"/>
  <c r="I157" i="26" s="1"/>
  <c r="H164" i="26"/>
  <c r="H153" i="26"/>
  <c r="I153" i="26" s="1"/>
  <c r="H160" i="26"/>
  <c r="H77" i="26"/>
  <c r="H156" i="26"/>
  <c r="I156" i="26" s="1"/>
  <c r="H71" i="26"/>
  <c r="H810" i="26"/>
  <c r="I810" i="26" s="1"/>
  <c r="H807" i="26"/>
  <c r="I807" i="26" s="1"/>
  <c r="H812" i="26"/>
  <c r="H806" i="26"/>
  <c r="I806" i="26" s="1"/>
  <c r="H809" i="26"/>
  <c r="I809" i="26" s="1"/>
  <c r="H97" i="26"/>
  <c r="H76" i="26"/>
  <c r="H70" i="26"/>
  <c r="H808" i="26"/>
  <c r="I808" i="26" s="1"/>
  <c r="H92" i="26"/>
  <c r="H87" i="26"/>
  <c r="H83" i="26"/>
  <c r="H73" i="26"/>
  <c r="H98" i="26"/>
  <c r="H24" i="26"/>
  <c r="I24" i="26" s="1"/>
  <c r="H23" i="26"/>
  <c r="I23" i="26" s="1"/>
  <c r="H22" i="26"/>
  <c r="I22" i="26" s="1"/>
  <c r="H21" i="26"/>
  <c r="P344" i="26" l="1"/>
  <c r="L344" i="26"/>
  <c r="N344" i="26" s="1"/>
  <c r="P554" i="26"/>
  <c r="L554" i="26"/>
  <c r="N554" i="26" s="1"/>
  <c r="P137" i="26"/>
  <c r="L137" i="26"/>
  <c r="N137" i="26" s="1"/>
  <c r="L345" i="26"/>
  <c r="N345" i="26" s="1"/>
  <c r="P345" i="26"/>
  <c r="L136" i="26"/>
  <c r="N136" i="26" s="1"/>
  <c r="P136" i="26"/>
  <c r="Q709" i="26"/>
  <c r="P787" i="26"/>
  <c r="L787" i="26"/>
  <c r="N787" i="26" s="1"/>
  <c r="L219" i="26"/>
  <c r="N219" i="26" s="1"/>
  <c r="P219" i="26"/>
  <c r="P736" i="26"/>
  <c r="L701" i="26"/>
  <c r="N701" i="26" s="1"/>
  <c r="P701" i="26"/>
  <c r="P700" i="26"/>
  <c r="L700" i="26"/>
  <c r="N700" i="26" s="1"/>
  <c r="P340" i="26"/>
  <c r="L340" i="26"/>
  <c r="N340" i="26" s="1"/>
  <c r="P341" i="26"/>
  <c r="L341" i="26"/>
  <c r="N341" i="26" s="1"/>
  <c r="Q736" i="26"/>
  <c r="Q675" i="26"/>
  <c r="P735" i="26"/>
  <c r="L735" i="26"/>
  <c r="N735" i="26" s="1"/>
  <c r="P734" i="26"/>
  <c r="L734" i="26"/>
  <c r="N734" i="26" s="1"/>
  <c r="L671" i="26"/>
  <c r="N671" i="26" s="1"/>
  <c r="Q671" i="26" s="1"/>
  <c r="L678" i="26"/>
  <c r="N678" i="26" s="1"/>
  <c r="Q678" i="26" s="1"/>
  <c r="Q591" i="26"/>
  <c r="L683" i="26"/>
  <c r="N683" i="26" s="1"/>
  <c r="P683" i="26"/>
  <c r="L690" i="26"/>
  <c r="N690" i="26" s="1"/>
  <c r="P690" i="26"/>
  <c r="P713" i="26"/>
  <c r="L713" i="26"/>
  <c r="N713" i="26" s="1"/>
  <c r="L693" i="26"/>
  <c r="N693" i="26" s="1"/>
  <c r="P693" i="26"/>
  <c r="L715" i="26"/>
  <c r="N715" i="26" s="1"/>
  <c r="P715" i="26"/>
  <c r="L691" i="26"/>
  <c r="N691" i="26" s="1"/>
  <c r="P691" i="26"/>
  <c r="L712" i="26"/>
  <c r="N712" i="26" s="1"/>
  <c r="P712" i="26"/>
  <c r="L703" i="26"/>
  <c r="N703" i="26" s="1"/>
  <c r="P703" i="26"/>
  <c r="P696" i="26"/>
  <c r="L696" i="26"/>
  <c r="N696" i="26" s="1"/>
  <c r="L718" i="26"/>
  <c r="N718" i="26" s="1"/>
  <c r="P718" i="26"/>
  <c r="P695" i="26"/>
  <c r="L695" i="26"/>
  <c r="N695" i="26" s="1"/>
  <c r="L717" i="26"/>
  <c r="N717" i="26" s="1"/>
  <c r="P717" i="26"/>
  <c r="P697" i="26"/>
  <c r="L697" i="26"/>
  <c r="N697" i="26" s="1"/>
  <c r="L719" i="26"/>
  <c r="N719" i="26" s="1"/>
  <c r="P719" i="26"/>
  <c r="L705" i="26"/>
  <c r="N705" i="26" s="1"/>
  <c r="P705" i="26"/>
  <c r="P698" i="26"/>
  <c r="L698" i="26"/>
  <c r="N698" i="26" s="1"/>
  <c r="L720" i="26"/>
  <c r="N720" i="26" s="1"/>
  <c r="P720" i="26"/>
  <c r="P702" i="26"/>
  <c r="L702" i="26"/>
  <c r="N702" i="26" s="1"/>
  <c r="L708" i="26"/>
  <c r="N708" i="26" s="1"/>
  <c r="P708" i="26"/>
  <c r="L699" i="26"/>
  <c r="N699" i="26" s="1"/>
  <c r="P699" i="26"/>
  <c r="L723" i="26"/>
  <c r="N723" i="26" s="1"/>
  <c r="P723" i="26"/>
  <c r="P714" i="26"/>
  <c r="L714" i="26"/>
  <c r="N714" i="26" s="1"/>
  <c r="L707" i="26"/>
  <c r="N707" i="26" s="1"/>
  <c r="P707" i="26"/>
  <c r="P692" i="26"/>
  <c r="L692" i="26"/>
  <c r="N692" i="26" s="1"/>
  <c r="P704" i="26"/>
  <c r="L704" i="26"/>
  <c r="N704" i="26" s="1"/>
  <c r="L689" i="26"/>
  <c r="N689" i="26" s="1"/>
  <c r="P689" i="26"/>
  <c r="P706" i="26"/>
  <c r="L706" i="26"/>
  <c r="N706" i="26" s="1"/>
  <c r="P694" i="26"/>
  <c r="L694" i="26"/>
  <c r="N694" i="26" s="1"/>
  <c r="L716" i="26"/>
  <c r="N716" i="26" s="1"/>
  <c r="P716" i="26"/>
  <c r="P551" i="26"/>
  <c r="Q551" i="26" s="1"/>
  <c r="L640" i="26"/>
  <c r="N640" i="26" s="1"/>
  <c r="P640" i="26"/>
  <c r="L276" i="26"/>
  <c r="N276" i="26" s="1"/>
  <c r="Q276" i="26" s="1"/>
  <c r="P272" i="26"/>
  <c r="P273" i="26"/>
  <c r="L132" i="26"/>
  <c r="N132" i="26" s="1"/>
  <c r="P132" i="26"/>
  <c r="L133" i="26"/>
  <c r="N133" i="26" s="1"/>
  <c r="P133" i="26"/>
  <c r="P549" i="26"/>
  <c r="Q549" i="26" s="1"/>
  <c r="L243" i="26"/>
  <c r="N243" i="26" s="1"/>
  <c r="Q243" i="26" s="1"/>
  <c r="L217" i="26"/>
  <c r="N217" i="26" s="1"/>
  <c r="P217" i="26"/>
  <c r="P270" i="26"/>
  <c r="P267" i="26"/>
  <c r="L267" i="26"/>
  <c r="N267" i="26" s="1"/>
  <c r="L216" i="26"/>
  <c r="N216" i="26" s="1"/>
  <c r="P216" i="26"/>
  <c r="L268" i="26"/>
  <c r="N268" i="26" s="1"/>
  <c r="P268" i="26"/>
  <c r="P266" i="26"/>
  <c r="L266" i="26"/>
  <c r="N266" i="26" s="1"/>
  <c r="P576" i="26"/>
  <c r="Q576" i="26" s="1"/>
  <c r="P197" i="26"/>
  <c r="L668" i="26"/>
  <c r="N668" i="26" s="1"/>
  <c r="P668" i="26"/>
  <c r="L667" i="26"/>
  <c r="N667" i="26" s="1"/>
  <c r="P667" i="26"/>
  <c r="L665" i="26"/>
  <c r="N665" i="26" s="1"/>
  <c r="P665" i="26"/>
  <c r="L669" i="26"/>
  <c r="N669" i="26" s="1"/>
  <c r="P669" i="26"/>
  <c r="L666" i="26"/>
  <c r="N666" i="26" s="1"/>
  <c r="P666" i="26"/>
  <c r="L670" i="26"/>
  <c r="N670" i="26" s="1"/>
  <c r="P670" i="26"/>
  <c r="L590" i="26"/>
  <c r="N590" i="26" s="1"/>
  <c r="P590" i="26"/>
  <c r="L585" i="26"/>
  <c r="N585" i="26" s="1"/>
  <c r="P585" i="26"/>
  <c r="L586" i="26"/>
  <c r="N586" i="26" s="1"/>
  <c r="P586" i="26"/>
  <c r="P580" i="26"/>
  <c r="L580" i="26"/>
  <c r="N580" i="26" s="1"/>
  <c r="L583" i="26"/>
  <c r="N583" i="26" s="1"/>
  <c r="P583" i="26"/>
  <c r="L587" i="26"/>
  <c r="N587" i="26" s="1"/>
  <c r="P587" i="26"/>
  <c r="L579" i="26"/>
  <c r="N579" i="26" s="1"/>
  <c r="P579" i="26"/>
  <c r="L584" i="26"/>
  <c r="N584" i="26" s="1"/>
  <c r="P584" i="26"/>
  <c r="L588" i="26"/>
  <c r="N588" i="26" s="1"/>
  <c r="P588" i="26"/>
  <c r="L589" i="26"/>
  <c r="N589" i="26" s="1"/>
  <c r="P589" i="26"/>
  <c r="L569" i="26"/>
  <c r="N569" i="26" s="1"/>
  <c r="Q569" i="26" s="1"/>
  <c r="L572" i="26"/>
  <c r="N572" i="26" s="1"/>
  <c r="P572" i="26"/>
  <c r="P565" i="26"/>
  <c r="Q565" i="26" s="1"/>
  <c r="P568" i="26"/>
  <c r="L568" i="26"/>
  <c r="N568" i="26" s="1"/>
  <c r="P223" i="26"/>
  <c r="Q223" i="26" s="1"/>
  <c r="L548" i="26"/>
  <c r="N548" i="26" s="1"/>
  <c r="P548" i="26"/>
  <c r="L552" i="26"/>
  <c r="N552" i="26" s="1"/>
  <c r="P552" i="26"/>
  <c r="L553" i="26"/>
  <c r="N553" i="26" s="1"/>
  <c r="P553" i="26"/>
  <c r="L550" i="26"/>
  <c r="N550" i="26" s="1"/>
  <c r="P550" i="26"/>
  <c r="L567" i="26"/>
  <c r="N567" i="26" s="1"/>
  <c r="P567" i="26"/>
  <c r="L571" i="26"/>
  <c r="N571" i="26" s="1"/>
  <c r="P571" i="26"/>
  <c r="L575" i="26"/>
  <c r="N575" i="26" s="1"/>
  <c r="P575" i="26"/>
  <c r="L578" i="26"/>
  <c r="N578" i="26" s="1"/>
  <c r="P578" i="26"/>
  <c r="L636" i="26"/>
  <c r="N636" i="26" s="1"/>
  <c r="P636" i="26"/>
  <c r="P610" i="26"/>
  <c r="L610" i="26"/>
  <c r="N610" i="26" s="1"/>
  <c r="L631" i="26"/>
  <c r="N631" i="26" s="1"/>
  <c r="P631" i="26"/>
  <c r="L638" i="26"/>
  <c r="N638" i="26" s="1"/>
  <c r="P638" i="26"/>
  <c r="P600" i="26"/>
  <c r="L600" i="26"/>
  <c r="N600" i="26" s="1"/>
  <c r="P639" i="26"/>
  <c r="L639" i="26"/>
  <c r="N639" i="26" s="1"/>
  <c r="L621" i="26"/>
  <c r="N621" i="26" s="1"/>
  <c r="P621" i="26"/>
  <c r="L622" i="26"/>
  <c r="N622" i="26" s="1"/>
  <c r="P622" i="26"/>
  <c r="L658" i="26"/>
  <c r="N658" i="26" s="1"/>
  <c r="P658" i="26"/>
  <c r="L653" i="26"/>
  <c r="N653" i="26" s="1"/>
  <c r="P653" i="26"/>
  <c r="L661" i="26"/>
  <c r="N661" i="26" s="1"/>
  <c r="P661" i="26"/>
  <c r="P542" i="26"/>
  <c r="L542" i="26"/>
  <c r="N542" i="26" s="1"/>
  <c r="P677" i="26"/>
  <c r="L677" i="26"/>
  <c r="N677" i="26" s="1"/>
  <c r="L556" i="26"/>
  <c r="N556" i="26" s="1"/>
  <c r="P556" i="26"/>
  <c r="L263" i="26"/>
  <c r="N263" i="26" s="1"/>
  <c r="P263" i="26"/>
  <c r="P541" i="26"/>
  <c r="L541" i="26"/>
  <c r="N541" i="26" s="1"/>
  <c r="L633" i="26"/>
  <c r="N633" i="26" s="1"/>
  <c r="P633" i="26"/>
  <c r="L606" i="26"/>
  <c r="N606" i="26" s="1"/>
  <c r="P606" i="26"/>
  <c r="L543" i="26"/>
  <c r="N543" i="26" s="1"/>
  <c r="P543" i="26"/>
  <c r="L555" i="26"/>
  <c r="N555" i="26" s="1"/>
  <c r="P555" i="26"/>
  <c r="P594" i="26"/>
  <c r="L594" i="26"/>
  <c r="N594" i="26" s="1"/>
  <c r="L644" i="26"/>
  <c r="N644" i="26" s="1"/>
  <c r="P644" i="26"/>
  <c r="L625" i="26"/>
  <c r="N625" i="26" s="1"/>
  <c r="P625" i="26"/>
  <c r="L558" i="26"/>
  <c r="N558" i="26" s="1"/>
  <c r="P558" i="26"/>
  <c r="L624" i="26"/>
  <c r="N624" i="26" s="1"/>
  <c r="P624" i="26"/>
  <c r="P656" i="26"/>
  <c r="L656" i="26"/>
  <c r="N656" i="26" s="1"/>
  <c r="L659" i="26"/>
  <c r="N659" i="26" s="1"/>
  <c r="P659" i="26"/>
  <c r="P660" i="26"/>
  <c r="L660" i="26"/>
  <c r="N660" i="26" s="1"/>
  <c r="L655" i="26"/>
  <c r="N655" i="26" s="1"/>
  <c r="P655" i="26"/>
  <c r="L560" i="26"/>
  <c r="N560" i="26" s="1"/>
  <c r="P560" i="26"/>
  <c r="L602" i="26"/>
  <c r="N602" i="26" s="1"/>
  <c r="P602" i="26"/>
  <c r="L539" i="26"/>
  <c r="N539" i="26" s="1"/>
  <c r="P539" i="26"/>
  <c r="L562" i="26"/>
  <c r="N562" i="26" s="1"/>
  <c r="P562" i="26"/>
  <c r="L595" i="26"/>
  <c r="N595" i="26" s="1"/>
  <c r="P595" i="26"/>
  <c r="L601" i="26"/>
  <c r="N601" i="26" s="1"/>
  <c r="P601" i="26"/>
  <c r="L643" i="26"/>
  <c r="N643" i="26" s="1"/>
  <c r="P643" i="26"/>
  <c r="L605" i="26"/>
  <c r="N605" i="26" s="1"/>
  <c r="P605" i="26"/>
  <c r="L635" i="26"/>
  <c r="N635" i="26" s="1"/>
  <c r="P635" i="26"/>
  <c r="L630" i="26"/>
  <c r="N630" i="26" s="1"/>
  <c r="P630" i="26"/>
  <c r="P540" i="26"/>
  <c r="L540" i="26"/>
  <c r="N540" i="26" s="1"/>
  <c r="L596" i="26"/>
  <c r="N596" i="26" s="1"/>
  <c r="P596" i="26"/>
  <c r="P609" i="26"/>
  <c r="L609" i="26"/>
  <c r="N609" i="26" s="1"/>
  <c r="P646" i="26"/>
  <c r="L646" i="26"/>
  <c r="N646" i="26" s="1"/>
  <c r="P265" i="26"/>
  <c r="L265" i="26"/>
  <c r="N265" i="26" s="1"/>
  <c r="L616" i="26"/>
  <c r="N616" i="26" s="1"/>
  <c r="P616" i="26"/>
  <c r="L611" i="26"/>
  <c r="N611" i="26" s="1"/>
  <c r="P611" i="26"/>
  <c r="Q559" i="26"/>
  <c r="L651" i="26"/>
  <c r="N651" i="26" s="1"/>
  <c r="P651" i="26"/>
  <c r="L654" i="26"/>
  <c r="N654" i="26" s="1"/>
  <c r="P654" i="26"/>
  <c r="L546" i="26"/>
  <c r="N546" i="26" s="1"/>
  <c r="P546" i="26"/>
  <c r="L599" i="26"/>
  <c r="N599" i="26" s="1"/>
  <c r="P599" i="26"/>
  <c r="L647" i="26"/>
  <c r="N647" i="26" s="1"/>
  <c r="P647" i="26"/>
  <c r="L547" i="26"/>
  <c r="N547" i="26" s="1"/>
  <c r="P547" i="26"/>
  <c r="L623" i="26"/>
  <c r="N623" i="26" s="1"/>
  <c r="P623" i="26"/>
  <c r="L657" i="26"/>
  <c r="N657" i="26" s="1"/>
  <c r="P657" i="26"/>
  <c r="P652" i="26"/>
  <c r="L652" i="26"/>
  <c r="N652" i="26" s="1"/>
  <c r="L632" i="26"/>
  <c r="N632" i="26" s="1"/>
  <c r="P632" i="26"/>
  <c r="P544" i="26"/>
  <c r="L544" i="26"/>
  <c r="N544" i="26" s="1"/>
  <c r="L597" i="26"/>
  <c r="N597" i="26" s="1"/>
  <c r="P597" i="26"/>
  <c r="P608" i="26"/>
  <c r="L608" i="26"/>
  <c r="N608" i="26" s="1"/>
  <c r="L645" i="26"/>
  <c r="N645" i="26" s="1"/>
  <c r="P645" i="26"/>
  <c r="L607" i="26"/>
  <c r="N607" i="26" s="1"/>
  <c r="P607" i="26"/>
  <c r="L637" i="26"/>
  <c r="N637" i="26" s="1"/>
  <c r="P637" i="26"/>
  <c r="L634" i="26"/>
  <c r="N634" i="26" s="1"/>
  <c r="P634" i="26"/>
  <c r="L545" i="26"/>
  <c r="N545" i="26" s="1"/>
  <c r="P545" i="26"/>
  <c r="L598" i="26"/>
  <c r="N598" i="26" s="1"/>
  <c r="P598" i="26"/>
  <c r="P262" i="26"/>
  <c r="L262" i="26"/>
  <c r="N262" i="26" s="1"/>
  <c r="L648" i="26"/>
  <c r="N648" i="26" s="1"/>
  <c r="P648" i="26"/>
  <c r="P620" i="26"/>
  <c r="L620" i="26"/>
  <c r="N620" i="26" s="1"/>
  <c r="L617" i="26"/>
  <c r="N617" i="26" s="1"/>
  <c r="P617" i="26"/>
  <c r="L613" i="26"/>
  <c r="N613" i="26" s="1"/>
  <c r="P613" i="26"/>
  <c r="L293" i="26"/>
  <c r="N293" i="26" s="1"/>
  <c r="P293" i="26"/>
  <c r="P287" i="26"/>
  <c r="P298" i="26"/>
  <c r="L313" i="26"/>
  <c r="N313" i="26" s="1"/>
  <c r="P313" i="26"/>
  <c r="L321" i="26"/>
  <c r="N321" i="26" s="1"/>
  <c r="P321" i="26"/>
  <c r="P334" i="26"/>
  <c r="L334" i="26"/>
  <c r="N334" i="26" s="1"/>
  <c r="L329" i="26"/>
  <c r="N329" i="26" s="1"/>
  <c r="P329" i="26"/>
  <c r="P286" i="26"/>
  <c r="L286" i="26"/>
  <c r="N286" i="26" s="1"/>
  <c r="P299" i="26"/>
  <c r="L312" i="26"/>
  <c r="N312" i="26" s="1"/>
  <c r="P312" i="26"/>
  <c r="P320" i="26"/>
  <c r="L320" i="26"/>
  <c r="N320" i="26" s="1"/>
  <c r="L335" i="26"/>
  <c r="N335" i="26" s="1"/>
  <c r="P335" i="26"/>
  <c r="P290" i="26"/>
  <c r="L290" i="26"/>
  <c r="N290" i="26" s="1"/>
  <c r="L292" i="26"/>
  <c r="N292" i="26" s="1"/>
  <c r="P292" i="26"/>
  <c r="L289" i="26"/>
  <c r="N289" i="26" s="1"/>
  <c r="P289" i="26"/>
  <c r="P302" i="26"/>
  <c r="L302" i="26"/>
  <c r="N302" i="26" s="1"/>
  <c r="L315" i="26"/>
  <c r="N315" i="26" s="1"/>
  <c r="P315" i="26"/>
  <c r="P325" i="26"/>
  <c r="L325" i="26"/>
  <c r="N325" i="26" s="1"/>
  <c r="P336" i="26"/>
  <c r="L336" i="26"/>
  <c r="N336" i="26" s="1"/>
  <c r="L308" i="26"/>
  <c r="N308" i="26" s="1"/>
  <c r="P308" i="26"/>
  <c r="P288" i="26"/>
  <c r="L303" i="26"/>
  <c r="N303" i="26" s="1"/>
  <c r="P303" i="26"/>
  <c r="P314" i="26"/>
  <c r="L314" i="26"/>
  <c r="N314" i="26" s="1"/>
  <c r="L324" i="26"/>
  <c r="N324" i="26" s="1"/>
  <c r="P324" i="26"/>
  <c r="L337" i="26"/>
  <c r="N337" i="26" s="1"/>
  <c r="P337" i="26"/>
  <c r="L309" i="26"/>
  <c r="N309" i="26" s="1"/>
  <c r="P309" i="26"/>
  <c r="L311" i="26"/>
  <c r="N311" i="26" s="1"/>
  <c r="P311" i="26"/>
  <c r="P294" i="26"/>
  <c r="P304" i="26"/>
  <c r="L304" i="26"/>
  <c r="N304" i="26" s="1"/>
  <c r="L317" i="26"/>
  <c r="N317" i="26" s="1"/>
  <c r="P317" i="26"/>
  <c r="L330" i="26"/>
  <c r="N330" i="26" s="1"/>
  <c r="P330" i="26"/>
  <c r="P338" i="26"/>
  <c r="L338" i="26"/>
  <c r="N338" i="26" s="1"/>
  <c r="L327" i="26"/>
  <c r="N327" i="26" s="1"/>
  <c r="P327" i="26"/>
  <c r="P295" i="26"/>
  <c r="L305" i="26"/>
  <c r="N305" i="26" s="1"/>
  <c r="P305" i="26"/>
  <c r="P316" i="26"/>
  <c r="L316" i="26"/>
  <c r="N316" i="26" s="1"/>
  <c r="P331" i="26"/>
  <c r="L331" i="26"/>
  <c r="N331" i="26" s="1"/>
  <c r="P339" i="26"/>
  <c r="L339" i="26"/>
  <c r="N339" i="26" s="1"/>
  <c r="P326" i="26"/>
  <c r="L326" i="26"/>
  <c r="N326" i="26" s="1"/>
  <c r="P285" i="26"/>
  <c r="L285" i="26"/>
  <c r="N285" i="26" s="1"/>
  <c r="L296" i="26"/>
  <c r="N296" i="26" s="1"/>
  <c r="P296" i="26"/>
  <c r="P306" i="26"/>
  <c r="L306" i="26"/>
  <c r="N306" i="26" s="1"/>
  <c r="P319" i="26"/>
  <c r="L319" i="26"/>
  <c r="N319" i="26" s="1"/>
  <c r="L332" i="26"/>
  <c r="N332" i="26" s="1"/>
  <c r="P332" i="26"/>
  <c r="P310" i="26"/>
  <c r="L310" i="26"/>
  <c r="N310" i="26" s="1"/>
  <c r="L284" i="26"/>
  <c r="N284" i="26" s="1"/>
  <c r="P284" i="26"/>
  <c r="P297" i="26"/>
  <c r="L307" i="26"/>
  <c r="N307" i="26" s="1"/>
  <c r="P307" i="26"/>
  <c r="L318" i="26"/>
  <c r="N318" i="26" s="1"/>
  <c r="P318" i="26"/>
  <c r="P333" i="26"/>
  <c r="L333" i="26"/>
  <c r="N333" i="26" s="1"/>
  <c r="P291" i="26"/>
  <c r="P328" i="26"/>
  <c r="L328" i="26"/>
  <c r="N328" i="26" s="1"/>
  <c r="P222" i="26"/>
  <c r="Q222" i="26" s="1"/>
  <c r="L129" i="26"/>
  <c r="N129" i="26" s="1"/>
  <c r="P129" i="26"/>
  <c r="P138" i="26"/>
  <c r="L138" i="26"/>
  <c r="N138" i="26" s="1"/>
  <c r="P140" i="26"/>
  <c r="L140" i="26"/>
  <c r="N140" i="26" s="1"/>
  <c r="L139" i="26"/>
  <c r="N139" i="26" s="1"/>
  <c r="P139" i="26"/>
  <c r="L194" i="26"/>
  <c r="N194" i="26" s="1"/>
  <c r="P194" i="26"/>
  <c r="L193" i="26"/>
  <c r="N193" i="26" s="1"/>
  <c r="P193" i="26"/>
  <c r="P767" i="26"/>
  <c r="L767" i="26"/>
  <c r="N767" i="26" s="1"/>
  <c r="P794" i="26"/>
  <c r="L794" i="26"/>
  <c r="N794" i="26" s="1"/>
  <c r="P780" i="26"/>
  <c r="L780" i="26"/>
  <c r="N780" i="26" s="1"/>
  <c r="L764" i="26"/>
  <c r="N764" i="26" s="1"/>
  <c r="P764" i="26"/>
  <c r="P785" i="26"/>
  <c r="L785" i="26"/>
  <c r="N785" i="26" s="1"/>
  <c r="P765" i="26"/>
  <c r="L765" i="26"/>
  <c r="N765" i="26" s="1"/>
  <c r="P793" i="26"/>
  <c r="L793" i="26"/>
  <c r="N793" i="26" s="1"/>
  <c r="P771" i="26"/>
  <c r="L771" i="26"/>
  <c r="N771" i="26" s="1"/>
  <c r="P799" i="26"/>
  <c r="L799" i="26"/>
  <c r="N799" i="26" s="1"/>
  <c r="P789" i="26"/>
  <c r="L789" i="26"/>
  <c r="N789" i="26" s="1"/>
  <c r="P775" i="26"/>
  <c r="L775" i="26"/>
  <c r="N775" i="26" s="1"/>
  <c r="P763" i="26"/>
  <c r="L763" i="26"/>
  <c r="N763" i="26" s="1"/>
  <c r="P778" i="26"/>
  <c r="L778" i="26"/>
  <c r="N778" i="26" s="1"/>
  <c r="L761" i="26"/>
  <c r="N761" i="26" s="1"/>
  <c r="P761" i="26"/>
  <c r="P786" i="26"/>
  <c r="L786" i="26"/>
  <c r="N786" i="26" s="1"/>
  <c r="P770" i="26"/>
  <c r="L770" i="26"/>
  <c r="N770" i="26" s="1"/>
  <c r="P777" i="26"/>
  <c r="L777" i="26"/>
  <c r="N777" i="26" s="1"/>
  <c r="P798" i="26"/>
  <c r="L798" i="26"/>
  <c r="N798" i="26" s="1"/>
  <c r="P788" i="26"/>
  <c r="L788" i="26"/>
  <c r="N788" i="26" s="1"/>
  <c r="P773" i="26"/>
  <c r="L773" i="26"/>
  <c r="N773" i="26" s="1"/>
  <c r="P796" i="26"/>
  <c r="L796" i="26"/>
  <c r="N796" i="26" s="1"/>
  <c r="P776" i="26"/>
  <c r="L776" i="26"/>
  <c r="N776" i="26" s="1"/>
  <c r="P779" i="26"/>
  <c r="L779" i="26"/>
  <c r="N779" i="26" s="1"/>
  <c r="P781" i="26"/>
  <c r="L781" i="26"/>
  <c r="N781" i="26" s="1"/>
  <c r="P766" i="26"/>
  <c r="L766" i="26"/>
  <c r="N766" i="26" s="1"/>
  <c r="P772" i="26"/>
  <c r="L772" i="26"/>
  <c r="N772" i="26" s="1"/>
  <c r="P795" i="26"/>
  <c r="L795" i="26"/>
  <c r="N795" i="26" s="1"/>
  <c r="P784" i="26"/>
  <c r="L784" i="26"/>
  <c r="N784" i="26" s="1"/>
  <c r="P768" i="26"/>
  <c r="L768" i="26"/>
  <c r="N768" i="26" s="1"/>
  <c r="P790" i="26"/>
  <c r="L790" i="26"/>
  <c r="N790" i="26" s="1"/>
  <c r="P769" i="26"/>
  <c r="L769" i="26"/>
  <c r="N769" i="26" s="1"/>
  <c r="P797" i="26"/>
  <c r="L797" i="26"/>
  <c r="N797" i="26" s="1"/>
  <c r="P774" i="26"/>
  <c r="L774" i="26"/>
  <c r="N774" i="26" s="1"/>
  <c r="P762" i="26"/>
  <c r="L762" i="26"/>
  <c r="N762" i="26" s="1"/>
  <c r="P743" i="26"/>
  <c r="L743" i="26"/>
  <c r="N743" i="26" s="1"/>
  <c r="P744" i="26"/>
  <c r="L744" i="26"/>
  <c r="N744" i="26" s="1"/>
  <c r="P750" i="26"/>
  <c r="L750" i="26"/>
  <c r="N750" i="26" s="1"/>
  <c r="P751" i="26"/>
  <c r="L751" i="26"/>
  <c r="N751" i="26" s="1"/>
  <c r="P752" i="26"/>
  <c r="L752" i="26"/>
  <c r="N752" i="26" s="1"/>
  <c r="L756" i="26"/>
  <c r="N756" i="26" s="1"/>
  <c r="P756" i="26"/>
  <c r="P749" i="26"/>
  <c r="L749" i="26"/>
  <c r="N749" i="26" s="1"/>
  <c r="P753" i="26"/>
  <c r="L753" i="26"/>
  <c r="N753" i="26" s="1"/>
  <c r="L745" i="26"/>
  <c r="N745" i="26" s="1"/>
  <c r="P745" i="26"/>
  <c r="L754" i="26"/>
  <c r="N754" i="26" s="1"/>
  <c r="P754" i="26"/>
  <c r="L755" i="26"/>
  <c r="N755" i="26" s="1"/>
  <c r="P755" i="26"/>
  <c r="L748" i="26"/>
  <c r="N748" i="26" s="1"/>
  <c r="P748" i="26"/>
  <c r="P435" i="26"/>
  <c r="Q435" i="26" s="1"/>
  <c r="L432" i="26"/>
  <c r="N432" i="26" s="1"/>
  <c r="Q432" i="26" s="1"/>
  <c r="P686" i="26"/>
  <c r="L526" i="26"/>
  <c r="N526" i="26" s="1"/>
  <c r="P526" i="26"/>
  <c r="P524" i="26"/>
  <c r="L524" i="26"/>
  <c r="N524" i="26" s="1"/>
  <c r="L525" i="26"/>
  <c r="N525" i="26" s="1"/>
  <c r="P525" i="26"/>
  <c r="L521" i="26"/>
  <c r="N521" i="26" s="1"/>
  <c r="P521" i="26"/>
  <c r="L519" i="26"/>
  <c r="N519" i="26" s="1"/>
  <c r="P519" i="26"/>
  <c r="L520" i="26"/>
  <c r="N520" i="26" s="1"/>
  <c r="P520" i="26"/>
  <c r="L517" i="26"/>
  <c r="N517" i="26" s="1"/>
  <c r="P517" i="26"/>
  <c r="P518" i="26"/>
  <c r="L518" i="26"/>
  <c r="N518" i="26" s="1"/>
  <c r="P512" i="26"/>
  <c r="P513" i="26"/>
  <c r="L510" i="26"/>
  <c r="N510" i="26" s="1"/>
  <c r="P510" i="26"/>
  <c r="L514" i="26"/>
  <c r="N514" i="26" s="1"/>
  <c r="P514" i="26"/>
  <c r="P511" i="26"/>
  <c r="L434" i="26"/>
  <c r="N434" i="26" s="1"/>
  <c r="P434" i="26"/>
  <c r="P433" i="26"/>
  <c r="L433" i="26"/>
  <c r="N433" i="26" s="1"/>
  <c r="P497" i="26"/>
  <c r="L497" i="26"/>
  <c r="N497" i="26" s="1"/>
  <c r="L498" i="26"/>
  <c r="N498" i="26" s="1"/>
  <c r="P498" i="26"/>
  <c r="P499" i="26"/>
  <c r="L499" i="26"/>
  <c r="N499" i="26" s="1"/>
  <c r="L500" i="26"/>
  <c r="N500" i="26" s="1"/>
  <c r="P500" i="26"/>
  <c r="P483" i="26"/>
  <c r="Q483" i="26" s="1"/>
  <c r="L494" i="26"/>
  <c r="N494" i="26" s="1"/>
  <c r="P494" i="26"/>
  <c r="P493" i="26"/>
  <c r="L493" i="26"/>
  <c r="N493" i="26" s="1"/>
  <c r="L491" i="26"/>
  <c r="N491" i="26" s="1"/>
  <c r="P491" i="26"/>
  <c r="L492" i="26"/>
  <c r="N492" i="26" s="1"/>
  <c r="P492" i="26"/>
  <c r="P482" i="26"/>
  <c r="L482" i="26"/>
  <c r="N482" i="26" s="1"/>
  <c r="L488" i="26"/>
  <c r="N488" i="26" s="1"/>
  <c r="P488" i="26"/>
  <c r="P486" i="26"/>
  <c r="L486" i="26"/>
  <c r="N486" i="26" s="1"/>
  <c r="L487" i="26"/>
  <c r="N487" i="26" s="1"/>
  <c r="P487" i="26"/>
  <c r="L484" i="26"/>
  <c r="N484" i="26" s="1"/>
  <c r="P484" i="26"/>
  <c r="P485" i="26"/>
  <c r="L485" i="26"/>
  <c r="N485" i="26" s="1"/>
  <c r="P465" i="26"/>
  <c r="Q465" i="26" s="1"/>
  <c r="L479" i="26"/>
  <c r="N479" i="26" s="1"/>
  <c r="P479" i="26"/>
  <c r="P477" i="26"/>
  <c r="L477" i="26"/>
  <c r="N477" i="26" s="1"/>
  <c r="L478" i="26"/>
  <c r="N478" i="26" s="1"/>
  <c r="P478" i="26"/>
  <c r="L475" i="26"/>
  <c r="N475" i="26" s="1"/>
  <c r="P475" i="26"/>
  <c r="L474" i="26"/>
  <c r="N474" i="26" s="1"/>
  <c r="P474" i="26"/>
  <c r="P476" i="26"/>
  <c r="L476" i="26"/>
  <c r="N476" i="26" s="1"/>
  <c r="L473" i="26"/>
  <c r="N473" i="26" s="1"/>
  <c r="P473" i="26"/>
  <c r="L469" i="26"/>
  <c r="N469" i="26" s="1"/>
  <c r="P469" i="26"/>
  <c r="L466" i="26"/>
  <c r="N466" i="26" s="1"/>
  <c r="P466" i="26"/>
  <c r="P467" i="26"/>
  <c r="L467" i="26"/>
  <c r="N467" i="26" s="1"/>
  <c r="P464" i="26"/>
  <c r="L464" i="26"/>
  <c r="N464" i="26" s="1"/>
  <c r="L470" i="26"/>
  <c r="N470" i="26" s="1"/>
  <c r="P470" i="26"/>
  <c r="P468" i="26"/>
  <c r="L468" i="26"/>
  <c r="N468" i="26" s="1"/>
  <c r="L461" i="26"/>
  <c r="N461" i="26" s="1"/>
  <c r="P461" i="26"/>
  <c r="P459" i="26"/>
  <c r="L459" i="26"/>
  <c r="N459" i="26" s="1"/>
  <c r="L460" i="26"/>
  <c r="N460" i="26" s="1"/>
  <c r="P460" i="26"/>
  <c r="L457" i="26"/>
  <c r="N457" i="26" s="1"/>
  <c r="P457" i="26"/>
  <c r="L456" i="26"/>
  <c r="N456" i="26" s="1"/>
  <c r="P456" i="26"/>
  <c r="P458" i="26"/>
  <c r="L458" i="26"/>
  <c r="N458" i="26" s="1"/>
  <c r="P455" i="26"/>
  <c r="L455" i="26"/>
  <c r="N455" i="26" s="1"/>
  <c r="L447" i="26"/>
  <c r="N447" i="26" s="1"/>
  <c r="P447" i="26"/>
  <c r="L452" i="26"/>
  <c r="N452" i="26" s="1"/>
  <c r="P452" i="26"/>
  <c r="P450" i="26"/>
  <c r="L450" i="26"/>
  <c r="N450" i="26" s="1"/>
  <c r="L451" i="26"/>
  <c r="N451" i="26" s="1"/>
  <c r="P451" i="26"/>
  <c r="L448" i="26"/>
  <c r="N448" i="26" s="1"/>
  <c r="P448" i="26"/>
  <c r="P449" i="26"/>
  <c r="L449" i="26"/>
  <c r="N449" i="26" s="1"/>
  <c r="P442" i="26"/>
  <c r="Q442" i="26" s="1"/>
  <c r="L380" i="26"/>
  <c r="N380" i="26" s="1"/>
  <c r="Q380" i="26" s="1"/>
  <c r="L443" i="26"/>
  <c r="N443" i="26" s="1"/>
  <c r="P443" i="26"/>
  <c r="P427" i="26"/>
  <c r="L427" i="26"/>
  <c r="N427" i="26" s="1"/>
  <c r="P416" i="26"/>
  <c r="Q416" i="26" s="1"/>
  <c r="L429" i="26"/>
  <c r="N429" i="26" s="1"/>
  <c r="P429" i="26"/>
  <c r="L424" i="26"/>
  <c r="N424" i="26" s="1"/>
  <c r="P424" i="26"/>
  <c r="L428" i="26"/>
  <c r="N428" i="26" s="1"/>
  <c r="P428" i="26"/>
  <c r="P426" i="26"/>
  <c r="L426" i="26"/>
  <c r="N426" i="26" s="1"/>
  <c r="L425" i="26"/>
  <c r="N425" i="26" s="1"/>
  <c r="P425" i="26"/>
  <c r="P423" i="26"/>
  <c r="L423" i="26"/>
  <c r="N423" i="26" s="1"/>
  <c r="L420" i="26"/>
  <c r="N420" i="26" s="1"/>
  <c r="P420" i="26"/>
  <c r="P417" i="26"/>
  <c r="L417" i="26"/>
  <c r="N417" i="26" s="1"/>
  <c r="L414" i="26"/>
  <c r="N414" i="26" s="1"/>
  <c r="P414" i="26"/>
  <c r="L418" i="26"/>
  <c r="N418" i="26" s="1"/>
  <c r="P418" i="26"/>
  <c r="L419" i="26"/>
  <c r="N419" i="26" s="1"/>
  <c r="P419" i="26"/>
  <c r="L415" i="26"/>
  <c r="N415" i="26" s="1"/>
  <c r="P415" i="26"/>
  <c r="L409" i="26"/>
  <c r="N409" i="26" s="1"/>
  <c r="P409" i="26"/>
  <c r="P398" i="26"/>
  <c r="Q398" i="26" s="1"/>
  <c r="L410" i="26"/>
  <c r="N410" i="26" s="1"/>
  <c r="P410" i="26"/>
  <c r="L406" i="26"/>
  <c r="N406" i="26" s="1"/>
  <c r="P406" i="26"/>
  <c r="L411" i="26"/>
  <c r="N411" i="26" s="1"/>
  <c r="P411" i="26"/>
  <c r="P408" i="26"/>
  <c r="L408" i="26"/>
  <c r="N408" i="26" s="1"/>
  <c r="L407" i="26"/>
  <c r="N407" i="26" s="1"/>
  <c r="P407" i="26"/>
  <c r="L405" i="26"/>
  <c r="N405" i="26" s="1"/>
  <c r="P405" i="26"/>
  <c r="L396" i="26"/>
  <c r="N396" i="26" s="1"/>
  <c r="P396" i="26"/>
  <c r="L400" i="26"/>
  <c r="N400" i="26" s="1"/>
  <c r="P400" i="26"/>
  <c r="P399" i="26"/>
  <c r="L399" i="26"/>
  <c r="N399" i="26" s="1"/>
  <c r="L356" i="26"/>
  <c r="N356" i="26" s="1"/>
  <c r="Q356" i="26" s="1"/>
  <c r="L401" i="26"/>
  <c r="N401" i="26" s="1"/>
  <c r="P401" i="26"/>
  <c r="L397" i="26"/>
  <c r="N397" i="26" s="1"/>
  <c r="P397" i="26"/>
  <c r="L402" i="26"/>
  <c r="N402" i="26" s="1"/>
  <c r="P402" i="26"/>
  <c r="L393" i="26"/>
  <c r="N393" i="26" s="1"/>
  <c r="P393" i="26"/>
  <c r="P362" i="26"/>
  <c r="Q362" i="26" s="1"/>
  <c r="P387" i="26"/>
  <c r="L387" i="26"/>
  <c r="N387" i="26" s="1"/>
  <c r="L392" i="26"/>
  <c r="N392" i="26" s="1"/>
  <c r="P392" i="26"/>
  <c r="P390" i="26"/>
  <c r="L390" i="26"/>
  <c r="N390" i="26" s="1"/>
  <c r="L389" i="26"/>
  <c r="N389" i="26" s="1"/>
  <c r="P389" i="26"/>
  <c r="L388" i="26"/>
  <c r="N388" i="26" s="1"/>
  <c r="P388" i="26"/>
  <c r="P391" i="26"/>
  <c r="L391" i="26"/>
  <c r="N391" i="26" s="1"/>
  <c r="P381" i="26"/>
  <c r="L381" i="26"/>
  <c r="N381" i="26" s="1"/>
  <c r="L383" i="26"/>
  <c r="N383" i="26" s="1"/>
  <c r="P383" i="26"/>
  <c r="L378" i="26"/>
  <c r="N378" i="26" s="1"/>
  <c r="P378" i="26"/>
  <c r="L384" i="26"/>
  <c r="N384" i="26" s="1"/>
  <c r="P384" i="26"/>
  <c r="L379" i="26"/>
  <c r="N379" i="26" s="1"/>
  <c r="P379" i="26"/>
  <c r="L382" i="26"/>
  <c r="N382" i="26" s="1"/>
  <c r="P382" i="26"/>
  <c r="L374" i="26"/>
  <c r="N374" i="26" s="1"/>
  <c r="P374" i="26"/>
  <c r="L371" i="26"/>
  <c r="N371" i="26" s="1"/>
  <c r="P371" i="26"/>
  <c r="L370" i="26"/>
  <c r="N370" i="26" s="1"/>
  <c r="P370" i="26"/>
  <c r="P373" i="26"/>
  <c r="L373" i="26"/>
  <c r="N373" i="26" s="1"/>
  <c r="P369" i="26"/>
  <c r="L369" i="26"/>
  <c r="N369" i="26" s="1"/>
  <c r="P372" i="26"/>
  <c r="L372" i="26"/>
  <c r="N372" i="26" s="1"/>
  <c r="L375" i="26"/>
  <c r="N375" i="26" s="1"/>
  <c r="P375" i="26"/>
  <c r="L240" i="26"/>
  <c r="N240" i="26" s="1"/>
  <c r="Q240" i="26" s="1"/>
  <c r="L366" i="26"/>
  <c r="N366" i="26" s="1"/>
  <c r="P366" i="26"/>
  <c r="P360" i="26"/>
  <c r="L360" i="26"/>
  <c r="N360" i="26" s="1"/>
  <c r="L365" i="26"/>
  <c r="N365" i="26" s="1"/>
  <c r="P365" i="26"/>
  <c r="L361" i="26"/>
  <c r="N361" i="26" s="1"/>
  <c r="P361" i="26"/>
  <c r="P363" i="26"/>
  <c r="L363" i="26"/>
  <c r="N363" i="26" s="1"/>
  <c r="P364" i="26"/>
  <c r="L364" i="26"/>
  <c r="N364" i="26" s="1"/>
  <c r="P236" i="26"/>
  <c r="L235" i="26"/>
  <c r="N235" i="26" s="1"/>
  <c r="P235" i="26"/>
  <c r="L237" i="26"/>
  <c r="N237" i="26" s="1"/>
  <c r="P237" i="26"/>
  <c r="L234" i="26"/>
  <c r="N234" i="26" s="1"/>
  <c r="P234" i="26"/>
  <c r="L248" i="26"/>
  <c r="N248" i="26" s="1"/>
  <c r="P248" i="26"/>
  <c r="L249" i="26"/>
  <c r="N249" i="26" s="1"/>
  <c r="P249" i="26"/>
  <c r="P256" i="26"/>
  <c r="L256" i="26"/>
  <c r="N256" i="26" s="1"/>
  <c r="P259" i="26"/>
  <c r="L257" i="26"/>
  <c r="N257" i="26" s="1"/>
  <c r="P257" i="26"/>
  <c r="L255" i="26"/>
  <c r="N255" i="26" s="1"/>
  <c r="P255" i="26"/>
  <c r="P258" i="26"/>
  <c r="L258" i="26"/>
  <c r="N258" i="26" s="1"/>
  <c r="L231" i="26"/>
  <c r="N231" i="26" s="1"/>
  <c r="P231" i="26"/>
  <c r="L229" i="26"/>
  <c r="N229" i="26" s="1"/>
  <c r="P229" i="26"/>
  <c r="P230" i="26"/>
  <c r="L230" i="26"/>
  <c r="N230" i="26" s="1"/>
  <c r="L184" i="26"/>
  <c r="N184" i="26" s="1"/>
  <c r="P184" i="26"/>
  <c r="L183" i="26"/>
  <c r="N183" i="26" s="1"/>
  <c r="P183" i="26"/>
  <c r="P172" i="26"/>
  <c r="L172" i="26"/>
  <c r="N172" i="26" s="1"/>
  <c r="P165" i="26"/>
  <c r="L165" i="26"/>
  <c r="N165" i="26" s="1"/>
  <c r="L174" i="26"/>
  <c r="N174" i="26" s="1"/>
  <c r="P174" i="26"/>
  <c r="L168" i="26"/>
  <c r="N168" i="26" s="1"/>
  <c r="P168" i="26"/>
  <c r="L175" i="26"/>
  <c r="N175" i="26" s="1"/>
  <c r="P175" i="26"/>
  <c r="L170" i="26"/>
  <c r="N170" i="26" s="1"/>
  <c r="P170" i="26"/>
  <c r="P173" i="26"/>
  <c r="L173" i="26"/>
  <c r="N173" i="26" s="1"/>
  <c r="P171" i="26"/>
  <c r="L171" i="26"/>
  <c r="N171" i="26" s="1"/>
  <c r="P166" i="26"/>
  <c r="L166" i="26"/>
  <c r="N166" i="26" s="1"/>
  <c r="L169" i="26"/>
  <c r="N169" i="26" s="1"/>
  <c r="P169" i="26"/>
  <c r="L167" i="26"/>
  <c r="N167" i="26" s="1"/>
  <c r="P167" i="26"/>
  <c r="Q147" i="26"/>
  <c r="P79" i="26"/>
  <c r="L79" i="26"/>
  <c r="N79" i="26" s="1"/>
  <c r="P80" i="26"/>
  <c r="L80" i="26"/>
  <c r="N80" i="26" s="1"/>
  <c r="P533" i="26"/>
  <c r="Q533" i="26" s="1"/>
  <c r="L278" i="26"/>
  <c r="N278" i="26" s="1"/>
  <c r="P278" i="26"/>
  <c r="L532" i="26"/>
  <c r="N532" i="26" s="1"/>
  <c r="P532" i="26"/>
  <c r="P142" i="26"/>
  <c r="L142" i="26"/>
  <c r="N142" i="26" s="1"/>
  <c r="M816" i="26"/>
  <c r="M815" i="26"/>
  <c r="I742" i="26"/>
  <c r="I530" i="26"/>
  <c r="I529" i="26"/>
  <c r="I528" i="26"/>
  <c r="I279" i="26"/>
  <c r="I213" i="26"/>
  <c r="I212" i="26"/>
  <c r="I192" i="26"/>
  <c r="I164" i="26"/>
  <c r="I163" i="26"/>
  <c r="I162" i="26"/>
  <c r="I161" i="26"/>
  <c r="I128" i="26"/>
  <c r="I98" i="26"/>
  <c r="I97" i="26"/>
  <c r="I94" i="26"/>
  <c r="I93" i="26"/>
  <c r="I92" i="26"/>
  <c r="I89" i="26"/>
  <c r="I88" i="26"/>
  <c r="I87" i="26"/>
  <c r="I84" i="26"/>
  <c r="I83" i="26"/>
  <c r="I77" i="26"/>
  <c r="I76" i="26"/>
  <c r="I74" i="26"/>
  <c r="I73" i="26"/>
  <c r="I71" i="26"/>
  <c r="I70" i="26"/>
  <c r="M25" i="26"/>
  <c r="M24" i="26"/>
  <c r="M23" i="26"/>
  <c r="M22" i="26"/>
  <c r="M21" i="26"/>
  <c r="A21" i="26"/>
  <c r="Q345" i="26" l="1"/>
  <c r="Q554" i="26"/>
  <c r="Q136" i="26"/>
  <c r="Q137" i="26"/>
  <c r="Q344" i="26"/>
  <c r="A22" i="26"/>
  <c r="Q787" i="26"/>
  <c r="Q700" i="26"/>
  <c r="Q219" i="26"/>
  <c r="Q701" i="26"/>
  <c r="Q341" i="26"/>
  <c r="Q340" i="26"/>
  <c r="Q734" i="26"/>
  <c r="Q735" i="26"/>
  <c r="Q720" i="26"/>
  <c r="Q716" i="26"/>
  <c r="Q705" i="26"/>
  <c r="Q695" i="26"/>
  <c r="Q712" i="26"/>
  <c r="Q715" i="26"/>
  <c r="Q713" i="26"/>
  <c r="Q707" i="26"/>
  <c r="Q719" i="26"/>
  <c r="Q717" i="26"/>
  <c r="Q718" i="26"/>
  <c r="Q703" i="26"/>
  <c r="Q691" i="26"/>
  <c r="Q693" i="26"/>
  <c r="Q694" i="26"/>
  <c r="Q692" i="26"/>
  <c r="Q723" i="26"/>
  <c r="Q683" i="26"/>
  <c r="Q708" i="26"/>
  <c r="Q690" i="26"/>
  <c r="Q714" i="26"/>
  <c r="Q702" i="26"/>
  <c r="Q706" i="26"/>
  <c r="Q704" i="26"/>
  <c r="Q697" i="26"/>
  <c r="Q696" i="26"/>
  <c r="Q689" i="26"/>
  <c r="Q699" i="26"/>
  <c r="Q698" i="26"/>
  <c r="Q640" i="26"/>
  <c r="Q273" i="26"/>
  <c r="Q272" i="26"/>
  <c r="Q132" i="26"/>
  <c r="Q133" i="26"/>
  <c r="Q217" i="26"/>
  <c r="Q266" i="26"/>
  <c r="Q216" i="26"/>
  <c r="Q267" i="26"/>
  <c r="Q270" i="26"/>
  <c r="Q268" i="26"/>
  <c r="Q589" i="26"/>
  <c r="Q584" i="26"/>
  <c r="Q670" i="26"/>
  <c r="Q669" i="26"/>
  <c r="Q667" i="26"/>
  <c r="Q197" i="26"/>
  <c r="Q666" i="26"/>
  <c r="Q665" i="26"/>
  <c r="Q668" i="26"/>
  <c r="Q572" i="26"/>
  <c r="Q588" i="26"/>
  <c r="Q579" i="26"/>
  <c r="Q583" i="26"/>
  <c r="Q586" i="26"/>
  <c r="Q585" i="26"/>
  <c r="Q587" i="26"/>
  <c r="Q590" i="26"/>
  <c r="Q580" i="26"/>
  <c r="Q568" i="26"/>
  <c r="Q651" i="26"/>
  <c r="Q611" i="26"/>
  <c r="Q616" i="26"/>
  <c r="Q630" i="26"/>
  <c r="Q605" i="26"/>
  <c r="Q601" i="26"/>
  <c r="Q562" i="26"/>
  <c r="Q602" i="26"/>
  <c r="Q655" i="26"/>
  <c r="Q558" i="26"/>
  <c r="Q555" i="26"/>
  <c r="Q606" i="26"/>
  <c r="Q556" i="26"/>
  <c r="Q653" i="26"/>
  <c r="Q622" i="26"/>
  <c r="Q631" i="26"/>
  <c r="Q550" i="26"/>
  <c r="Q552" i="26"/>
  <c r="Q620" i="26"/>
  <c r="Q262" i="26"/>
  <c r="Q319" i="26"/>
  <c r="Q337" i="26"/>
  <c r="Q289" i="26"/>
  <c r="Q597" i="26"/>
  <c r="Q330" i="26"/>
  <c r="Q553" i="26"/>
  <c r="Q548" i="26"/>
  <c r="Q296" i="26"/>
  <c r="Q647" i="26"/>
  <c r="Q291" i="26"/>
  <c r="Q318" i="26"/>
  <c r="Q297" i="26"/>
  <c r="Q305" i="26"/>
  <c r="Q327" i="26"/>
  <c r="Q311" i="26"/>
  <c r="Q288" i="26"/>
  <c r="Q315" i="26"/>
  <c r="Q329" i="26"/>
  <c r="Q321" i="26"/>
  <c r="Q298" i="26"/>
  <c r="Q293" i="26"/>
  <c r="Q617" i="26"/>
  <c r="Q648" i="26"/>
  <c r="Q598" i="26"/>
  <c r="Q545" i="26"/>
  <c r="Q637" i="26"/>
  <c r="Q645" i="26"/>
  <c r="Q547" i="26"/>
  <c r="Q546" i="26"/>
  <c r="Q596" i="26"/>
  <c r="Q540" i="26"/>
  <c r="Q644" i="26"/>
  <c r="Q621" i="26"/>
  <c r="Q638" i="26"/>
  <c r="Q578" i="26"/>
  <c r="Q575" i="26"/>
  <c r="Q571" i="26"/>
  <c r="Q567" i="26"/>
  <c r="Q609" i="26"/>
  <c r="Q656" i="26"/>
  <c r="Q542" i="26"/>
  <c r="Q639" i="26"/>
  <c r="Q544" i="26"/>
  <c r="Q652" i="26"/>
  <c r="Q635" i="26"/>
  <c r="Q643" i="26"/>
  <c r="Q595" i="26"/>
  <c r="Q539" i="26"/>
  <c r="Q560" i="26"/>
  <c r="Q659" i="26"/>
  <c r="Q624" i="26"/>
  <c r="Q625" i="26"/>
  <c r="Q543" i="26"/>
  <c r="Q633" i="26"/>
  <c r="Q263" i="26"/>
  <c r="Q661" i="26"/>
  <c r="Q658" i="26"/>
  <c r="Q636" i="26"/>
  <c r="Q265" i="26"/>
  <c r="Q541" i="26"/>
  <c r="Q333" i="26"/>
  <c r="Q307" i="26"/>
  <c r="Q284" i="26"/>
  <c r="Q332" i="26"/>
  <c r="Q285" i="26"/>
  <c r="Q613" i="26"/>
  <c r="Q634" i="26"/>
  <c r="Q607" i="26"/>
  <c r="Q608" i="26"/>
  <c r="Q632" i="26"/>
  <c r="Q657" i="26"/>
  <c r="Q623" i="26"/>
  <c r="Q599" i="26"/>
  <c r="Q654" i="26"/>
  <c r="Q646" i="26"/>
  <c r="Q660" i="26"/>
  <c r="Q594" i="26"/>
  <c r="Q677" i="26"/>
  <c r="Q600" i="26"/>
  <c r="Q610" i="26"/>
  <c r="Q302" i="26"/>
  <c r="Q286" i="26"/>
  <c r="Q334" i="26"/>
  <c r="Q295" i="26"/>
  <c r="Q317" i="26"/>
  <c r="Q309" i="26"/>
  <c r="Q324" i="26"/>
  <c r="Q303" i="26"/>
  <c r="Q308" i="26"/>
  <c r="Q325" i="26"/>
  <c r="Q292" i="26"/>
  <c r="Q335" i="26"/>
  <c r="Q312" i="26"/>
  <c r="Q313" i="26"/>
  <c r="Q328" i="26"/>
  <c r="Q306" i="26"/>
  <c r="Q339" i="26"/>
  <c r="Q316" i="26"/>
  <c r="Q338" i="26"/>
  <c r="Q294" i="26"/>
  <c r="Q287" i="26"/>
  <c r="Q310" i="26"/>
  <c r="Q326" i="26"/>
  <c r="Q331" i="26"/>
  <c r="Q304" i="26"/>
  <c r="Q314" i="26"/>
  <c r="Q336" i="26"/>
  <c r="Q290" i="26"/>
  <c r="Q320" i="26"/>
  <c r="Q299" i="26"/>
  <c r="Q129" i="26"/>
  <c r="Q140" i="26"/>
  <c r="Q138" i="26"/>
  <c r="Q139" i="26"/>
  <c r="Q774" i="26"/>
  <c r="Q795" i="26"/>
  <c r="Q779" i="26"/>
  <c r="Q777" i="26"/>
  <c r="Q786" i="26"/>
  <c r="Q778" i="26"/>
  <c r="Q775" i="26"/>
  <c r="Q793" i="26"/>
  <c r="Q193" i="26"/>
  <c r="Q194" i="26"/>
  <c r="Q789" i="26"/>
  <c r="Q780" i="26"/>
  <c r="Q799" i="26"/>
  <c r="Q796" i="26"/>
  <c r="Q797" i="26"/>
  <c r="Q790" i="26"/>
  <c r="Q784" i="26"/>
  <c r="Q772" i="26"/>
  <c r="Q781" i="26"/>
  <c r="Q776" i="26"/>
  <c r="Q773" i="26"/>
  <c r="Q761" i="26"/>
  <c r="Q771" i="26"/>
  <c r="Q764" i="26"/>
  <c r="Q762" i="26"/>
  <c r="Q798" i="26"/>
  <c r="Q770" i="26"/>
  <c r="Q763" i="26"/>
  <c r="Q765" i="26"/>
  <c r="Q794" i="26"/>
  <c r="Q769" i="26"/>
  <c r="Q768" i="26"/>
  <c r="Q766" i="26"/>
  <c r="Q788" i="26"/>
  <c r="Q785" i="26"/>
  <c r="Q767" i="26"/>
  <c r="Q755" i="26"/>
  <c r="Q745" i="26"/>
  <c r="Q756" i="26"/>
  <c r="Q753" i="26"/>
  <c r="Q749" i="26"/>
  <c r="Q752" i="26"/>
  <c r="Q748" i="26"/>
  <c r="Q750" i="26"/>
  <c r="Q751" i="26"/>
  <c r="Q744" i="26"/>
  <c r="Q754" i="26"/>
  <c r="Q743" i="26"/>
  <c r="Q686" i="26"/>
  <c r="Q524" i="26"/>
  <c r="Q514" i="26"/>
  <c r="Q525" i="26"/>
  <c r="Q510" i="26"/>
  <c r="Q512" i="26"/>
  <c r="Q517" i="26"/>
  <c r="Q526" i="26"/>
  <c r="Q513" i="26"/>
  <c r="Q519" i="26"/>
  <c r="Q520" i="26"/>
  <c r="Q521" i="26"/>
  <c r="Q518" i="26"/>
  <c r="Q511" i="26"/>
  <c r="Q434" i="26"/>
  <c r="Q500" i="26"/>
  <c r="Q498" i="26"/>
  <c r="Q433" i="26"/>
  <c r="Q499" i="26"/>
  <c r="Q497" i="26"/>
  <c r="Q478" i="26"/>
  <c r="Q492" i="26"/>
  <c r="Q488" i="26"/>
  <c r="Q474" i="26"/>
  <c r="Q491" i="26"/>
  <c r="Q494" i="26"/>
  <c r="Q473" i="26"/>
  <c r="Q479" i="26"/>
  <c r="Q493" i="26"/>
  <c r="Q476" i="26"/>
  <c r="Q477" i="26"/>
  <c r="Q487" i="26"/>
  <c r="Q486" i="26"/>
  <c r="Q485" i="26"/>
  <c r="Q484" i="26"/>
  <c r="Q482" i="26"/>
  <c r="Q456" i="26"/>
  <c r="Q460" i="26"/>
  <c r="Q461" i="26"/>
  <c r="Q470" i="26"/>
  <c r="Q475" i="26"/>
  <c r="Q464" i="26"/>
  <c r="Q467" i="26"/>
  <c r="Q468" i="26"/>
  <c r="Q466" i="26"/>
  <c r="Q469" i="26"/>
  <c r="Q458" i="26"/>
  <c r="Q459" i="26"/>
  <c r="Q447" i="26"/>
  <c r="Q455" i="26"/>
  <c r="Q457" i="26"/>
  <c r="Q451" i="26"/>
  <c r="Q452" i="26"/>
  <c r="Q449" i="26"/>
  <c r="Q448" i="26"/>
  <c r="Q450" i="26"/>
  <c r="Q443" i="26"/>
  <c r="Q424" i="26"/>
  <c r="Q423" i="26"/>
  <c r="Q427" i="26"/>
  <c r="Q419" i="26"/>
  <c r="Q426" i="26"/>
  <c r="Q425" i="26"/>
  <c r="Q428" i="26"/>
  <c r="Q429" i="26"/>
  <c r="Q417" i="26"/>
  <c r="Q415" i="26"/>
  <c r="Q400" i="26"/>
  <c r="Q405" i="26"/>
  <c r="Q406" i="26"/>
  <c r="Q418" i="26"/>
  <c r="Q414" i="26"/>
  <c r="Q420" i="26"/>
  <c r="Q408" i="26"/>
  <c r="Q409" i="26"/>
  <c r="Q396" i="26"/>
  <c r="Q407" i="26"/>
  <c r="Q411" i="26"/>
  <c r="Q410" i="26"/>
  <c r="Q388" i="26"/>
  <c r="Q393" i="26"/>
  <c r="Q397" i="26"/>
  <c r="Q389" i="26"/>
  <c r="Q392" i="26"/>
  <c r="Q402" i="26"/>
  <c r="Q401" i="26"/>
  <c r="Q399" i="26"/>
  <c r="Q379" i="26"/>
  <c r="Q391" i="26"/>
  <c r="Q382" i="26"/>
  <c r="Q381" i="26"/>
  <c r="Q390" i="26"/>
  <c r="Q387" i="26"/>
  <c r="Q384" i="26"/>
  <c r="Q383" i="26"/>
  <c r="Q378" i="26"/>
  <c r="Q371" i="26"/>
  <c r="Q370" i="26"/>
  <c r="Q372" i="26"/>
  <c r="Q373" i="26"/>
  <c r="Q375" i="26"/>
  <c r="Q374" i="26"/>
  <c r="Q369" i="26"/>
  <c r="Q363" i="26"/>
  <c r="Q361" i="26"/>
  <c r="Q364" i="26"/>
  <c r="Q360" i="26"/>
  <c r="Q234" i="26"/>
  <c r="Q235" i="26"/>
  <c r="Q365" i="26"/>
  <c r="Q366" i="26"/>
  <c r="Q249" i="26"/>
  <c r="Q237" i="26"/>
  <c r="Q236" i="26"/>
  <c r="Q255" i="26"/>
  <c r="Q248" i="26"/>
  <c r="Q259" i="26"/>
  <c r="Q258" i="26"/>
  <c r="Q256" i="26"/>
  <c r="Q257" i="26"/>
  <c r="Q229" i="26"/>
  <c r="Q231" i="26"/>
  <c r="Q230" i="26"/>
  <c r="Q184" i="26"/>
  <c r="Q183" i="26"/>
  <c r="Q169" i="26"/>
  <c r="Q170" i="26"/>
  <c r="Q168" i="26"/>
  <c r="Q173" i="26"/>
  <c r="Q172" i="26"/>
  <c r="Q166" i="26"/>
  <c r="Q171" i="26"/>
  <c r="Q165" i="26"/>
  <c r="Q167" i="26"/>
  <c r="Q175" i="26"/>
  <c r="Q174" i="26"/>
  <c r="Q80" i="26"/>
  <c r="Q79" i="26"/>
  <c r="I812" i="26"/>
  <c r="I160" i="26"/>
  <c r="I207" i="26"/>
  <c r="Q278" i="26"/>
  <c r="Q532" i="26"/>
  <c r="Q142" i="26"/>
  <c r="I504" i="26"/>
  <c r="I354" i="26"/>
  <c r="I440" i="26"/>
  <c r="I505" i="26"/>
  <c r="I355" i="26"/>
  <c r="I438" i="26"/>
  <c r="I441" i="26"/>
  <c r="I507" i="26"/>
  <c r="I357" i="26"/>
  <c r="I444" i="26"/>
  <c r="A23" i="26" l="1"/>
  <c r="R281" i="26"/>
  <c r="I352" i="26"/>
  <c r="I439" i="26"/>
  <c r="A24" i="26" l="1"/>
  <c r="I503" i="26"/>
  <c r="I506" i="26"/>
  <c r="I353" i="26"/>
  <c r="H502" i="26"/>
  <c r="I502" i="26" s="1"/>
  <c r="H437" i="26"/>
  <c r="I437" i="26" s="1"/>
  <c r="H351" i="26"/>
  <c r="I351" i="26" s="1"/>
  <c r="L41" i="26"/>
  <c r="N41" i="26" s="1"/>
  <c r="Q41" i="26" s="1"/>
  <c r="L31" i="26"/>
  <c r="N31" i="26" s="1"/>
  <c r="Q31" i="26" s="1"/>
  <c r="L28" i="26"/>
  <c r="N28" i="26" s="1"/>
  <c r="Q28" i="26" s="1"/>
  <c r="L23" i="26"/>
  <c r="N23" i="26" s="1"/>
  <c r="Q23" i="26" s="1"/>
  <c r="L54" i="26"/>
  <c r="N54" i="26" s="1"/>
  <c r="Q54" i="26" s="1"/>
  <c r="L30" i="26"/>
  <c r="N30" i="26" s="1"/>
  <c r="Q30" i="26" s="1"/>
  <c r="A25" i="26" l="1"/>
  <c r="L506" i="26"/>
  <c r="N506" i="26" s="1"/>
  <c r="P506" i="26"/>
  <c r="P353" i="26"/>
  <c r="L353" i="26"/>
  <c r="N353" i="26" s="1"/>
  <c r="L88" i="26"/>
  <c r="N88" i="26" s="1"/>
  <c r="P88" i="26"/>
  <c r="L157" i="26"/>
  <c r="N157" i="26" s="1"/>
  <c r="P157" i="26"/>
  <c r="L178" i="26"/>
  <c r="N178" i="26" s="1"/>
  <c r="P178" i="26"/>
  <c r="L77" i="26"/>
  <c r="N77" i="26" s="1"/>
  <c r="P77" i="26"/>
  <c r="L161" i="26"/>
  <c r="N161" i="26" s="1"/>
  <c r="P161" i="26"/>
  <c r="L179" i="26"/>
  <c r="N179" i="26" s="1"/>
  <c r="P179" i="26"/>
  <c r="P529" i="26"/>
  <c r="L529" i="26"/>
  <c r="N529" i="26" s="1"/>
  <c r="P123" i="26"/>
  <c r="L112" i="26"/>
  <c r="N112" i="26" s="1"/>
  <c r="P112" i="26"/>
  <c r="L110" i="26"/>
  <c r="N110" i="26" s="1"/>
  <c r="P110" i="26"/>
  <c r="L117" i="26"/>
  <c r="N117" i="26" s="1"/>
  <c r="P117" i="26"/>
  <c r="L118" i="26"/>
  <c r="N118" i="26" s="1"/>
  <c r="P118" i="26"/>
  <c r="P103" i="26"/>
  <c r="L103" i="26"/>
  <c r="N103" i="26" s="1"/>
  <c r="P203" i="26"/>
  <c r="L203" i="26"/>
  <c r="N203" i="26" s="1"/>
  <c r="P528" i="26"/>
  <c r="L528" i="26"/>
  <c r="N528" i="26" s="1"/>
  <c r="P242" i="26"/>
  <c r="L444" i="26"/>
  <c r="N444" i="26" s="1"/>
  <c r="P444" i="26"/>
  <c r="L107" i="26"/>
  <c r="N107" i="26" s="1"/>
  <c r="P107" i="26"/>
  <c r="P244" i="26"/>
  <c r="L244" i="26"/>
  <c r="N244" i="26" s="1"/>
  <c r="L441" i="26"/>
  <c r="N441" i="26" s="1"/>
  <c r="P441" i="26"/>
  <c r="P357" i="26"/>
  <c r="L357" i="26"/>
  <c r="N357" i="26" s="1"/>
  <c r="L94" i="26"/>
  <c r="N94" i="26" s="1"/>
  <c r="P94" i="26"/>
  <c r="P71" i="26"/>
  <c r="L71" i="26"/>
  <c r="N71" i="26" s="1"/>
  <c r="P93" i="26"/>
  <c r="L93" i="26"/>
  <c r="N93" i="26" s="1"/>
  <c r="L162" i="26"/>
  <c r="N162" i="26" s="1"/>
  <c r="P162" i="26"/>
  <c r="L84" i="26"/>
  <c r="N84" i="26" s="1"/>
  <c r="P84" i="26"/>
  <c r="L160" i="26"/>
  <c r="N160" i="26" s="1"/>
  <c r="P160" i="26"/>
  <c r="L187" i="26"/>
  <c r="N187" i="26" s="1"/>
  <c r="P187" i="26"/>
  <c r="P128" i="26"/>
  <c r="L128" i="26"/>
  <c r="N128" i="26" s="1"/>
  <c r="P120" i="26"/>
  <c r="L120" i="26"/>
  <c r="N120" i="26" s="1"/>
  <c r="P742" i="26"/>
  <c r="L742" i="26"/>
  <c r="N742" i="26" s="1"/>
  <c r="P241" i="26"/>
  <c r="L241" i="26"/>
  <c r="N241" i="26" s="1"/>
  <c r="P106" i="26"/>
  <c r="L106" i="26"/>
  <c r="N106" i="26" s="1"/>
  <c r="L192" i="26"/>
  <c r="N192" i="26" s="1"/>
  <c r="P192" i="26"/>
  <c r="P251" i="26"/>
  <c r="L251" i="26"/>
  <c r="N251" i="26" s="1"/>
  <c r="L505" i="26"/>
  <c r="N505" i="26" s="1"/>
  <c r="P505" i="26"/>
  <c r="P246" i="26"/>
  <c r="L246" i="26"/>
  <c r="N246" i="26" s="1"/>
  <c r="L214" i="26"/>
  <c r="N214" i="26" s="1"/>
  <c r="P214" i="26"/>
  <c r="P507" i="26"/>
  <c r="L507" i="26"/>
  <c r="N507" i="26" s="1"/>
  <c r="P747" i="26"/>
  <c r="L747" i="26"/>
  <c r="N747" i="26" s="1"/>
  <c r="L89" i="26"/>
  <c r="N89" i="26" s="1"/>
  <c r="P89" i="26"/>
  <c r="L156" i="26"/>
  <c r="N156" i="26" s="1"/>
  <c r="P156" i="26"/>
  <c r="L74" i="26"/>
  <c r="N74" i="26" s="1"/>
  <c r="P74" i="26"/>
  <c r="L164" i="26"/>
  <c r="N164" i="26" s="1"/>
  <c r="P164" i="26"/>
  <c r="P207" i="26"/>
  <c r="P202" i="26"/>
  <c r="L202" i="26"/>
  <c r="N202" i="26" s="1"/>
  <c r="P102" i="26"/>
  <c r="L102" i="26"/>
  <c r="N102" i="26" s="1"/>
  <c r="L111" i="26"/>
  <c r="N111" i="26" s="1"/>
  <c r="P111" i="26"/>
  <c r="L182" i="26"/>
  <c r="N182" i="26" s="1"/>
  <c r="P182" i="26"/>
  <c r="L279" i="26"/>
  <c r="N279" i="26" s="1"/>
  <c r="P279" i="26"/>
  <c r="P746" i="26"/>
  <c r="L746" i="26"/>
  <c r="N746" i="26" s="1"/>
  <c r="L228" i="26"/>
  <c r="N228" i="26" s="1"/>
  <c r="P228" i="26"/>
  <c r="L213" i="26"/>
  <c r="N213" i="26" s="1"/>
  <c r="P213" i="26"/>
  <c r="P355" i="26"/>
  <c r="L355" i="26"/>
  <c r="N355" i="26" s="1"/>
  <c r="L212" i="26"/>
  <c r="N212" i="26" s="1"/>
  <c r="P212" i="26"/>
  <c r="P250" i="26"/>
  <c r="L250" i="26"/>
  <c r="N250" i="26" s="1"/>
  <c r="P536" i="26"/>
  <c r="L536" i="26"/>
  <c r="N536" i="26" s="1"/>
  <c r="P163" i="26"/>
  <c r="L163" i="26"/>
  <c r="N163" i="26" s="1"/>
  <c r="L99" i="26"/>
  <c r="N99" i="26" s="1"/>
  <c r="P99" i="26"/>
  <c r="P119" i="26"/>
  <c r="L119" i="26"/>
  <c r="N119" i="26" s="1"/>
  <c r="L114" i="26"/>
  <c r="N114" i="26" s="1"/>
  <c r="P114" i="26"/>
  <c r="L113" i="26"/>
  <c r="N113" i="26" s="1"/>
  <c r="P113" i="26"/>
  <c r="L233" i="26"/>
  <c r="N233" i="26" s="1"/>
  <c r="P233" i="26"/>
  <c r="P245" i="26"/>
  <c r="L245" i="26"/>
  <c r="N245" i="26" s="1"/>
  <c r="P247" i="26"/>
  <c r="L247" i="26"/>
  <c r="N247" i="26" s="1"/>
  <c r="P760" i="26"/>
  <c r="L760" i="26"/>
  <c r="N760" i="26" s="1"/>
  <c r="P252" i="26"/>
  <c r="L252" i="26"/>
  <c r="N252" i="26" s="1"/>
  <c r="P759" i="26"/>
  <c r="L759" i="26"/>
  <c r="N759" i="26" s="1"/>
  <c r="A26" i="26" l="1"/>
  <c r="A27" i="26" s="1"/>
  <c r="A28" i="26" s="1"/>
  <c r="Q506" i="26"/>
  <c r="Q353" i="26"/>
  <c r="E22" i="12"/>
  <c r="D20" i="12"/>
  <c r="E20" i="12"/>
  <c r="D22" i="12"/>
  <c r="Q760" i="26"/>
  <c r="Q247" i="26"/>
  <c r="Q252" i="26"/>
  <c r="Q246" i="26"/>
  <c r="Q251" i="26"/>
  <c r="Q160" i="26"/>
  <c r="Q244" i="26"/>
  <c r="Q118" i="26"/>
  <c r="Q110" i="26"/>
  <c r="Q233" i="26"/>
  <c r="Q111" i="26"/>
  <c r="Q202" i="26"/>
  <c r="Q89" i="26"/>
  <c r="Q162" i="26"/>
  <c r="Q444" i="26"/>
  <c r="Q117" i="26"/>
  <c r="Q759" i="26"/>
  <c r="Q245" i="26"/>
  <c r="Q99" i="26"/>
  <c r="Q250" i="26"/>
  <c r="Q228" i="26"/>
  <c r="Q742" i="26"/>
  <c r="Q113" i="26"/>
  <c r="Q114" i="26"/>
  <c r="Q212" i="26"/>
  <c r="Q213" i="26"/>
  <c r="Q279" i="26"/>
  <c r="Q164" i="26"/>
  <c r="Q74" i="26"/>
  <c r="Q156" i="26"/>
  <c r="Q214" i="26"/>
  <c r="Q192" i="26"/>
  <c r="Q241" i="26"/>
  <c r="Q505" i="26"/>
  <c r="Q187" i="26"/>
  <c r="Q84" i="26"/>
  <c r="Q94" i="26"/>
  <c r="Q441" i="26"/>
  <c r="Q107" i="26"/>
  <c r="Q242" i="26"/>
  <c r="Q203" i="26"/>
  <c r="Q112" i="26"/>
  <c r="Q123" i="26"/>
  <c r="Q178" i="26"/>
  <c r="Q157" i="26"/>
  <c r="Q163" i="26"/>
  <c r="Q536" i="26"/>
  <c r="Q102" i="26"/>
  <c r="Q747" i="26"/>
  <c r="Q507" i="26"/>
  <c r="Q93" i="26"/>
  <c r="Q103" i="26"/>
  <c r="Q182" i="26"/>
  <c r="Q207" i="26"/>
  <c r="Q179" i="26"/>
  <c r="Q161" i="26"/>
  <c r="Q77" i="26"/>
  <c r="Q88" i="26"/>
  <c r="Q119" i="26"/>
  <c r="Q355" i="26"/>
  <c r="Q746" i="26"/>
  <c r="Q106" i="26"/>
  <c r="Q120" i="26"/>
  <c r="Q128" i="26"/>
  <c r="R125" i="26" s="1"/>
  <c r="Q71" i="26"/>
  <c r="Q357" i="26"/>
  <c r="Q528" i="26"/>
  <c r="Q529" i="26"/>
  <c r="A29" i="26" l="1"/>
  <c r="A30" i="26"/>
  <c r="A31" i="26" s="1"/>
  <c r="R209" i="26"/>
  <c r="R739" i="26"/>
  <c r="F20" i="12"/>
  <c r="F22" i="12"/>
  <c r="J20" i="12"/>
  <c r="L20" i="12" s="1"/>
  <c r="J22" i="12"/>
  <c r="L22" i="12" s="1"/>
  <c r="A34" i="26" l="1"/>
  <c r="A35" i="26" s="1"/>
  <c r="A36" i="26" s="1"/>
  <c r="A39" i="26" s="1"/>
  <c r="A40" i="26" s="1"/>
  <c r="A41" i="26" s="1"/>
  <c r="A42" i="26" s="1"/>
  <c r="A43" i="26" s="1"/>
  <c r="A44" i="26" s="1"/>
  <c r="A47" i="26" s="1"/>
  <c r="A48" i="26" s="1"/>
  <c r="A49" i="26" s="1"/>
  <c r="A50" i="26" s="1"/>
  <c r="A51" i="26" s="1"/>
  <c r="A54" i="26" s="1"/>
  <c r="A55" i="26" s="1"/>
  <c r="A56" i="26" s="1"/>
  <c r="A57" i="26" s="1"/>
  <c r="A60" i="26" s="1"/>
  <c r="A61" i="26" s="1"/>
  <c r="A62" i="26" s="1"/>
  <c r="A65" i="26" s="1"/>
  <c r="A70" i="26" s="1"/>
  <c r="A71" i="26" s="1"/>
  <c r="A73" i="26" s="1"/>
  <c r="A74" i="26" s="1"/>
  <c r="A76" i="26" s="1"/>
  <c r="A77" i="26" s="1"/>
  <c r="A79" i="26" s="1"/>
  <c r="A80" i="26" s="1"/>
  <c r="A83" i="26" s="1"/>
  <c r="A84" i="26" s="1"/>
  <c r="A87" i="26" s="1"/>
  <c r="A88" i="26" s="1"/>
  <c r="A89" i="26" s="1"/>
  <c r="A92" i="26" s="1"/>
  <c r="A93" i="26" s="1"/>
  <c r="A94" i="26" s="1"/>
  <c r="A97" i="26" s="1"/>
  <c r="A98" i="26" s="1"/>
  <c r="A99" i="26" s="1"/>
  <c r="A102" i="26" s="1"/>
  <c r="A103" i="26" s="1"/>
  <c r="A106" i="26" s="1"/>
  <c r="A107" i="26" s="1"/>
  <c r="A110" i="26" s="1"/>
  <c r="A111" i="26" s="1"/>
  <c r="A112" i="26" s="1"/>
  <c r="A113" i="26" s="1"/>
  <c r="A114" i="26" s="1"/>
  <c r="A117" i="26" s="1"/>
  <c r="A118" i="26" s="1"/>
  <c r="A119" i="26" s="1"/>
  <c r="A120" i="26" s="1"/>
  <c r="A123" i="26" s="1"/>
  <c r="A128" i="26" s="1"/>
  <c r="A129" i="26" s="1"/>
  <c r="A132" i="26" s="1"/>
  <c r="A133" i="26" s="1"/>
  <c r="A136" i="26" s="1"/>
  <c r="A137" i="26" s="1"/>
  <c r="A138" i="26" s="1"/>
  <c r="A139" i="26" s="1"/>
  <c r="A140" i="26" s="1"/>
  <c r="A142" i="26" s="1"/>
  <c r="A147" i="26" s="1"/>
  <c r="A152" i="26" s="1"/>
  <c r="A153" i="26" s="1"/>
  <c r="A156" i="26" s="1"/>
  <c r="A157" i="26" s="1"/>
  <c r="A160" i="26" s="1"/>
  <c r="A161" i="26" s="1"/>
  <c r="A162" i="26" s="1"/>
  <c r="A163" i="26" s="1"/>
  <c r="A164" i="26" s="1"/>
  <c r="A165" i="26" s="1"/>
  <c r="A166" i="26" s="1"/>
  <c r="A167" i="26" s="1"/>
  <c r="A168" i="26" s="1"/>
  <c r="A169" i="26" s="1"/>
  <c r="A170" i="26" s="1"/>
  <c r="A171" i="26" s="1"/>
  <c r="A172" i="26" s="1"/>
  <c r="A173" i="26" s="1"/>
  <c r="A174" i="26" s="1"/>
  <c r="A175" i="26" s="1"/>
  <c r="A178" i="26" s="1"/>
  <c r="A179" i="26" s="1"/>
  <c r="A182" i="26" s="1"/>
  <c r="A183" i="26" s="1"/>
  <c r="A184" i="26" s="1"/>
  <c r="A187" i="26" s="1"/>
  <c r="A192" i="26" s="1"/>
  <c r="A193" i="26" s="1"/>
  <c r="A194" i="26" s="1"/>
  <c r="A197" i="26" s="1"/>
  <c r="A200" i="26" s="1"/>
  <c r="A202" i="26" s="1"/>
  <c r="A203" i="26" s="1"/>
  <c r="A207" i="26" s="1"/>
  <c r="A212" i="26" s="1"/>
  <c r="A213" i="26" s="1"/>
  <c r="A214" i="26" s="1"/>
  <c r="A216" i="26" s="1"/>
  <c r="A217" i="26" s="1"/>
  <c r="A219" i="26" s="1"/>
  <c r="A222" i="26" s="1"/>
  <c r="A223" i="26" s="1"/>
  <c r="A228" i="26" s="1"/>
  <c r="A229" i="26" s="1"/>
  <c r="A230" i="26" s="1"/>
  <c r="A231" i="26" s="1"/>
  <c r="A233" i="26" s="1"/>
  <c r="A234" i="26" s="1"/>
  <c r="A235" i="26" s="1"/>
  <c r="A236" i="26" s="1"/>
  <c r="A237" i="26" s="1"/>
  <c r="A239" i="26" s="1"/>
  <c r="A240" i="26" s="1"/>
  <c r="A241" i="26" s="1"/>
  <c r="A242" i="26" s="1"/>
  <c r="A243" i="26" s="1"/>
  <c r="A244" i="26" s="1"/>
  <c r="A245" i="26" s="1"/>
  <c r="A246" i="26" s="1"/>
  <c r="A247" i="26" s="1"/>
  <c r="A248" i="26" s="1"/>
  <c r="A249" i="26" s="1"/>
  <c r="A250" i="26" s="1"/>
  <c r="A251" i="26" s="1"/>
  <c r="A252" i="26" s="1"/>
  <c r="A255" i="26" s="1"/>
  <c r="A256" i="26" s="1"/>
  <c r="A257" i="26" s="1"/>
  <c r="A258" i="26" s="1"/>
  <c r="A259" i="26" s="1"/>
  <c r="A262" i="26" s="1"/>
  <c r="A263" i="26" s="1"/>
  <c r="A265" i="26" s="1"/>
  <c r="A266" i="26" s="1"/>
  <c r="A267" i="26" s="1"/>
  <c r="A268" i="26" s="1"/>
  <c r="A270" i="26" s="1"/>
  <c r="A272" i="26" s="1"/>
  <c r="A273" i="26" s="1"/>
  <c r="A276" i="26" s="1"/>
  <c r="A278" i="26" s="1"/>
  <c r="A279" i="26" s="1"/>
  <c r="A284" i="26" s="1"/>
  <c r="A285" i="26" s="1"/>
  <c r="A286" i="26" s="1"/>
  <c r="A287" i="26" s="1"/>
  <c r="A288" i="26" s="1"/>
  <c r="A289" i="26" s="1"/>
  <c r="A290" i="26" s="1"/>
  <c r="A291" i="26" s="1"/>
  <c r="A292" i="26" s="1"/>
  <c r="A293" i="26" s="1"/>
  <c r="A294" i="26" s="1"/>
  <c r="A295" i="26" s="1"/>
  <c r="A296" i="26" s="1"/>
  <c r="A297" i="26" s="1"/>
  <c r="A298" i="26" s="1"/>
  <c r="A299" i="26" s="1"/>
  <c r="A302" i="26" s="1"/>
  <c r="A303" i="26" s="1"/>
  <c r="A304" i="26" s="1"/>
  <c r="A305" i="26" s="1"/>
  <c r="A306" i="26" s="1"/>
  <c r="A307" i="26" s="1"/>
  <c r="A308" i="26" s="1"/>
  <c r="A309" i="26" s="1"/>
  <c r="A310" i="26" s="1"/>
  <c r="A311" i="26" s="1"/>
  <c r="A312" i="26" s="1"/>
  <c r="A313" i="26" s="1"/>
  <c r="A314" i="26" s="1"/>
  <c r="A315" i="26" s="1"/>
  <c r="A316" i="26" s="1"/>
  <c r="A317" i="26" s="1"/>
  <c r="A318" i="26" s="1"/>
  <c r="A319" i="26" s="1"/>
  <c r="A320" i="26" s="1"/>
  <c r="A321" i="26" s="1"/>
  <c r="A324" i="26" s="1"/>
  <c r="A325" i="26" s="1"/>
  <c r="A326" i="26" s="1"/>
  <c r="A327" i="26" s="1"/>
  <c r="A328" i="26" s="1"/>
  <c r="A329" i="26" s="1"/>
  <c r="A330" i="26" s="1"/>
  <c r="A331" i="26" s="1"/>
  <c r="A332" i="26" s="1"/>
  <c r="A333" i="26" s="1"/>
  <c r="A334" i="26" s="1"/>
  <c r="A335" i="26" s="1"/>
  <c r="A336" i="26" s="1"/>
  <c r="A337" i="26" s="1"/>
  <c r="A338" i="26" s="1"/>
  <c r="A339" i="26" s="1"/>
  <c r="A340" i="26" s="1"/>
  <c r="A341" i="26" s="1"/>
  <c r="A344" i="26" s="1"/>
  <c r="A345" i="26" s="1"/>
  <c r="A351" i="26" s="1"/>
  <c r="A352" i="26" s="1"/>
  <c r="A353" i="26" s="1"/>
  <c r="A354" i="26" s="1"/>
  <c r="A355" i="26" s="1"/>
  <c r="A356" i="26" s="1"/>
  <c r="A357" i="26" s="1"/>
  <c r="A359" i="26" s="1"/>
  <c r="A360" i="26" s="1"/>
  <c r="A361" i="26" s="1"/>
  <c r="A362" i="26" s="1"/>
  <c r="A363" i="26" s="1"/>
  <c r="A364" i="26" s="1"/>
  <c r="A365" i="26" s="1"/>
  <c r="A366" i="26" s="1"/>
  <c r="A368" i="26" s="1"/>
  <c r="A369" i="26" s="1"/>
  <c r="A370" i="26" s="1"/>
  <c r="A371" i="26" s="1"/>
  <c r="A372" i="26" s="1"/>
  <c r="A373" i="26" s="1"/>
  <c r="A374" i="26" s="1"/>
  <c r="A375" i="26" s="1"/>
  <c r="A377" i="26" s="1"/>
  <c r="A378" i="26" s="1"/>
  <c r="A379" i="26" s="1"/>
  <c r="A380" i="26" s="1"/>
  <c r="A381" i="26" s="1"/>
  <c r="A382" i="26" s="1"/>
  <c r="A383" i="26" s="1"/>
  <c r="A384" i="26" s="1"/>
  <c r="A386" i="26" s="1"/>
  <c r="A387" i="26" s="1"/>
  <c r="A388" i="26" s="1"/>
  <c r="A389" i="26" s="1"/>
  <c r="A390" i="26" s="1"/>
  <c r="A391" i="26" s="1"/>
  <c r="A392" i="26" s="1"/>
  <c r="A393" i="26" s="1"/>
  <c r="A395" i="26" s="1"/>
  <c r="A396" i="26" s="1"/>
  <c r="A397" i="26" s="1"/>
  <c r="A398" i="26" s="1"/>
  <c r="A399" i="26" s="1"/>
  <c r="A400" i="26" s="1"/>
  <c r="A401" i="26" s="1"/>
  <c r="A402" i="26" s="1"/>
  <c r="A404" i="26" s="1"/>
  <c r="A405" i="26" s="1"/>
  <c r="A406" i="26" s="1"/>
  <c r="A407" i="26" s="1"/>
  <c r="A408" i="26" s="1"/>
  <c r="A409" i="26" s="1"/>
  <c r="A410" i="26" s="1"/>
  <c r="A411" i="26" s="1"/>
  <c r="A413" i="26" s="1"/>
  <c r="A414" i="26" s="1"/>
  <c r="A415" i="26" s="1"/>
  <c r="A416" i="26" s="1"/>
  <c r="A417" i="26" s="1"/>
  <c r="A418" i="26" s="1"/>
  <c r="A419" i="26" s="1"/>
  <c r="A420" i="26" s="1"/>
  <c r="A422" i="26" s="1"/>
  <c r="A423" i="26" s="1"/>
  <c r="A424" i="26" s="1"/>
  <c r="A425" i="26" s="1"/>
  <c r="A426" i="26" s="1"/>
  <c r="A427" i="26" s="1"/>
  <c r="A428" i="26" s="1"/>
  <c r="A429" i="26" s="1"/>
  <c r="A431" i="26" s="1"/>
  <c r="A432" i="26" s="1"/>
  <c r="A433" i="26" s="1"/>
  <c r="A434" i="26" s="1"/>
  <c r="A435" i="26" s="1"/>
  <c r="A437" i="26" s="1"/>
  <c r="A438" i="26" s="1"/>
  <c r="A439" i="26" s="1"/>
  <c r="A440" i="26" s="1"/>
  <c r="A441" i="26" s="1"/>
  <c r="A442" i="26" s="1"/>
  <c r="A443" i="26" s="1"/>
  <c r="A444" i="26" s="1"/>
  <c r="A446" i="26" s="1"/>
  <c r="A447" i="26" s="1"/>
  <c r="A448" i="26" s="1"/>
  <c r="A449" i="26" s="1"/>
  <c r="A450" i="26" s="1"/>
  <c r="A451" i="26" s="1"/>
  <c r="A452" i="26" s="1"/>
  <c r="A454" i="26" s="1"/>
  <c r="A455" i="26" s="1"/>
  <c r="A456" i="26" s="1"/>
  <c r="A457" i="26" s="1"/>
  <c r="A458" i="26" s="1"/>
  <c r="A459" i="26" s="1"/>
  <c r="A460" i="26" s="1"/>
  <c r="A461" i="26" s="1"/>
  <c r="A463" i="26" s="1"/>
  <c r="A464" i="26" s="1"/>
  <c r="A465" i="26" s="1"/>
  <c r="A466" i="26" s="1"/>
  <c r="A467" i="26" s="1"/>
  <c r="A468" i="26" s="1"/>
  <c r="A469" i="26" s="1"/>
  <c r="A470" i="26" s="1"/>
  <c r="A472" i="26" s="1"/>
  <c r="A473" i="26" s="1"/>
  <c r="A474" i="26" s="1"/>
  <c r="A475" i="26" s="1"/>
  <c r="A476" i="26" s="1"/>
  <c r="A477" i="26" s="1"/>
  <c r="A478" i="26" s="1"/>
  <c r="A479" i="26" s="1"/>
  <c r="A481" i="26" s="1"/>
  <c r="A482" i="26" s="1"/>
  <c r="A483" i="26" s="1"/>
  <c r="A484" i="26" s="1"/>
  <c r="A485" i="26" s="1"/>
  <c r="A486" i="26" s="1"/>
  <c r="A487" i="26" s="1"/>
  <c r="A488" i="26" s="1"/>
  <c r="A490" i="26" s="1"/>
  <c r="A491" i="26" s="1"/>
  <c r="A492" i="26" s="1"/>
  <c r="A493" i="26" s="1"/>
  <c r="A494" i="26" s="1"/>
  <c r="A496" i="26" s="1"/>
  <c r="A497" i="26" s="1"/>
  <c r="A498" i="26" s="1"/>
  <c r="A499" i="26" s="1"/>
  <c r="A500" i="26" s="1"/>
  <c r="A502" i="26" s="1"/>
  <c r="A503" i="26" s="1"/>
  <c r="A504" i="26" s="1"/>
  <c r="A505" i="26" s="1"/>
  <c r="A506" i="26" s="1"/>
  <c r="A507" i="26" s="1"/>
  <c r="A509" i="26" s="1"/>
  <c r="A510" i="26" s="1"/>
  <c r="A511" i="26" s="1"/>
  <c r="A512" i="26" s="1"/>
  <c r="A513" i="26" s="1"/>
  <c r="A514" i="26" s="1"/>
  <c r="A516" i="26" s="1"/>
  <c r="A517" i="26" s="1"/>
  <c r="A518" i="26" s="1"/>
  <c r="A519" i="26" s="1"/>
  <c r="A520" i="26" s="1"/>
  <c r="A521" i="26" s="1"/>
  <c r="A523" i="26" s="1"/>
  <c r="A524" i="26" s="1"/>
  <c r="A525" i="26" s="1"/>
  <c r="A526" i="26" s="1"/>
  <c r="A528" i="26" s="1"/>
  <c r="A529" i="26" s="1"/>
  <c r="A530" i="26" s="1"/>
  <c r="A532" i="26" s="1"/>
  <c r="A533" i="26" s="1"/>
  <c r="A536" i="26" s="1"/>
  <c r="A539" i="26" s="1"/>
  <c r="A540" i="26" s="1"/>
  <c r="A541" i="26" s="1"/>
  <c r="A542" i="26" s="1"/>
  <c r="A543" i="26" s="1"/>
  <c r="A544" i="26" s="1"/>
  <c r="A545" i="26" s="1"/>
  <c r="A546" i="26" s="1"/>
  <c r="A547" i="26" s="1"/>
  <c r="A548" i="26" s="1"/>
  <c r="A549" i="26" s="1"/>
  <c r="A550" i="26" s="1"/>
  <c r="A551" i="26" s="1"/>
  <c r="A552" i="26" s="1"/>
  <c r="A553" i="26" s="1"/>
  <c r="A554" i="26" s="1"/>
  <c r="A555" i="26" s="1"/>
  <c r="A556" i="26" s="1"/>
  <c r="A558" i="26" s="1"/>
  <c r="A559" i="26" s="1"/>
  <c r="A560" i="26" s="1"/>
  <c r="A562" i="26" s="1"/>
  <c r="A565" i="26" s="1"/>
  <c r="A567" i="26" s="1"/>
  <c r="A568" i="26" s="1"/>
  <c r="A569" i="26" s="1"/>
  <c r="A571" i="26" s="1"/>
  <c r="A572" i="26" s="1"/>
  <c r="A575" i="26" s="1"/>
  <c r="A576" i="26" s="1"/>
  <c r="A578" i="26" s="1"/>
  <c r="A579" i="26" s="1"/>
  <c r="A580" i="26" s="1"/>
  <c r="A583" i="26" s="1"/>
  <c r="A584" i="26" s="1"/>
  <c r="A585" i="26" s="1"/>
  <c r="A586" i="26" s="1"/>
  <c r="A587" i="26" s="1"/>
  <c r="A588" i="26" s="1"/>
  <c r="A589" i="26" s="1"/>
  <c r="A590" i="26" s="1"/>
  <c r="A591" i="26" s="1"/>
  <c r="A594" i="26" s="1"/>
  <c r="A595" i="26" s="1"/>
  <c r="A596" i="26" s="1"/>
  <c r="A597" i="26" s="1"/>
  <c r="A598" i="26" s="1"/>
  <c r="A599" i="26" s="1"/>
  <c r="A600" i="26" s="1"/>
  <c r="A601" i="26" s="1"/>
  <c r="A602" i="26" s="1"/>
  <c r="A605" i="26" s="1"/>
  <c r="A606" i="26" s="1"/>
  <c r="A607" i="26" s="1"/>
  <c r="A608" i="26" s="1"/>
  <c r="A609" i="26" s="1"/>
  <c r="A610" i="26" s="1"/>
  <c r="A611" i="26" s="1"/>
  <c r="A613" i="26" s="1"/>
  <c r="A616" i="26" s="1"/>
  <c r="A617" i="26" s="1"/>
  <c r="A620" i="26" s="1"/>
  <c r="A621" i="26" s="1"/>
  <c r="A622" i="26" s="1"/>
  <c r="A623" i="26" s="1"/>
  <c r="A624" i="26" s="1"/>
  <c r="A625" i="26" s="1"/>
  <c r="A630" i="26" s="1"/>
  <c r="A631" i="26" s="1"/>
  <c r="A632" i="26" s="1"/>
  <c r="A633" i="26" s="1"/>
  <c r="A634" i="26" s="1"/>
  <c r="A635" i="26" s="1"/>
  <c r="A636" i="26" s="1"/>
  <c r="A637" i="26" s="1"/>
  <c r="A638" i="26" s="1"/>
  <c r="A639" i="26" s="1"/>
  <c r="A640" i="26" s="1"/>
  <c r="A643" i="26" s="1"/>
  <c r="A644" i="26" s="1"/>
  <c r="A645" i="26" s="1"/>
  <c r="A646" i="26" s="1"/>
  <c r="A647" i="26" s="1"/>
  <c r="A648" i="26" s="1"/>
  <c r="A651" i="26" s="1"/>
  <c r="A652" i="26" s="1"/>
  <c r="A653" i="26" s="1"/>
  <c r="A654" i="26" s="1"/>
  <c r="A655" i="26" s="1"/>
  <c r="A656" i="26" s="1"/>
  <c r="A657" i="26" s="1"/>
  <c r="A658" i="26" s="1"/>
  <c r="A659" i="26" s="1"/>
  <c r="A660" i="26" s="1"/>
  <c r="A661" i="26" s="1"/>
  <c r="A665" i="26" s="1"/>
  <c r="A666" i="26" s="1"/>
  <c r="A667" i="26" s="1"/>
  <c r="A668" i="26" s="1"/>
  <c r="A669" i="26" s="1"/>
  <c r="A670" i="26" s="1"/>
  <c r="A671" i="26" s="1"/>
  <c r="A675" i="26" s="1"/>
  <c r="A677" i="26" s="1"/>
  <c r="A678" i="26" s="1"/>
  <c r="A683" i="26" s="1"/>
  <c r="A686" i="26" s="1"/>
  <c r="A689" i="26" s="1"/>
  <c r="A690" i="26" s="1"/>
  <c r="A691" i="26" s="1"/>
  <c r="A692" i="26" s="1"/>
  <c r="A693" i="26" s="1"/>
  <c r="A694" i="26" s="1"/>
  <c r="A695" i="26" s="1"/>
  <c r="A696" i="26" s="1"/>
  <c r="A697" i="26" s="1"/>
  <c r="A698" i="26" s="1"/>
  <c r="A699" i="26" s="1"/>
  <c r="A700" i="26" s="1"/>
  <c r="A701" i="26" s="1"/>
  <c r="A702" i="26" s="1"/>
  <c r="A703" i="26" s="1"/>
  <c r="A704" i="26" s="1"/>
  <c r="A705" i="26" s="1"/>
  <c r="A706" i="26" s="1"/>
  <c r="A707" i="26" s="1"/>
  <c r="A708" i="26" s="1"/>
  <c r="A709" i="26" s="1"/>
  <c r="A712" i="26" s="1"/>
  <c r="A713" i="26" s="1"/>
  <c r="A714" i="26" s="1"/>
  <c r="A715" i="26" s="1"/>
  <c r="A716" i="26" s="1"/>
  <c r="A717" i="26" s="1"/>
  <c r="A718" i="26" s="1"/>
  <c r="A719" i="26" s="1"/>
  <c r="A720" i="26" s="1"/>
  <c r="A723" i="26" s="1"/>
  <c r="A726" i="26" s="1"/>
  <c r="A731" i="26" s="1"/>
  <c r="A732" i="26" s="1"/>
  <c r="A733" i="26" s="1"/>
  <c r="A734" i="26" s="1"/>
  <c r="A735" i="26" s="1"/>
  <c r="A736" i="26" s="1"/>
  <c r="A742" i="26" s="1"/>
  <c r="A743" i="26" s="1"/>
  <c r="A744" i="26" s="1"/>
  <c r="A745" i="26" s="1"/>
  <c r="A746" i="26" s="1"/>
  <c r="A747" i="26" s="1"/>
  <c r="A748" i="26" s="1"/>
  <c r="A749" i="26" s="1"/>
  <c r="A750" i="26" s="1"/>
  <c r="A751" i="26" s="1"/>
  <c r="A752" i="26" s="1"/>
  <c r="A753" i="26" s="1"/>
  <c r="A754" i="26" s="1"/>
  <c r="A755" i="26" s="1"/>
  <c r="A756" i="26" s="1"/>
  <c r="A759" i="26" s="1"/>
  <c r="A760" i="26" s="1"/>
  <c r="A761" i="26" s="1"/>
  <c r="A762" i="26" s="1"/>
  <c r="A763" i="26" s="1"/>
  <c r="A764" i="26" s="1"/>
  <c r="A765" i="26" s="1"/>
  <c r="A766" i="26" s="1"/>
  <c r="A767" i="26" s="1"/>
  <c r="A768" i="26" s="1"/>
  <c r="A769" i="26" s="1"/>
  <c r="A770" i="26" s="1"/>
  <c r="A771" i="26" s="1"/>
  <c r="A772" i="26" s="1"/>
  <c r="A773" i="26" s="1"/>
  <c r="A774" i="26" s="1"/>
  <c r="A775" i="26" s="1"/>
  <c r="A776" i="26" s="1"/>
  <c r="A777" i="26" s="1"/>
  <c r="A778" i="26" s="1"/>
  <c r="A779" i="26" s="1"/>
  <c r="A780" i="26" s="1"/>
  <c r="A781" i="26" s="1"/>
  <c r="A784" i="26" s="1"/>
  <c r="A785" i="26" s="1"/>
  <c r="A786" i="26" s="1"/>
  <c r="A787" i="26" s="1"/>
  <c r="A788" i="26" s="1"/>
  <c r="A789" i="26" s="1"/>
  <c r="A790" i="26" s="1"/>
  <c r="A793" i="26" s="1"/>
  <c r="A794" i="26" s="1"/>
  <c r="A795" i="26" s="1"/>
  <c r="A796" i="26" s="1"/>
  <c r="A797" i="26" s="1"/>
  <c r="A798" i="26" s="1"/>
  <c r="A799" i="26" s="1"/>
  <c r="A806" i="26" s="1"/>
  <c r="A807" i="26" s="1"/>
  <c r="A808" i="26" s="1"/>
  <c r="A809" i="26" s="1"/>
  <c r="A810" i="26" s="1"/>
  <c r="A812" i="26" s="1"/>
  <c r="L62" i="26"/>
  <c r="N62" i="26" s="1"/>
  <c r="Q62" i="26" s="1"/>
  <c r="L60" i="26"/>
  <c r="N60" i="26" s="1"/>
  <c r="Q60" i="26" s="1"/>
  <c r="L57" i="26"/>
  <c r="N57" i="26" s="1"/>
  <c r="Q57" i="26" s="1"/>
  <c r="L50" i="26"/>
  <c r="N50" i="26" s="1"/>
  <c r="Q50" i="26" s="1"/>
  <c r="L48" i="26"/>
  <c r="N48" i="26" s="1"/>
  <c r="Q48" i="26" s="1"/>
  <c r="L43" i="26"/>
  <c r="N43" i="26" s="1"/>
  <c r="Q43" i="26" s="1"/>
  <c r="L39" i="26"/>
  <c r="N39" i="26" s="1"/>
  <c r="Q39" i="26" s="1"/>
  <c r="L26" i="26"/>
  <c r="N26" i="26" s="1"/>
  <c r="Q26" i="26" s="1"/>
  <c r="I21" i="26"/>
  <c r="L24" i="26"/>
  <c r="N24" i="26" s="1"/>
  <c r="Q24" i="26" s="1"/>
  <c r="L51" i="26"/>
  <c r="N51" i="26" s="1"/>
  <c r="Q51" i="26" s="1"/>
  <c r="L40" i="26"/>
  <c r="N40" i="26" s="1"/>
  <c r="Q40" i="26" s="1"/>
  <c r="L29" i="26"/>
  <c r="N29" i="26" s="1"/>
  <c r="Q29" i="26" s="1"/>
  <c r="L22" i="26"/>
  <c r="N22" i="26" s="1"/>
  <c r="Q22" i="26" s="1"/>
  <c r="L56" i="26"/>
  <c r="N56" i="26" s="1"/>
  <c r="Q56" i="26" s="1"/>
  <c r="L42" i="26"/>
  <c r="N42" i="26" s="1"/>
  <c r="Q42" i="26" s="1"/>
  <c r="L47" i="26"/>
  <c r="N47" i="26" s="1"/>
  <c r="Q47" i="26" s="1"/>
  <c r="L25" i="26"/>
  <c r="N25" i="26" s="1"/>
  <c r="Q25" i="26" s="1"/>
  <c r="L61" i="26"/>
  <c r="N61" i="26" s="1"/>
  <c r="Q61" i="26" s="1"/>
  <c r="L49" i="26"/>
  <c r="N49" i="26" s="1"/>
  <c r="Q49" i="26" s="1"/>
  <c r="L21" i="26" l="1"/>
  <c r="L98" i="26"/>
  <c r="N98" i="26" s="1"/>
  <c r="P98" i="26"/>
  <c r="L530" i="26"/>
  <c r="N530" i="26" s="1"/>
  <c r="P530" i="26"/>
  <c r="P732" i="26"/>
  <c r="L732" i="26"/>
  <c r="N732" i="26" s="1"/>
  <c r="L354" i="26"/>
  <c r="N354" i="26" s="1"/>
  <c r="P354" i="26"/>
  <c r="L239" i="26"/>
  <c r="N239" i="26" s="1"/>
  <c r="P239" i="26"/>
  <c r="L439" i="26"/>
  <c r="N439" i="26" s="1"/>
  <c r="P439" i="26"/>
  <c r="L87" i="26"/>
  <c r="N87" i="26" s="1"/>
  <c r="P87" i="26"/>
  <c r="L810" i="26"/>
  <c r="N810" i="26" s="1"/>
  <c r="P810" i="26"/>
  <c r="L812" i="26"/>
  <c r="N812" i="26" s="1"/>
  <c r="P812" i="26"/>
  <c r="P731" i="26"/>
  <c r="L731" i="26"/>
  <c r="N731" i="26" s="1"/>
  <c r="L200" i="26"/>
  <c r="N200" i="26" s="1"/>
  <c r="P200" i="26"/>
  <c r="L153" i="26"/>
  <c r="N153" i="26" s="1"/>
  <c r="P153" i="26"/>
  <c r="P733" i="26"/>
  <c r="L733" i="26"/>
  <c r="N733" i="26" s="1"/>
  <c r="P726" i="26"/>
  <c r="P503" i="26"/>
  <c r="L503" i="26"/>
  <c r="N503" i="26" s="1"/>
  <c r="L808" i="26"/>
  <c r="N808" i="26" s="1"/>
  <c r="P808" i="26"/>
  <c r="L806" i="26"/>
  <c r="N806" i="26" s="1"/>
  <c r="P806" i="26"/>
  <c r="L152" i="26"/>
  <c r="N152" i="26" s="1"/>
  <c r="P152" i="26"/>
  <c r="P438" i="26"/>
  <c r="L438" i="26"/>
  <c r="N438" i="26" s="1"/>
  <c r="L504" i="26"/>
  <c r="N504" i="26" s="1"/>
  <c r="P504" i="26"/>
  <c r="P83" i="26"/>
  <c r="L83" i="26"/>
  <c r="N83" i="26" s="1"/>
  <c r="L73" i="26"/>
  <c r="N73" i="26" s="1"/>
  <c r="P73" i="26"/>
  <c r="L70" i="26"/>
  <c r="N70" i="26" s="1"/>
  <c r="P70" i="26"/>
  <c r="L92" i="26"/>
  <c r="N92" i="26" s="1"/>
  <c r="P92" i="26"/>
  <c r="P76" i="26"/>
  <c r="L76" i="26"/>
  <c r="N76" i="26" s="1"/>
  <c r="L97" i="26"/>
  <c r="N97" i="26" s="1"/>
  <c r="P97" i="26"/>
  <c r="L809" i="26"/>
  <c r="N809" i="26" s="1"/>
  <c r="P809" i="26"/>
  <c r="L807" i="26"/>
  <c r="N807" i="26" s="1"/>
  <c r="P807" i="26"/>
  <c r="P440" i="26"/>
  <c r="L440" i="26"/>
  <c r="N440" i="26" s="1"/>
  <c r="L352" i="26"/>
  <c r="N352" i="26" s="1"/>
  <c r="P352" i="26"/>
  <c r="P814" i="26" l="1"/>
  <c r="N21" i="26"/>
  <c r="E25" i="12"/>
  <c r="D25" i="12"/>
  <c r="D24" i="12"/>
  <c r="D21" i="12"/>
  <c r="E27" i="12"/>
  <c r="E26" i="12"/>
  <c r="E19" i="12"/>
  <c r="D28" i="12"/>
  <c r="E29" i="12"/>
  <c r="E23" i="12"/>
  <c r="D19" i="12"/>
  <c r="E28" i="12"/>
  <c r="D29" i="12"/>
  <c r="D23" i="12"/>
  <c r="E24" i="12"/>
  <c r="E21" i="12"/>
  <c r="D27" i="12"/>
  <c r="D26" i="12"/>
  <c r="Q812" i="26"/>
  <c r="Q153" i="26"/>
  <c r="Q354" i="26"/>
  <c r="Q732" i="26"/>
  <c r="Q21" i="26"/>
  <c r="Q92" i="26"/>
  <c r="Q73" i="26"/>
  <c r="Q152" i="26"/>
  <c r="Q731" i="26"/>
  <c r="Q70" i="26"/>
  <c r="Q504" i="26"/>
  <c r="Q806" i="26"/>
  <c r="Q439" i="26"/>
  <c r="Q733" i="26"/>
  <c r="Q200" i="26"/>
  <c r="Q352" i="26"/>
  <c r="Q530" i="26"/>
  <c r="Q87" i="26"/>
  <c r="Q440" i="26"/>
  <c r="Q807" i="26"/>
  <c r="Q809" i="26"/>
  <c r="Q97" i="26"/>
  <c r="Q438" i="26"/>
  <c r="Q808" i="26"/>
  <c r="Q810" i="26"/>
  <c r="Q239" i="26"/>
  <c r="R225" i="26" s="1"/>
  <c r="Q98" i="26"/>
  <c r="Q76" i="26"/>
  <c r="Q83" i="26"/>
  <c r="Q503" i="26"/>
  <c r="Q726" i="26"/>
  <c r="R680" i="26" s="1"/>
  <c r="R67" i="26" l="1"/>
  <c r="R803" i="26"/>
  <c r="R728" i="26"/>
  <c r="R347" i="26"/>
  <c r="R144" i="26"/>
  <c r="J23" i="12"/>
  <c r="L23" i="12" s="1"/>
  <c r="J24" i="12"/>
  <c r="L24" i="12" s="1"/>
  <c r="F28" i="12"/>
  <c r="F25" i="12"/>
  <c r="F29" i="12"/>
  <c r="F21" i="12"/>
  <c r="F26" i="12"/>
  <c r="F24" i="12"/>
  <c r="F19" i="12"/>
  <c r="F27" i="12"/>
  <c r="F23" i="12"/>
  <c r="J19" i="12"/>
  <c r="L19" i="12" s="1"/>
  <c r="J27" i="12"/>
  <c r="L27" i="12" s="1"/>
  <c r="J26" i="12"/>
  <c r="L26" i="12" s="1"/>
  <c r="J28" i="12"/>
  <c r="L28" i="12" s="1"/>
  <c r="J29" i="12"/>
  <c r="L29" i="12" s="1"/>
  <c r="J21" i="12"/>
  <c r="L21" i="12" s="1"/>
  <c r="J25" i="12"/>
  <c r="L25" i="12" s="1"/>
  <c r="E6" i="26"/>
  <c r="P815" i="26"/>
  <c r="P816" i="26"/>
  <c r="E5" i="26"/>
  <c r="L65" i="26" l="1"/>
  <c r="N65" i="26" s="1"/>
  <c r="Q65" i="26" s="1"/>
  <c r="L44" i="26"/>
  <c r="N44" i="26" s="1"/>
  <c r="Q44" i="26" s="1"/>
  <c r="L36" i="26"/>
  <c r="N36" i="26" s="1"/>
  <c r="Q36" i="26" s="1"/>
  <c r="L27" i="26"/>
  <c r="L34" i="26"/>
  <c r="N34" i="26" s="1"/>
  <c r="Q34" i="26" s="1"/>
  <c r="L55" i="26"/>
  <c r="N55" i="26" s="1"/>
  <c r="Q55" i="26" s="1"/>
  <c r="L35" i="26"/>
  <c r="N35" i="26" s="1"/>
  <c r="Q35" i="26" s="1"/>
  <c r="P818" i="26"/>
  <c r="Q816" i="26"/>
  <c r="R816" i="26" s="1"/>
  <c r="Q815" i="26"/>
  <c r="R815" i="26" s="1"/>
  <c r="N27" i="26" l="1"/>
  <c r="L814" i="26"/>
  <c r="P819" i="26"/>
  <c r="Q27" i="26" l="1"/>
  <c r="R18" i="26" s="1"/>
  <c r="N814" i="26"/>
  <c r="D18" i="12"/>
  <c r="J18" i="12" s="1"/>
  <c r="L18" i="12" l="1"/>
  <c r="J30" i="12"/>
  <c r="L30" i="12" s="1"/>
  <c r="E7" i="26"/>
  <c r="N817" i="26"/>
  <c r="R814" i="26"/>
  <c r="Q814" i="26"/>
  <c r="F18" i="12"/>
  <c r="N818" i="26" l="1"/>
  <c r="Q817" i="26"/>
  <c r="R817" i="26" s="1"/>
  <c r="E4" i="26"/>
  <c r="E30" i="12"/>
  <c r="E31" i="12" s="1"/>
  <c r="F31" i="12" s="1"/>
  <c r="D30" i="12"/>
  <c r="D33" i="12" s="1"/>
  <c r="F33" i="12" s="1"/>
  <c r="F30" i="12"/>
  <c r="E8" i="26" l="1"/>
  <c r="E9" i="26" s="1"/>
  <c r="N819" i="26"/>
  <c r="Q818" i="26"/>
  <c r="G19" i="12"/>
  <c r="E32" i="12"/>
  <c r="F32" i="12" s="1"/>
  <c r="G24" i="12"/>
  <c r="G29" i="12"/>
  <c r="G27" i="12"/>
  <c r="G18" i="12"/>
  <c r="G20" i="12"/>
  <c r="G23" i="12"/>
  <c r="G22" i="12"/>
  <c r="G26" i="12"/>
  <c r="G21" i="12"/>
  <c r="G28" i="12"/>
  <c r="G25" i="12"/>
  <c r="F44" i="12" l="1"/>
  <c r="F73" i="12"/>
  <c r="F60" i="12"/>
  <c r="G60" i="12" s="1"/>
  <c r="D61" i="12"/>
  <c r="D45" i="12"/>
  <c r="E71" i="12"/>
  <c r="F57" i="12"/>
  <c r="E59" i="12"/>
  <c r="E74" i="12"/>
  <c r="E55" i="12"/>
  <c r="D59" i="12"/>
  <c r="E46" i="12"/>
  <c r="E44" i="12"/>
  <c r="D49" i="12"/>
  <c r="F56" i="12"/>
  <c r="D53" i="12"/>
  <c r="D10" i="12"/>
  <c r="K6" i="12" s="1"/>
  <c r="E64" i="12"/>
  <c r="F50" i="12"/>
  <c r="E57" i="12"/>
  <c r="D67" i="12"/>
  <c r="D66" i="12"/>
  <c r="E52" i="12"/>
  <c r="D54" i="12"/>
  <c r="D46" i="12"/>
  <c r="D72" i="12"/>
  <c r="F58" i="12"/>
  <c r="E73" i="12"/>
  <c r="D52" i="12"/>
  <c r="F59" i="12"/>
  <c r="F68" i="12"/>
  <c r="E51" i="12"/>
  <c r="E50" i="12"/>
  <c r="E76" i="12"/>
  <c r="F70" i="12"/>
  <c r="D47" i="12"/>
  <c r="F53" i="12"/>
  <c r="D73" i="12"/>
  <c r="F51" i="12"/>
  <c r="E70" i="12"/>
  <c r="F66" i="12"/>
  <c r="F47" i="12"/>
  <c r="D75" i="12"/>
  <c r="D76" i="12"/>
  <c r="F69" i="12"/>
  <c r="D64" i="12"/>
  <c r="E66" i="12"/>
  <c r="E72" i="12"/>
  <c r="F55" i="12"/>
  <c r="D51" i="12"/>
  <c r="D55" i="12"/>
  <c r="D71" i="12"/>
  <c r="D63" i="12"/>
  <c r="E54" i="12"/>
  <c r="D44" i="12"/>
  <c r="F49" i="12"/>
  <c r="E65" i="12"/>
  <c r="D56" i="12"/>
  <c r="D70" i="12"/>
  <c r="F71" i="12"/>
  <c r="D65" i="12"/>
  <c r="F65" i="12"/>
  <c r="F72" i="12"/>
  <c r="D50" i="12"/>
  <c r="F64" i="12"/>
  <c r="F76" i="12"/>
  <c r="D62" i="12"/>
  <c r="E53" i="12"/>
  <c r="E68" i="12"/>
  <c r="F52" i="12"/>
  <c r="D48" i="12"/>
  <c r="E67" i="12"/>
  <c r="E62" i="12"/>
  <c r="D60" i="12"/>
  <c r="F46" i="12"/>
  <c r="F45" i="12"/>
  <c r="E69" i="12"/>
  <c r="E58" i="12"/>
  <c r="F54" i="12"/>
  <c r="E56" i="12"/>
  <c r="D68" i="12"/>
  <c r="F67" i="12"/>
  <c r="F63" i="12"/>
  <c r="F62" i="12"/>
  <c r="F75" i="12"/>
  <c r="E47" i="12"/>
  <c r="E49" i="12"/>
  <c r="E48" i="12"/>
  <c r="E45" i="12"/>
  <c r="E75" i="12"/>
  <c r="F61" i="12"/>
  <c r="E61" i="12"/>
  <c r="F74" i="12"/>
  <c r="G74" i="12" s="1"/>
  <c r="D69" i="12"/>
  <c r="D57" i="12"/>
  <c r="E63" i="12"/>
  <c r="D58" i="12"/>
  <c r="E60" i="12"/>
  <c r="D74" i="12"/>
  <c r="F48" i="12"/>
  <c r="R818" i="26"/>
  <c r="R819" i="26" s="1"/>
  <c r="Q819" i="26"/>
  <c r="F34" i="12"/>
  <c r="J44" i="12" l="1"/>
  <c r="L44" i="12" s="1"/>
  <c r="J53" i="12"/>
  <c r="L53" i="12" s="1"/>
  <c r="J57" i="12"/>
  <c r="L57" i="12" s="1"/>
  <c r="J67" i="12"/>
  <c r="L67" i="12" s="1"/>
  <c r="J61" i="12"/>
  <c r="L61" i="12" s="1"/>
  <c r="J71" i="12"/>
  <c r="L71" i="12" s="1"/>
  <c r="J70" i="12"/>
  <c r="L70" i="12" s="1"/>
  <c r="J68" i="12"/>
  <c r="L68" i="12" s="1"/>
  <c r="J65" i="12"/>
  <c r="L65" i="12" s="1"/>
  <c r="J51" i="12"/>
  <c r="L51" i="12" s="1"/>
  <c r="J54" i="12"/>
  <c r="L54" i="12" s="1"/>
  <c r="J75" i="12"/>
  <c r="L75" i="12" s="1"/>
  <c r="J60" i="12"/>
  <c r="L60" i="12" s="1"/>
  <c r="J45" i="12"/>
  <c r="L45" i="12" s="1"/>
  <c r="J52" i="12"/>
  <c r="L52" i="12" s="1"/>
  <c r="J73" i="12"/>
  <c r="L73" i="12" s="1"/>
  <c r="J74" i="12"/>
  <c r="L74" i="12" s="1"/>
  <c r="J64" i="12"/>
  <c r="L64" i="12" s="1"/>
  <c r="J76" i="12"/>
  <c r="L76" i="12" s="1"/>
  <c r="J59" i="12"/>
  <c r="L59" i="12" s="1"/>
  <c r="J63" i="12"/>
  <c r="L63" i="12" s="1"/>
  <c r="J47" i="12"/>
  <c r="L47" i="12" s="1"/>
  <c r="J66" i="12"/>
  <c r="L66" i="12" s="1"/>
  <c r="J69" i="12"/>
  <c r="L69" i="12" s="1"/>
  <c r="J56" i="12"/>
  <c r="L56" i="12" s="1"/>
  <c r="J55" i="12"/>
  <c r="L55" i="12" s="1"/>
  <c r="J62" i="12"/>
  <c r="L62" i="12" s="1"/>
  <c r="J72" i="12"/>
  <c r="L72" i="12" s="1"/>
  <c r="J58" i="12"/>
  <c r="L58" i="12" s="1"/>
  <c r="J49" i="12"/>
  <c r="L49" i="12" s="1"/>
  <c r="J48" i="12"/>
  <c r="L48" i="12" s="1"/>
  <c r="J46" i="12"/>
  <c r="L46" i="12" s="1"/>
  <c r="J50" i="12"/>
  <c r="L50" i="12" s="1"/>
  <c r="G50" i="12"/>
  <c r="F35" i="12"/>
  <c r="G76" i="12"/>
  <c r="G54" i="12"/>
  <c r="G70" i="12"/>
  <c r="G53" i="12"/>
  <c r="F77" i="12"/>
  <c r="G44" i="12"/>
  <c r="G52" i="12"/>
  <c r="G65" i="12"/>
  <c r="G71" i="12"/>
  <c r="D77" i="12"/>
  <c r="D80" i="12" s="1"/>
  <c r="F80" i="12" s="1"/>
  <c r="G75" i="12"/>
  <c r="G69" i="12"/>
  <c r="G51" i="12"/>
  <c r="G48" i="12"/>
  <c r="G67" i="12"/>
  <c r="G62" i="12"/>
  <c r="G49" i="12"/>
  <c r="E77" i="12"/>
  <c r="G73" i="12"/>
  <c r="G66" i="12"/>
  <c r="G59" i="12"/>
  <c r="G55" i="12"/>
  <c r="G72" i="12"/>
  <c r="G45" i="12"/>
  <c r="G57" i="12"/>
  <c r="G68" i="12"/>
  <c r="G63" i="12"/>
  <c r="G58" i="12"/>
  <c r="G56" i="12"/>
  <c r="G64" i="12"/>
  <c r="G47" i="12"/>
  <c r="G46" i="12"/>
  <c r="G61" i="12"/>
  <c r="J77" i="12" l="1"/>
  <c r="L77" i="12" s="1"/>
  <c r="E79" i="12"/>
  <c r="F79" i="12" s="1"/>
  <c r="E78" i="12"/>
  <c r="F78" i="12" s="1"/>
  <c r="F81" i="12" l="1"/>
  <c r="F82" i="12" l="1"/>
</calcChain>
</file>

<file path=xl/sharedStrings.xml><?xml version="1.0" encoding="utf-8"?>
<sst xmlns="http://schemas.openxmlformats.org/spreadsheetml/2006/main" count="3789" uniqueCount="780">
  <si>
    <t>UNIT</t>
  </si>
  <si>
    <t>DESCRIPTION</t>
  </si>
  <si>
    <t>ITEM #</t>
  </si>
  <si>
    <t>QTY.</t>
  </si>
  <si>
    <t>SUB TOTAL</t>
  </si>
  <si>
    <t>ITEM COST</t>
  </si>
  <si>
    <t>Estimate of Materials and Cost of Construction</t>
  </si>
  <si>
    <t>Date:</t>
  </si>
  <si>
    <t>Project:</t>
  </si>
  <si>
    <t>Project Location:</t>
  </si>
  <si>
    <t>REF. SHEET</t>
  </si>
  <si>
    <t>CSI SECT</t>
  </si>
  <si>
    <t>QTY WITH
WASTAGE</t>
  </si>
  <si>
    <t>WASTAGE</t>
  </si>
  <si>
    <t>UNIT MATERIAL COST</t>
  </si>
  <si>
    <t>DETAIL</t>
  </si>
  <si>
    <t>EA</t>
  </si>
  <si>
    <t>SF</t>
  </si>
  <si>
    <t>LS</t>
  </si>
  <si>
    <t>LF</t>
  </si>
  <si>
    <t>DIV-01</t>
  </si>
  <si>
    <t>DIV-09</t>
  </si>
  <si>
    <t>TOTAL MATERIAL COST</t>
  </si>
  <si>
    <t>TOTAL LABOR COST</t>
  </si>
  <si>
    <t>Total Mat. Cost =</t>
  </si>
  <si>
    <t>Total Lab. Cost =</t>
  </si>
  <si>
    <t>DIV-08</t>
  </si>
  <si>
    <t>Windows</t>
  </si>
  <si>
    <t/>
  </si>
  <si>
    <t>Openings</t>
  </si>
  <si>
    <t>Finishes</t>
  </si>
  <si>
    <t>UNIT LABOR HOURS</t>
  </si>
  <si>
    <t>TOTAL LABOR HOURS</t>
  </si>
  <si>
    <t>Door Trim</t>
  </si>
  <si>
    <t>Window Sill</t>
  </si>
  <si>
    <t>DIV-06</t>
  </si>
  <si>
    <t>Ceiling Finishes</t>
  </si>
  <si>
    <t>Door Paint</t>
  </si>
  <si>
    <t>DIV-11</t>
  </si>
  <si>
    <t>DIV-12</t>
  </si>
  <si>
    <t>Furnishing</t>
  </si>
  <si>
    <t>Furniture</t>
  </si>
  <si>
    <t>DIV-22</t>
  </si>
  <si>
    <t>Sheathing</t>
  </si>
  <si>
    <t>DIV-02</t>
  </si>
  <si>
    <t>DIV-03</t>
  </si>
  <si>
    <t>Concrete</t>
  </si>
  <si>
    <t>CY</t>
  </si>
  <si>
    <t>DIV-07</t>
  </si>
  <si>
    <t>Thermal And Moisture Protection</t>
  </si>
  <si>
    <t>Roofing</t>
  </si>
  <si>
    <t>DIV-23</t>
  </si>
  <si>
    <t>DIV-26</t>
  </si>
  <si>
    <t>DIV-10</t>
  </si>
  <si>
    <t>DIV-31</t>
  </si>
  <si>
    <t>Fireplace</t>
  </si>
  <si>
    <t>PER HOUR LABOR RATE</t>
  </si>
  <si>
    <t>Sub Contractor</t>
  </si>
  <si>
    <t>Structural Steel</t>
  </si>
  <si>
    <t>Roof Sheathing</t>
  </si>
  <si>
    <t>Window Installer</t>
  </si>
  <si>
    <t>Siding Contractor</t>
  </si>
  <si>
    <t>Roofer</t>
  </si>
  <si>
    <t>Insulation</t>
  </si>
  <si>
    <t>Interior Painter</t>
  </si>
  <si>
    <t>Exterior Painter</t>
  </si>
  <si>
    <t>Flooring</t>
  </si>
  <si>
    <t>Cabinetry</t>
  </si>
  <si>
    <t>Tiler</t>
  </si>
  <si>
    <t>Storefront</t>
  </si>
  <si>
    <t>Doors</t>
  </si>
  <si>
    <t>Project Type:</t>
  </si>
  <si>
    <t>Framer Lumber</t>
  </si>
  <si>
    <t>Framer Rough Carpenter</t>
  </si>
  <si>
    <t>Paving</t>
  </si>
  <si>
    <t>Site Paint</t>
  </si>
  <si>
    <t>Finish Carpenter</t>
  </si>
  <si>
    <t>Wall Covering</t>
  </si>
  <si>
    <t>Irrigation</t>
  </si>
  <si>
    <t>Erosion Control</t>
  </si>
  <si>
    <t>Final Cleaning</t>
  </si>
  <si>
    <t>Truss</t>
  </si>
  <si>
    <t>Curtain Wall</t>
  </si>
  <si>
    <t>DIV-04</t>
  </si>
  <si>
    <t>DIV-05</t>
  </si>
  <si>
    <t>DIV-32</t>
  </si>
  <si>
    <t>No. of Units</t>
  </si>
  <si>
    <t>No. of Floors</t>
  </si>
  <si>
    <t>Material Wastage 1</t>
  </si>
  <si>
    <t>Material Wastage 2</t>
  </si>
  <si>
    <t>Total Bid</t>
  </si>
  <si>
    <t>Pergolas</t>
  </si>
  <si>
    <t>Trellis</t>
  </si>
  <si>
    <t>(Adjust the percentage for Overhead &amp; Profit as required)</t>
  </si>
  <si>
    <t xml:space="preserve">Sub-Total    </t>
  </si>
  <si>
    <t>Material Tax</t>
  </si>
  <si>
    <t>TOTAL BASE BID</t>
  </si>
  <si>
    <t>TRADE COST</t>
  </si>
  <si>
    <t>Surveying</t>
  </si>
  <si>
    <t>Concrete Testing</t>
  </si>
  <si>
    <t>Plan Coordination</t>
  </si>
  <si>
    <t>Plan Design and Permitting</t>
  </si>
  <si>
    <t>Tool Rentals</t>
  </si>
  <si>
    <t>Tool Shed</t>
  </si>
  <si>
    <t>Dust Control</t>
  </si>
  <si>
    <t>Ice, Water, Beverages</t>
  </si>
  <si>
    <t>Equipment and Tools</t>
  </si>
  <si>
    <t>Signage and Promotion</t>
  </si>
  <si>
    <t>Job Signs</t>
  </si>
  <si>
    <t>Job Photos</t>
  </si>
  <si>
    <t>Promotion/entertainment</t>
  </si>
  <si>
    <t>Misc.</t>
  </si>
  <si>
    <t>Trash</t>
  </si>
  <si>
    <t>Punch List Items</t>
  </si>
  <si>
    <t>Cleaning and Final</t>
  </si>
  <si>
    <t>Casualty Insurance</t>
  </si>
  <si>
    <t>Medical Insurance</t>
  </si>
  <si>
    <t>General Liability Insurance</t>
  </si>
  <si>
    <t>Bonds, Insurance, Legal</t>
  </si>
  <si>
    <t>Wastage</t>
  </si>
  <si>
    <t>Unit</t>
  </si>
  <si>
    <t>LBS</t>
  </si>
  <si>
    <t xml:space="preserve"> ( for Quantities in Each &amp; LS)</t>
  </si>
  <si>
    <t>DIV-33</t>
  </si>
  <si>
    <t>DIV-13</t>
  </si>
  <si>
    <t>Special Construction</t>
  </si>
  <si>
    <t>DIV-14</t>
  </si>
  <si>
    <t>DIV-21</t>
  </si>
  <si>
    <t>Fire Suppression</t>
  </si>
  <si>
    <t>DIV-27</t>
  </si>
  <si>
    <t>Utilities</t>
  </si>
  <si>
    <t>Wall Paint</t>
  </si>
  <si>
    <t>Plumber</t>
  </si>
  <si>
    <t>Dry Waller</t>
  </si>
  <si>
    <t>Earth worker</t>
  </si>
  <si>
    <t>Appliances</t>
  </si>
  <si>
    <t>Total Lab. Hours =</t>
  </si>
  <si>
    <t>Carpenter Millwork</t>
  </si>
  <si>
    <t>Div-28</t>
  </si>
  <si>
    <t>Electronic Safety and Security (FA)</t>
  </si>
  <si>
    <t>Permits (Based on interior finish area)</t>
  </si>
  <si>
    <t>Communication</t>
  </si>
  <si>
    <t>Utilities during construction (Based on interior finish area)</t>
  </si>
  <si>
    <t>Port-o-Potty (Based on interior finish area)</t>
  </si>
  <si>
    <t>Temporary Power (Based on interior finish area)</t>
  </si>
  <si>
    <t xml:space="preserve">Signage  </t>
  </si>
  <si>
    <t>Framer Light Gauge</t>
  </si>
  <si>
    <t>Framer Cold Form</t>
  </si>
  <si>
    <t>Doors &amp; Hardware</t>
  </si>
  <si>
    <t>Pool</t>
  </si>
  <si>
    <t>Awnings / Canopies</t>
  </si>
  <si>
    <t>Millwork</t>
  </si>
  <si>
    <t>Countertops</t>
  </si>
  <si>
    <t>Site Signage</t>
  </si>
  <si>
    <t>Site Concrete</t>
  </si>
  <si>
    <t>Interior Signage</t>
  </si>
  <si>
    <t>Electrician</t>
  </si>
  <si>
    <r>
      <t xml:space="preserve">Engineering </t>
    </r>
    <r>
      <rPr>
        <sz val="12"/>
        <color rgb="FFFF0000"/>
        <rFont val="Calibri"/>
        <family val="2"/>
        <scheme val="minor"/>
      </rPr>
      <t xml:space="preserve"> (Assumed By Owner)</t>
    </r>
  </si>
  <si>
    <r>
      <t xml:space="preserve">Soils Report </t>
    </r>
    <r>
      <rPr>
        <sz val="12"/>
        <color rgb="FFFF0000"/>
        <rFont val="Calibri"/>
        <family val="2"/>
        <scheme val="minor"/>
      </rPr>
      <t xml:space="preserve"> (Assumed By Owner)</t>
    </r>
  </si>
  <si>
    <t>Roof Inspection</t>
  </si>
  <si>
    <t>Gross Internal Area of Structure (SF)</t>
  </si>
  <si>
    <t>Covered Area of Structure (SF)</t>
  </si>
  <si>
    <t>General</t>
  </si>
  <si>
    <t>Hardscaping Area (SF)</t>
  </si>
  <si>
    <t>Soft scaping Area (SF)</t>
  </si>
  <si>
    <t>Landscaper</t>
  </si>
  <si>
    <t>Shoring/SOE</t>
  </si>
  <si>
    <t>TONS</t>
  </si>
  <si>
    <t>Ceiling Paint</t>
  </si>
  <si>
    <t>Pre-Engineered Metal Building</t>
  </si>
  <si>
    <t>Mobilization</t>
  </si>
  <si>
    <t>MATERIAL TAX</t>
  </si>
  <si>
    <t>Door Hardware</t>
  </si>
  <si>
    <t>Wall Finishes</t>
  </si>
  <si>
    <t>Paint on Door Trim</t>
  </si>
  <si>
    <t>Wood, Plastic &amp; Composite</t>
  </si>
  <si>
    <t>Blocking</t>
  </si>
  <si>
    <t>Toilet Accessories</t>
  </si>
  <si>
    <t>(1) 5/8" Gypsum board on both side (4'X8' Ea.)</t>
  </si>
  <si>
    <t>3-5/8" Top and Bottom track</t>
  </si>
  <si>
    <t>Acoustical Sealant at top and bottom of walls on each side</t>
  </si>
  <si>
    <t>(1) 5/8" Gypsum board on one side (4'X8' Ea.)</t>
  </si>
  <si>
    <t>Taping</t>
  </si>
  <si>
    <t xml:space="preserve">Mudding Compound </t>
  </si>
  <si>
    <t>Screws</t>
  </si>
  <si>
    <t>Microwave</t>
  </si>
  <si>
    <t>Concrete Pad Footing</t>
  </si>
  <si>
    <t>(3) #5 Each Way Bars.</t>
  </si>
  <si>
    <t>(4) #5 Each Way Bars.</t>
  </si>
  <si>
    <t>Concrete Foundation Wall</t>
  </si>
  <si>
    <t>Concrete Slab</t>
  </si>
  <si>
    <t>Moisture Barrier:</t>
  </si>
  <si>
    <t>Moisture Barrier for concrete pad footing</t>
  </si>
  <si>
    <t>Moisture Barrier for concrete foundation wall</t>
  </si>
  <si>
    <t>Formwork:</t>
  </si>
  <si>
    <t>Formwork for pad footing</t>
  </si>
  <si>
    <t>Formwork for foundation wall</t>
  </si>
  <si>
    <t>Base Plates</t>
  </si>
  <si>
    <t>Steel Columns</t>
  </si>
  <si>
    <t>Steel Beams</t>
  </si>
  <si>
    <t>Roof Framing</t>
  </si>
  <si>
    <t>Roof Joists</t>
  </si>
  <si>
    <t>Earthwork</t>
  </si>
  <si>
    <t>Excavation</t>
  </si>
  <si>
    <t>Excavation for pad footing</t>
  </si>
  <si>
    <t>Excavation for foundation wall</t>
  </si>
  <si>
    <t>Excavation for slab</t>
  </si>
  <si>
    <t>Signage</t>
  </si>
  <si>
    <t>For Details, see attached schedule at right.</t>
  </si>
  <si>
    <t>Roof Ladder</t>
  </si>
  <si>
    <t>Floor Tiles</t>
  </si>
  <si>
    <t>Asbestos Worker</t>
  </si>
  <si>
    <t>Glazier</t>
  </si>
  <si>
    <t>Ornamental Steel</t>
  </si>
  <si>
    <t>Mobilization For Steel</t>
  </si>
  <si>
    <t>Mobilization For Steel/Reinforcement</t>
  </si>
  <si>
    <t>Metals</t>
  </si>
  <si>
    <t>Equipment</t>
  </si>
  <si>
    <t>Concrete Cont. Footing</t>
  </si>
  <si>
    <t>(3) #5 Cont. Bars.</t>
  </si>
  <si>
    <t>Misc. Items</t>
  </si>
  <si>
    <t>Moisture Barrier for concrete cont. footing</t>
  </si>
  <si>
    <t>Formwork for cont. footing</t>
  </si>
  <si>
    <t>Misc. Items.</t>
  </si>
  <si>
    <t>Specialties</t>
  </si>
  <si>
    <t>Excavation for cont. footing</t>
  </si>
  <si>
    <t>Hazardous Material Handler</t>
  </si>
  <si>
    <t>TOTAL COSTS</t>
  </si>
  <si>
    <t>Scope of Work:</t>
  </si>
  <si>
    <t>COST SUMMARY</t>
  </si>
  <si>
    <t>Bond Fee</t>
  </si>
  <si>
    <t>(Adjust the percentage for Bond Fee as required)</t>
  </si>
  <si>
    <t>Window washing (rough # of windows )</t>
  </si>
  <si>
    <t>Total Base Bid:</t>
  </si>
  <si>
    <t xml:space="preserve">Project Type: </t>
  </si>
  <si>
    <t>Labor Cost</t>
  </si>
  <si>
    <t>Material Cost</t>
  </si>
  <si>
    <t>Total Cost</t>
  </si>
  <si>
    <t>General Requirements</t>
  </si>
  <si>
    <t>Masonry</t>
  </si>
  <si>
    <t>Wood, Plastics &amp; Composites</t>
  </si>
  <si>
    <t>Thermal &amp; Moisture Protection</t>
  </si>
  <si>
    <t>Furnishings</t>
  </si>
  <si>
    <t>CSI Division</t>
  </si>
  <si>
    <t>% of sub-total</t>
  </si>
  <si>
    <t>Comparison with Sub-Quotes</t>
  </si>
  <si>
    <t>Div. No.</t>
  </si>
  <si>
    <t>CMU</t>
  </si>
  <si>
    <t>% of sub-total cost</t>
  </si>
  <si>
    <t>For Client's Use Only</t>
  </si>
  <si>
    <t>Staircases and Railings - Wood</t>
  </si>
  <si>
    <t>Staircases and Railings - Metal</t>
  </si>
  <si>
    <t>Dewatering</t>
  </si>
  <si>
    <t>Exterior  improvements</t>
  </si>
  <si>
    <t>Exterior Signage</t>
  </si>
  <si>
    <t>Site Electrical</t>
  </si>
  <si>
    <t>Demo - Site</t>
  </si>
  <si>
    <t>Site Furnishing</t>
  </si>
  <si>
    <t>Z</t>
  </si>
  <si>
    <t>CSI Div.</t>
  </si>
  <si>
    <t>Hourly Rates</t>
  </si>
  <si>
    <r>
      <t xml:space="preserve">Note: </t>
    </r>
    <r>
      <rPr>
        <b/>
        <sz val="12"/>
        <rFont val="Calibri"/>
        <family val="2"/>
        <scheme val="minor"/>
      </rPr>
      <t xml:space="preserve">Adjusting the per hour labor rate in the table below will automatically update the labor pricing for whole project. To bypass the per hour labor rate for a single item, please put the per hour labor rate against that item in column M of relative tab.
</t>
    </r>
  </si>
  <si>
    <t>DIV-00</t>
  </si>
  <si>
    <r>
      <rPr>
        <b/>
        <sz val="16"/>
        <color rgb="FFFF0000"/>
        <rFont val="Times New Roman"/>
        <family val="1"/>
      </rPr>
      <t>Note:</t>
    </r>
    <r>
      <rPr>
        <b/>
        <sz val="16"/>
        <rFont val="Times New Roman"/>
        <family val="1"/>
      </rPr>
      <t xml:space="preserve"> </t>
    </r>
    <r>
      <rPr>
        <sz val="16"/>
        <rFont val="Times New Roman"/>
        <family val="1"/>
      </rPr>
      <t>To change hourly rates for any trade please go to "Hourly Rates" Tab</t>
    </r>
  </si>
  <si>
    <t>Sub-Contractor/Trade List</t>
  </si>
  <si>
    <t>DIV-1</t>
  </si>
  <si>
    <t>Please read the pdf file 'Guidelines to use Excel'  sent with the estimate in the drop box link.</t>
  </si>
  <si>
    <t>Precast Concrete</t>
  </si>
  <si>
    <t>Playground Equipment</t>
  </si>
  <si>
    <t>Demo - Building</t>
  </si>
  <si>
    <t>Joint Sealants</t>
  </si>
  <si>
    <t>Cast Stone</t>
  </si>
  <si>
    <t>Mailboxes</t>
  </si>
  <si>
    <t>Concrete - Building</t>
  </si>
  <si>
    <t>Fencing and Gates - Wood</t>
  </si>
  <si>
    <t>Fencing and Gates - Metal</t>
  </si>
  <si>
    <t>Stucco - EIFS</t>
  </si>
  <si>
    <t>Mason - CMU</t>
  </si>
  <si>
    <t>(Adjust the percentage for Material tax as required)</t>
  </si>
  <si>
    <t xml:space="preserve">                                  (Changing the wastage percentage here will update the wastage for whole tab)</t>
  </si>
  <si>
    <t>Garbage Dumpster / Trash Containers</t>
  </si>
  <si>
    <t>BASE BID /ALTERNATES/ALLOWANCES</t>
  </si>
  <si>
    <t>SY</t>
  </si>
  <si>
    <t xml:space="preserve"> ( for Quantities in LF, SF, SY, CY, LBS, TONS)</t>
  </si>
  <si>
    <r>
      <t xml:space="preserve">Geological Report  </t>
    </r>
    <r>
      <rPr>
        <sz val="12"/>
        <color rgb="FFFF0000"/>
        <rFont val="Calibri"/>
        <family val="2"/>
        <scheme val="minor"/>
      </rPr>
      <t>(Assumed By Owner)</t>
    </r>
  </si>
  <si>
    <t>CSI Summary for Base Bid</t>
  </si>
  <si>
    <t>Fencing and Gates - Other</t>
  </si>
  <si>
    <t>Sub-Contractor/Trade Summary for Base Bid</t>
  </si>
  <si>
    <t>Mechanical</t>
  </si>
  <si>
    <t>Mason - Cast Stone</t>
  </si>
  <si>
    <t>Mason - Brick Veneer</t>
  </si>
  <si>
    <t>Paneling - Metal</t>
  </si>
  <si>
    <t>Paneling - Wood</t>
  </si>
  <si>
    <t>Paneling - Other</t>
  </si>
  <si>
    <t>Water Proofing &amp; Damp Proofing</t>
  </si>
  <si>
    <t>Cladding - Metal</t>
  </si>
  <si>
    <t>Cladding - Wood</t>
  </si>
  <si>
    <t>Cladding - Other</t>
  </si>
  <si>
    <t>Wire Shelving</t>
  </si>
  <si>
    <t>Accessories</t>
  </si>
  <si>
    <t>Acoustical and Metal Ceiling</t>
  </si>
  <si>
    <t>Elevator</t>
  </si>
  <si>
    <t>Fire Extinguisher</t>
  </si>
  <si>
    <r>
      <t>Architecture</t>
    </r>
    <r>
      <rPr>
        <sz val="12"/>
        <color rgb="FFFF0000"/>
        <rFont val="Calibri"/>
        <family val="2"/>
        <scheme val="minor"/>
      </rPr>
      <t xml:space="preserve"> (Assumed By Owner)</t>
    </r>
  </si>
  <si>
    <t>Stud Walls</t>
  </si>
  <si>
    <t>Paint</t>
  </si>
  <si>
    <t xml:space="preserve">Toilet Partitions </t>
  </si>
  <si>
    <t>DIV-34</t>
  </si>
  <si>
    <t>CLICK HERE TO GO BACK TO COST SUMMARY</t>
  </si>
  <si>
    <t>Hourly Rates Tab</t>
  </si>
  <si>
    <t>Permit Fee</t>
  </si>
  <si>
    <t>Mobilization/Demobilization (Temporary Control &amp; Facilities)</t>
  </si>
  <si>
    <t>Project Management &amp; Supervision</t>
  </si>
  <si>
    <t>Ceiling - Others</t>
  </si>
  <si>
    <t>Clean - Power Wash</t>
  </si>
  <si>
    <t>Clearing &amp; Grubbing</t>
  </si>
  <si>
    <t>Fire Proofing</t>
  </si>
  <si>
    <t>Folding/Moveable Partition</t>
  </si>
  <si>
    <t>Skylight</t>
  </si>
  <si>
    <t>Traffic Control</t>
  </si>
  <si>
    <r>
      <t>Note:</t>
    </r>
    <r>
      <rPr>
        <b/>
        <sz val="16"/>
        <rFont val="Calibri"/>
        <family val="2"/>
        <scheme val="minor"/>
      </rPr>
      <t xml:space="preserve"> Click on any of the above text to go to the relevant Tab</t>
    </r>
  </si>
  <si>
    <t>Piling</t>
  </si>
  <si>
    <t>BOND FEE</t>
  </si>
  <si>
    <r>
      <t xml:space="preserve">Overhead &amp; Profit </t>
    </r>
    <r>
      <rPr>
        <b/>
        <sz val="13"/>
        <color rgb="FFFF0000"/>
        <rFont val="Calibri"/>
        <family val="2"/>
        <scheme val="minor"/>
      </rPr>
      <t>(Labor)</t>
    </r>
  </si>
  <si>
    <r>
      <t xml:space="preserve">Overhead &amp; Profit / Inflation </t>
    </r>
    <r>
      <rPr>
        <b/>
        <sz val="13"/>
        <color rgb="FFFF0000"/>
        <rFont val="Calibri"/>
        <family val="2"/>
        <scheme val="minor"/>
      </rPr>
      <t>(Material)</t>
    </r>
  </si>
  <si>
    <r>
      <t>OVERHEAD &amp; PROFIT / INFLATION</t>
    </r>
    <r>
      <rPr>
        <b/>
        <sz val="12"/>
        <color rgb="FFFF0000"/>
        <rFont val="Calibri"/>
        <family val="2"/>
        <scheme val="minor"/>
      </rPr>
      <t xml:space="preserve"> (Material)</t>
    </r>
  </si>
  <si>
    <r>
      <t>OVERHEAD &amp; PROF</t>
    </r>
    <r>
      <rPr>
        <b/>
        <sz val="12"/>
        <rFont val="Calibri"/>
        <family val="2"/>
      </rPr>
      <t>IT / INFLATION</t>
    </r>
    <r>
      <rPr>
        <b/>
        <sz val="12"/>
        <color rgb="FFFF0000"/>
        <rFont val="Calibri"/>
        <family val="2"/>
      </rPr>
      <t xml:space="preserve"> (Material)</t>
    </r>
  </si>
  <si>
    <r>
      <t>OVERHEAD &amp; PROFIT</t>
    </r>
    <r>
      <rPr>
        <b/>
        <sz val="12"/>
        <color rgb="FFFF0000"/>
        <rFont val="Calibri"/>
        <family val="2"/>
      </rPr>
      <t xml:space="preserve"> (Labor)</t>
    </r>
  </si>
  <si>
    <t>Division Cost with OH&amp;P &amp; Material Tax</t>
  </si>
  <si>
    <t>Enter Sub-Quotes Below</t>
  </si>
  <si>
    <t>Difference</t>
  </si>
  <si>
    <t>Finalized Bid amount</t>
  </si>
  <si>
    <t>Remarks</t>
  </si>
  <si>
    <r>
      <t xml:space="preserve">OVERHEAD &amp; PROFIT </t>
    </r>
    <r>
      <rPr>
        <b/>
        <sz val="12"/>
        <color rgb="FFFF0000"/>
        <rFont val="Calibri"/>
        <family val="2"/>
        <scheme val="minor"/>
      </rPr>
      <t>(Labor)</t>
    </r>
  </si>
  <si>
    <t>Sub Contractor Cost with OH&amp;P &amp; Material Tax</t>
  </si>
  <si>
    <t>Lockers</t>
  </si>
  <si>
    <t>Please don’t edit anything below, without the approval of the Manager (Estimating Department)</t>
  </si>
  <si>
    <t>(4'-0" X 4'-0" X 1'-0") Concrete Pad Footing - F40</t>
  </si>
  <si>
    <t>(5'-0" X 5'-0" X 1'-0") Concrete Pad Footing - F50</t>
  </si>
  <si>
    <t>(6'-0" X 6'-0" X 1'-1") Concrete Pad Footing - F60</t>
  </si>
  <si>
    <t>(5) #5 Each Way Bars.</t>
  </si>
  <si>
    <t>(6) #5 Each Way Bars.</t>
  </si>
  <si>
    <t xml:space="preserve">(2'-0" Wide X 1'-0" Deep) Concrete Cont. Footing </t>
  </si>
  <si>
    <t>(8" Thk X 2'-6" H) Concrete Foundation Wall</t>
  </si>
  <si>
    <t>(1'-10" X 1'-10" X 0'-8") Concrete Pier - P1</t>
  </si>
  <si>
    <t>1/2" Compressible filler joint</t>
  </si>
  <si>
    <t>#4 Horizontal Bars @ 12" O.C.</t>
  </si>
  <si>
    <t>#4 Vertical Bars @ 12" O.C.</t>
  </si>
  <si>
    <t>Concrete Pier</t>
  </si>
  <si>
    <t>(12) #6 Vertical Bars</t>
  </si>
  <si>
    <t>#3 Ties @ 12" O.C.</t>
  </si>
  <si>
    <r>
      <t>(6" Thk) S.O.G -</t>
    </r>
    <r>
      <rPr>
        <b/>
        <sz val="12"/>
        <rFont val="Calibri"/>
        <family val="2"/>
        <scheme val="minor"/>
      </rPr>
      <t xml:space="preserve"> (10659 SF)</t>
    </r>
  </si>
  <si>
    <t>6x6-W2.9xW2.9</t>
  </si>
  <si>
    <r>
      <t>(4" Thk) Porous fill sub base compacted -</t>
    </r>
    <r>
      <rPr>
        <b/>
        <sz val="12"/>
        <rFont val="Calibri"/>
        <family val="2"/>
        <scheme val="minor"/>
      </rPr>
      <t xml:space="preserve"> (10659 SF)</t>
    </r>
  </si>
  <si>
    <t>6Mil Class A Vapor  Barrier for concrete slab</t>
  </si>
  <si>
    <t>Construction/control joint @ 18'-0" O.C</t>
  </si>
  <si>
    <t>Sub-Grade Compaction</t>
  </si>
  <si>
    <t>Moisture Barrier for concrete pier</t>
  </si>
  <si>
    <t>Formwork for concrete pier</t>
  </si>
  <si>
    <t>S-100</t>
  </si>
  <si>
    <t>(1'-5" x 1'-5") 4"x8"x8" CMU (6'-0" H)</t>
  </si>
  <si>
    <t>(3'-0" X 3'-0" X 1'-0") Concrete Pad Footing - F30</t>
  </si>
  <si>
    <t>Aluminum Post</t>
  </si>
  <si>
    <t>4"x4" Aluminum post (6'-0" H)</t>
  </si>
  <si>
    <t>A-103</t>
  </si>
  <si>
    <t>C2-W10x60 (13'-0" H)</t>
  </si>
  <si>
    <t>16"x16"x3/4" Base Plate (22 EA) (30.6 lb./ft)</t>
  </si>
  <si>
    <t>16"x16"x3/4" Base Plate (2 EA) (30.6 lb./ft)</t>
  </si>
  <si>
    <t>C3-HSS5x5x3/8 (13'-0" H) (22.3 lb./ft)</t>
  </si>
  <si>
    <t>W8x10</t>
  </si>
  <si>
    <t>W8x21</t>
  </si>
  <si>
    <t>W12x14</t>
  </si>
  <si>
    <t>W12x16</t>
  </si>
  <si>
    <t>W12x19</t>
  </si>
  <si>
    <t>W14x22</t>
  </si>
  <si>
    <t>W16x26</t>
  </si>
  <si>
    <t>W16x31</t>
  </si>
  <si>
    <t>W16x36</t>
  </si>
  <si>
    <t>W18x35</t>
  </si>
  <si>
    <t>W18x40</t>
  </si>
  <si>
    <t>W18x50</t>
  </si>
  <si>
    <t>W21x44</t>
  </si>
  <si>
    <t>W24x55</t>
  </si>
  <si>
    <t>W24x84</t>
  </si>
  <si>
    <t>HSS7x5x3/8 (27.4 lb./ft)</t>
  </si>
  <si>
    <t>800S200-54 Joist @ 24" O.C (2:12)</t>
  </si>
  <si>
    <t>800S200-54 Joist @ 24" O.C</t>
  </si>
  <si>
    <t>1-1/2" 20-GA Type B roof deck</t>
  </si>
  <si>
    <t>1-1/2" 22-GA Roof deck (2:12)</t>
  </si>
  <si>
    <t>1-1/2" 22-GA Roof deck</t>
  </si>
  <si>
    <t>Roof  Deck</t>
  </si>
  <si>
    <t>cont. 3/8" Bent plate (16"W x 5"H) (15.3 lb./ft)</t>
  </si>
  <si>
    <t>Scaffolding/Lifts Interior RCP Area for Structural Beams  (H= 13' )</t>
  </si>
  <si>
    <t>Scaffolding/Lifts Interior (H= 13' H ) for structural wall members and Columns</t>
  </si>
  <si>
    <t>S-101</t>
  </si>
  <si>
    <t>.060 Non-reinforced fully adhere TPO roofing membrane</t>
  </si>
  <si>
    <t>Cricket roof</t>
  </si>
  <si>
    <t>.040 Aluminum parapet coping</t>
  </si>
  <si>
    <t>Continuous snow guard system</t>
  </si>
  <si>
    <t>Aluminum flashing drip edge</t>
  </si>
  <si>
    <t>5" .040 Aluminum seamless gutter with splash guard</t>
  </si>
  <si>
    <t>24" x 24" Pressure sensitive walkway pad</t>
  </si>
  <si>
    <t>Pre-molded pressure sensitive pipe seal</t>
  </si>
  <si>
    <t>8" Wide aluminum through wall scupper w/ metal grate</t>
  </si>
  <si>
    <t>Overflow drain</t>
  </si>
  <si>
    <t>Roof drain</t>
  </si>
  <si>
    <t>Vapor barrier</t>
  </si>
  <si>
    <t>5-1/2" Polyiso (R=31) Rigid insulation (Mechanically fastened)</t>
  </si>
  <si>
    <t>1/2" Recovery board (dense glass or equal)</t>
  </si>
  <si>
    <t>.040 Aluminum curb counter flashing</t>
  </si>
  <si>
    <t>2x8 Wood blocking</t>
  </si>
  <si>
    <t>(3) 2x6 P.T Wood blocking</t>
  </si>
  <si>
    <t>Lap sealant</t>
  </si>
  <si>
    <t>.040 Aluminum flashing</t>
  </si>
  <si>
    <t>Roof Curb</t>
  </si>
  <si>
    <t>Stainless steel clamping ring</t>
  </si>
  <si>
    <t>Water cut-off mastic</t>
  </si>
  <si>
    <t>3" x 5" .040 Aluminum downspout (15'-6" H)</t>
  </si>
  <si>
    <t>Batt insulation (R=30)</t>
  </si>
  <si>
    <t>A-106</t>
  </si>
  <si>
    <t>A-303</t>
  </si>
  <si>
    <t>Standing seam metal roof (2:12)</t>
  </si>
  <si>
    <t>Wall Type 1 (2'-2" H)</t>
  </si>
  <si>
    <t>6" Top and Bottom track</t>
  </si>
  <si>
    <t>(1) 5/8" Gypsum board on interior side (4'X8' Ea.)</t>
  </si>
  <si>
    <t>Closed cell spray foam insulation (R=6.8)</t>
  </si>
  <si>
    <t>Horizontal C.R. channel @ 4'-0" O.C Vertical</t>
  </si>
  <si>
    <t xml:space="preserve">6" 16GA Metal Studs @ 16" O.C. (10' H)   </t>
  </si>
  <si>
    <t>Wall Type 1 (3'-6" H)</t>
  </si>
  <si>
    <t>Wall Type 1 (4'-0" H)</t>
  </si>
  <si>
    <t>Wall Type 1 (4'-6" H)</t>
  </si>
  <si>
    <t>Wall Type 1 (14'-6" H)</t>
  </si>
  <si>
    <t>Wall Type 1 (15'-2" H)</t>
  </si>
  <si>
    <t>Wall Type 1 (15'-6" H)</t>
  </si>
  <si>
    <t>Wall Type 1 (16'-3" H)</t>
  </si>
  <si>
    <t>Wall Type 1 (17'-8" H)</t>
  </si>
  <si>
    <t xml:space="preserve">6" 16GA Metal Studs @ 16" O.C. (8' H)   </t>
  </si>
  <si>
    <t xml:space="preserve">6" 16GA Metal Studs @ 16" O.C. (16' H)   </t>
  </si>
  <si>
    <t xml:space="preserve">6" 16GA Metal Studs @ 16" O.C. (18' H)   </t>
  </si>
  <si>
    <t>Wall Type 2 (13'-0" H)</t>
  </si>
  <si>
    <t>3-1/2" Unfaced sound batt insulation</t>
  </si>
  <si>
    <t>3-5/8" Top Slip track</t>
  </si>
  <si>
    <t>3-5/8" Bottom track</t>
  </si>
  <si>
    <t xml:space="preserve">3-5/8" 22GA Metal Studs @ 16" O.C. (14' H)   </t>
  </si>
  <si>
    <t>Wall Type 3A (13'-0" H)</t>
  </si>
  <si>
    <t>Wall Type 3B (13'-0" H)</t>
  </si>
  <si>
    <t>(1) 5/8" M.R. Gypsum board on both side (4'X8' Ea.)</t>
  </si>
  <si>
    <t>Wall Type 3 (13'-0" H)</t>
  </si>
  <si>
    <t>Wall Type 3 (13'-0" H)  Soundproofing</t>
  </si>
  <si>
    <t>3-1/2" Spray foam insulation</t>
  </si>
  <si>
    <t>Wall Type 5 (13'-0" H)</t>
  </si>
  <si>
    <t xml:space="preserve">3-5/8" 20GA Metal Studs @ 16" O.C. (14' H)   </t>
  </si>
  <si>
    <t>Wall Type 7 (13'-0" H)</t>
  </si>
  <si>
    <t>Wall Type 8 (13'-0" H)</t>
  </si>
  <si>
    <t>6" Metal Stud @ 16" O.C (8'-6" H)</t>
  </si>
  <si>
    <t>2x6 Wood Stud Wall  (2'-6" H)</t>
  </si>
  <si>
    <t>(1) 1/2" Plywood sheathing on both side (4'X8' Ea.)</t>
  </si>
  <si>
    <t xml:space="preserve">2x6 Wood Studs @ 16" O.C. (8' H)   </t>
  </si>
  <si>
    <t>(2) 2x6 Top Plate</t>
  </si>
  <si>
    <t>2x6 P.T. Bottom Plate</t>
  </si>
  <si>
    <t>2x6 Wood Stud Wall  (2'-10" H)</t>
  </si>
  <si>
    <t>2x6 Wood Stud Wall  (3'-6" H)</t>
  </si>
  <si>
    <t xml:space="preserve">2x6 Wood Studs @ 16" O.C. (10' H)   </t>
  </si>
  <si>
    <t>A-101</t>
  </si>
  <si>
    <t>A-001</t>
  </si>
  <si>
    <t>Metal Stud Framing (7/A-304)</t>
  </si>
  <si>
    <t>(1) 3/4" FRT exterior plywood sheathing on exterior side (4'X8' Ea.)</t>
  </si>
  <si>
    <t xml:space="preserve">6" 16GA Metal Studs </t>
  </si>
  <si>
    <t>Scaffolding/Lifts Interior  (H= 15'-4" Avg.)</t>
  </si>
  <si>
    <t>Glass Partition</t>
  </si>
  <si>
    <t>A-304</t>
  </si>
  <si>
    <t>A-107</t>
  </si>
  <si>
    <t>A-604</t>
  </si>
  <si>
    <t>Mini refrigerator</t>
  </si>
  <si>
    <t>TV</t>
  </si>
  <si>
    <t>Countertop &amp; Backsplash</t>
  </si>
  <si>
    <t>(2" High x 2'-6" Deep) Pencil drawer - PL-01</t>
  </si>
  <si>
    <t>(2'-0" High x 2'-0" Deep) Lockable drawer - PL-02</t>
  </si>
  <si>
    <t>(2'-0" High x 2'-0" Deep) Drawer - PL-02</t>
  </si>
  <si>
    <t>(2'-0" High x 2'-0" Deep) Lockable drawer - PL-03</t>
  </si>
  <si>
    <t>(2'-0" High x 1'-10" Deep) Lockable drawer - PL-03</t>
  </si>
  <si>
    <t>(0'-7" High x 1'-0" Deep) Drawer - PL-03</t>
  </si>
  <si>
    <t>Shelving</t>
  </si>
  <si>
    <t>(1'-0" Deep) 2" Thick floating shelves</t>
  </si>
  <si>
    <t>(1'-0" Deep) 3" Thick floating shelves</t>
  </si>
  <si>
    <t>(10" Deep) 1" Shelf divider</t>
  </si>
  <si>
    <t>(10" Deep) 1/2" Plywood with plastic  laminate shelving - PL-01</t>
  </si>
  <si>
    <t>4" Cont. ledger board</t>
  </si>
  <si>
    <t>Steel angle for countertop support</t>
  </si>
  <si>
    <t>2-1/2" Grommet</t>
  </si>
  <si>
    <t>2x1/2" Plywood with plastic laminate wrap</t>
  </si>
  <si>
    <t>3" Dia metal supports leg matt black finish (2'-6" H)</t>
  </si>
  <si>
    <t>Plastic laminate desktop - PL-02
Material: LAMINATE
Manufacturer: FORMICA
Finish: BUFF ELM 5793</t>
  </si>
  <si>
    <t>4" High Backsplash - PL-02
Material: LAMINATE
Manufacturer: FORMICA
Finish: BUFF ELM 5793</t>
  </si>
  <si>
    <t>Plastic laminate countertop - PL-03
Material: LAMINATE
Manufacturer: FORMICA
Finish: WHITE 949-90</t>
  </si>
  <si>
    <t>1-1/2" Thick countertop surface - PL-05
Material: LAMINATE
Manufacturer: WILSONART
Finish: CALCUTTA MARBLE 4925-07</t>
  </si>
  <si>
    <t>4" High Backsplash - PL-05
Material: LAMINATE
Manufacturer: WILSONART
Finish: CALCUTTA MARBLE 4925-07</t>
  </si>
  <si>
    <t>Quarts Countertop - QT-01
Material: QUARTZ
Manufacturer: WILSONART
Finish: CALACATTA SERCHIO Q4059</t>
  </si>
  <si>
    <t>(1'-0" High) Quarts backsplash- QT-01
Material: QUARTZ
Manufacturer: WILSONART
Finish: CALACATTA SERCHIO Q4059</t>
  </si>
  <si>
    <t xml:space="preserve">Quarts Countertop - QT-02
Material: QUARTZ
Manufacturer: WILSONART
Finish: RIVER GLEN Q4053 </t>
  </si>
  <si>
    <t xml:space="preserve">(1'-0" High) Quarts backsplash- QT-02
Material: QUARTZ
Manufacturer: WILSONART
Finish: RIVER GLEN Q4053 </t>
  </si>
  <si>
    <t xml:space="preserve">4" High backsplash - QT-02
Material: QUARTZ
Manufacturer: WILSONART
Finish: RIVER GLEN Q4053 </t>
  </si>
  <si>
    <t xml:space="preserve">Solid surface countertop - SS-01
Material: SOLID SURFACE
Manufacturer: WILSONART
Finish: FROSTY WHITE 1573SL </t>
  </si>
  <si>
    <t>Solid surface countertop - SS-02
Material: SOLID SURFACE
Manufacturer: WILSONART
Finish: MORNING ICE 9204CE</t>
  </si>
  <si>
    <t>4" High Backsplash - SS-02
Material: SOLID SURFACE
Manufacturer: WILSONART
Finish: MORNING ICE 9204CE</t>
  </si>
  <si>
    <t>Solid surface countertop - SS-03
Material: SOLID SURFACE
Manufacturer:  MEGANITE
Finish: CANVAS MIST 312AR</t>
  </si>
  <si>
    <t>4" High Backsplash - SS-03
Material: SOLID SURFACE
Manufacturer:  MEGANITE
Finish: CANVAS MIST 312AR</t>
  </si>
  <si>
    <t>(2'-6" High x 2'-0" Deep) Base cabinets w/ 1 Layers adjustable shelving -  PL-02</t>
  </si>
  <si>
    <t>(2'-4" High x 2'-0" Deep) Base cabinets w/ 1 Layers adjustable shelving - PL-02</t>
  </si>
  <si>
    <t>(2'-2" High x 2'-0" Deep) Base cabinets w/ 1 Layers adjustable shelving - PL-02</t>
  </si>
  <si>
    <t>(2'-0" High x 2'-0" Deep) Base cabinets w/ 1 Layers adjustable shelving - PL-02</t>
  </si>
  <si>
    <t>(2'-0" High x 2'-0" Deep) Wall cabinets w/ 1 Layers adjustable shelving - PL-02</t>
  </si>
  <si>
    <t>(2'-6" High x 2'-0" Deep) Wall cabinets w/ 1 Layers adjustable shelving - PL-02</t>
  </si>
  <si>
    <t>(1'-6" High x 1'-0" Deep) Wall cabinets w/ 1 Layers adjustable shelving - PL-02</t>
  </si>
  <si>
    <t>(2'-0" High x 1'-0" Deep) Wall cabinets w/ 1 Layers adjustable shelving - PL-02</t>
  </si>
  <si>
    <t>(2'-6" High x 1'-0" Deep) Wall cabinets w/ 1 Layers adjustable shelving - PL-02</t>
  </si>
  <si>
    <t>(2'-4" High x 2'-0" Deep) Base cabinets w/ 1 Layers adjustable shelving - PL-03</t>
  </si>
  <si>
    <t>(6'-8" High x 2'-0" Deep) Cabinets w/ 3 Layers adjustable shelving - PL-02</t>
  </si>
  <si>
    <t>(2'-6" High x 1'-10" Deep) Base cabinets w/ 1 Layers adjustable shelving - PL- 04</t>
  </si>
  <si>
    <t>(2'-6" High x 2'-0" Deep) Base cabinets w/ 1 Layers adjustable shelving -  PL-06</t>
  </si>
  <si>
    <t>(2'-4" High x 2'-0" Deep) Base cabinets w/ 1 Layers adjustable shelving - PL-07</t>
  </si>
  <si>
    <t>(2'-6" High x 1'-0" Deep) Wall cabinets w/ 1 Layers adjustable shelving - PL-07</t>
  </si>
  <si>
    <t>(6'-8" High x 2'-0" Deep) Cabinets w/ 3 Layers adjustable shelving - PL-07</t>
  </si>
  <si>
    <t>4" High toe kick (2x4 Wood Blocking)</t>
  </si>
  <si>
    <t>A-601-A-608</t>
  </si>
  <si>
    <t>Ceiling Mounted Equipment Framing</t>
  </si>
  <si>
    <t>3-5/8" 16GA Metal Stud</t>
  </si>
  <si>
    <t>3-5/8" 16GA metal stud top track</t>
  </si>
  <si>
    <t>3-5/8" 16GA metal stud rack bracing</t>
  </si>
  <si>
    <t>A-104</t>
  </si>
  <si>
    <t>SA.1</t>
  </si>
  <si>
    <t>(2'-2" Wide X 17-6"' H) Roof Ladder</t>
  </si>
  <si>
    <t>4x4 Wood post (13'-0" H)</t>
  </si>
  <si>
    <t>Mortar Setting Bed</t>
  </si>
  <si>
    <t>Mortar Scratch Coat And Lath W/ Builders Paper</t>
  </si>
  <si>
    <t>STONE VENEER "ST-01" 
Color: GRAY</t>
  </si>
  <si>
    <t>Stone Veneer On Fence Column</t>
  </si>
  <si>
    <t>Fluid applied vapor barrier</t>
  </si>
  <si>
    <t>(1'-6" x 1'-6") Precast stone sill</t>
  </si>
  <si>
    <t>A-201, A-202</t>
  </si>
  <si>
    <t>Scaffolding/lift for Stone Veneer (Avg. Ht 17')</t>
  </si>
  <si>
    <t>A-401</t>
  </si>
  <si>
    <t>(3'-0" X 8'-0") Wooden Door Type "B" With Hollow Metal Frame</t>
  </si>
  <si>
    <t>(3'-0" X 8'-0") Hollow Metal Door Type "C" With Hollow Metal Frame</t>
  </si>
  <si>
    <t>(3'-0" X 8'-0") Wooden Door Type "C" With Hollow Metal Frame</t>
  </si>
  <si>
    <t>(3'-0" X 8'-0") Hollow Metal Door Type "D" With Hollow Metal Frame</t>
  </si>
  <si>
    <t>(2'-0" X 8'-0") Wooden Door Type "E" With Hollow Metal Frame</t>
  </si>
  <si>
    <t>(3'-0" X 8'-0") Hollow Metal Door Type "E" With Hollow Metal Frame</t>
  </si>
  <si>
    <t>(3'-0" X 8'-0") Wooden Door Type "E" With Hollow Metal Frame</t>
  </si>
  <si>
    <t>(3'-0" X 8'-0") Wooden Door Type "J" With Hollow Metal Frame</t>
  </si>
  <si>
    <t>(3'-0" X 8'-0") Wooden Door Type "K" With Hollow Metal Frame</t>
  </si>
  <si>
    <t>(4'-0" X 8'-0") Wooden Door Type "L" With Hollow Metal Frame</t>
  </si>
  <si>
    <t>(3'-0" X 8'-0") Wooden Door Type "O" With Hollow Metal Frame</t>
  </si>
  <si>
    <r>
      <rPr>
        <b/>
        <sz val="12"/>
        <rFont val="Calibri"/>
        <family val="2"/>
        <scheme val="minor"/>
      </rPr>
      <t>Hardware Set "HW-1"</t>
    </r>
    <r>
      <rPr>
        <sz val="12"/>
        <rFont val="Calibri"/>
        <family val="2"/>
        <scheme val="minor"/>
      </rPr>
      <t xml:space="preserve">
1 BOTTOM PATCH
1 DOOR TOP PATCH RAIL
1 PIVOT
1 DEADBOLT
1 MORTISE CYLINDER
1 CYLINDER CORE
1 TUMBTURN CYLINDER
2 PULL
1 DOOR STOP (WALL / FLOOR)</t>
    </r>
  </si>
  <si>
    <r>
      <rPr>
        <b/>
        <sz val="12"/>
        <rFont val="Calibri"/>
        <family val="2"/>
        <scheme val="minor"/>
      </rPr>
      <t>Hardware Set "HW-2"</t>
    </r>
    <r>
      <rPr>
        <sz val="12"/>
        <rFont val="Calibri"/>
        <family val="2"/>
        <scheme val="minor"/>
      </rPr>
      <t xml:space="preserve">
1 SLIDING DOOR HDWE PF28200A7296
1 SLIDING DOOR HDWE PF134KIT
1 RIM CYLINDER
1 CYLINDER CORE
1 LOCKING PULL</t>
    </r>
  </si>
  <si>
    <r>
      <rPr>
        <b/>
        <sz val="12"/>
        <rFont val="Calibri"/>
        <family val="2"/>
        <scheme val="minor"/>
      </rPr>
      <t>Hardware Set "HW-3"</t>
    </r>
    <r>
      <rPr>
        <sz val="12"/>
        <rFont val="Calibri"/>
        <family val="2"/>
        <scheme val="minor"/>
      </rPr>
      <t xml:space="preserve">
1 BARN DOOR I-STRAP
SLIDING SYSTEM (MATTE BLACK)
1 FLUSH PULL (SET)</t>
    </r>
  </si>
  <si>
    <r>
      <rPr>
        <b/>
        <sz val="12"/>
        <rFont val="Calibri"/>
        <family val="2"/>
        <scheme val="minor"/>
      </rPr>
      <t>Hardware Set "HW-4"</t>
    </r>
    <r>
      <rPr>
        <sz val="12"/>
        <rFont val="Calibri"/>
        <family val="2"/>
        <scheme val="minor"/>
      </rPr>
      <t xml:space="preserve">
2 CONTINUOUS HINGE
1 CONCEALED VERT ROD EXIT, EXIT ONLY
1 CONCEALED VERT. ROD EXIT, STOREROOM
1 RIM CYLINDER
2 MORTISE CYLINDER
3 CYLINDER CORE
2 DOOR PULL
2 CONC OVERHED STOP
2 DOOR CLOSER
1 THRESHOLD
1 RAIN GUARD
2 SWEEP
2 DOOR POSITION SWITCH</t>
    </r>
  </si>
  <si>
    <r>
      <rPr>
        <b/>
        <sz val="12"/>
        <rFont val="Calibri"/>
        <family val="2"/>
        <scheme val="minor"/>
      </rPr>
      <t>Hardware Set "HW-5"</t>
    </r>
    <r>
      <rPr>
        <sz val="12"/>
        <rFont val="Calibri"/>
        <family val="2"/>
        <scheme val="minor"/>
      </rPr>
      <t xml:space="preserve">
1 CONTINUOUS HINGE
1 MORTISE DEADLOCK
1 MORTISE CYLINDER
1 CYLINDER CORE
1 THUMBTURN CYLINDER
1 PUSH BAR &amp; PULL
1 CONC. OVERHAED STOP
1 DOOR CLSOER
1 THRESHOLD
1 RAIN GUARD
1 SWEEP (WITH DRIP EDGE)
1 DOOR POSITION SWITCH</t>
    </r>
  </si>
  <si>
    <r>
      <rPr>
        <b/>
        <sz val="12"/>
        <rFont val="Calibri"/>
        <family val="2"/>
        <scheme val="minor"/>
      </rPr>
      <t>Hardware Set "HW-6"</t>
    </r>
    <r>
      <rPr>
        <sz val="12"/>
        <rFont val="Calibri"/>
        <family val="2"/>
        <scheme val="minor"/>
      </rPr>
      <t xml:space="preserve">
1 CONTINUOUS HINGE
1 RIM EXIT DEVICE, NIGHTLATCH
1 RIM CYLINDER
1 MORTISE CYLINDER
2 CYLINDER CORE
1 DOOR CLOSER
1 KICK PLATE
1 THRESHOLD
1 RAIN GUARD
1 SMOKE SEAL GASKETING (HEAD/JAMB)
1 SWEEP (WITH DRIP EDGE)
1 DOOR POSITION SWITCH
1 VIEWER</t>
    </r>
  </si>
  <si>
    <r>
      <rPr>
        <b/>
        <sz val="12"/>
        <rFont val="Calibri"/>
        <family val="2"/>
        <scheme val="minor"/>
      </rPr>
      <t>Hardware Set "HW-8"</t>
    </r>
    <r>
      <rPr>
        <sz val="12"/>
        <rFont val="Calibri"/>
        <family val="2"/>
        <scheme val="minor"/>
      </rPr>
      <t xml:space="preserve">
1 CONTINUOUS HINGE
1 STOREROOM LOCK
1 CYLINDER CORE
1 DOOR CLSOER
1 KICK PLATE
1 THRESHOLD
1 RAIN GUARD
1 SMOKE SEAL GASKETING (HEAD/JAMB)
1 SWEEP (WITH DRIP EDGE)
1 DOOR POSITION SWITCH</t>
    </r>
  </si>
  <si>
    <r>
      <rPr>
        <b/>
        <sz val="12"/>
        <rFont val="Calibri"/>
        <family val="2"/>
        <scheme val="minor"/>
      </rPr>
      <t>Hardware Set "HW-9"</t>
    </r>
    <r>
      <rPr>
        <sz val="12"/>
        <rFont val="Calibri"/>
        <family val="2"/>
        <scheme val="minor"/>
      </rPr>
      <t xml:space="preserve">
2 CONTINUOUS HINGE
1 CONCEALED VERT ROD EXIT, EXIT ONLY
1 CONCEALED VERT. ROD EXIT, STOREROOM
1 RIM CYLINDER
2 MORTISE CYLINDER
3 CYLINDER CORE
2 DOOR PULL
2 DOOR CLOSER
2 DOOR STOP (WALL/FLOOR)</t>
    </r>
  </si>
  <si>
    <r>
      <rPr>
        <b/>
        <sz val="12"/>
        <rFont val="Calibri"/>
        <family val="2"/>
        <scheme val="minor"/>
      </rPr>
      <t>Hardware Set "HW-10"</t>
    </r>
    <r>
      <rPr>
        <sz val="12"/>
        <rFont val="Calibri"/>
        <family val="2"/>
        <scheme val="minor"/>
      </rPr>
      <t xml:space="preserve">
4 HINGE, FULL MORTISE, HEAVY WEIGHT
1 RIM EXIT DEVICE, NIGHTLATCH
1 RIM CYLINDER
1 MORTISE CYLINDER
2 CYLINDER CORE
1 DOOR CLOSER
1 KICK PLATE
3 SILENCER</t>
    </r>
  </si>
  <si>
    <r>
      <rPr>
        <b/>
        <sz val="12"/>
        <rFont val="Calibri"/>
        <family val="2"/>
        <scheme val="minor"/>
      </rPr>
      <t>Hardware Set "HW-11"</t>
    </r>
    <r>
      <rPr>
        <sz val="12"/>
        <rFont val="Calibri"/>
        <family val="2"/>
        <scheme val="minor"/>
      </rPr>
      <t xml:space="preserve">
8 HINGE, FULL MORTISE
1 DUST PROOF STRIKE
2 FLUSH BOLT (MANUAL)
1 STOREROOM LOCK
2 SURF OVERHEAD STOP
2 SILENCER</t>
    </r>
  </si>
  <si>
    <r>
      <rPr>
        <b/>
        <sz val="12"/>
        <rFont val="Calibri"/>
        <family val="2"/>
        <scheme val="minor"/>
      </rPr>
      <t>Hardware Set "HW-12"</t>
    </r>
    <r>
      <rPr>
        <sz val="12"/>
        <rFont val="Calibri"/>
        <family val="2"/>
        <scheme val="minor"/>
      </rPr>
      <t xml:space="preserve">
4 HINGE, FULL MORTISE
1 STOREROOM LOCK
1 CYLINDER CORE
1 DOOR STOP (WALL/FLOOR)
3 SILENCER</t>
    </r>
  </si>
  <si>
    <r>
      <rPr>
        <b/>
        <sz val="12"/>
        <rFont val="Calibri"/>
        <family val="2"/>
        <scheme val="minor"/>
      </rPr>
      <t>Hardware Set "HW-13"</t>
    </r>
    <r>
      <rPr>
        <sz val="12"/>
        <rFont val="Calibri"/>
        <family val="2"/>
        <scheme val="minor"/>
      </rPr>
      <t xml:space="preserve">
4 HINGE, FULL MORTISE
1 STOREROOM LOCK
1 CYLINDER CORE
2 SURF OVERHEAD STOP
3 SILENCER</t>
    </r>
  </si>
  <si>
    <r>
      <rPr>
        <b/>
        <sz val="12"/>
        <rFont val="Calibri"/>
        <family val="2"/>
        <scheme val="minor"/>
      </rPr>
      <t>Hardware Set "HW-14"</t>
    </r>
    <r>
      <rPr>
        <sz val="12"/>
        <rFont val="Calibri"/>
        <family val="2"/>
        <scheme val="minor"/>
      </rPr>
      <t xml:space="preserve">
4 HINGE, FULL MORTISE
1 STOREROOM LOCK
1 CYLINDER CORE
1 DOOR CLOSER
1 KICK PLATE
1 DOOR STOP (WALL/FLOOR)
3 SILENCER</t>
    </r>
  </si>
  <si>
    <r>
      <rPr>
        <b/>
        <sz val="12"/>
        <rFont val="Calibri"/>
        <family val="2"/>
        <scheme val="minor"/>
      </rPr>
      <t>Hardware Set "HW-15"</t>
    </r>
    <r>
      <rPr>
        <sz val="12"/>
        <rFont val="Calibri"/>
        <family val="2"/>
        <scheme val="minor"/>
      </rPr>
      <t xml:space="preserve">
4 HINGE, FULL MORTISE
1 STOREROOM LOCK
1 CYLINDER CORE
1 DOOR CLOSER
1 KICK PLATE
3 SILENCER</t>
    </r>
  </si>
  <si>
    <r>
      <rPr>
        <b/>
        <sz val="12"/>
        <rFont val="Calibri"/>
        <family val="2"/>
        <scheme val="minor"/>
      </rPr>
      <t>Hardware Set "HW-16"</t>
    </r>
    <r>
      <rPr>
        <sz val="12"/>
        <rFont val="Calibri"/>
        <family val="2"/>
        <scheme val="minor"/>
      </rPr>
      <t xml:space="preserve">
4 HINGE, FULL MORTISE
1 OFFICE LOCK
1 CYLINDER CORE
1 DOOR STOP (WALL/FLOOR)
3 SILENCER</t>
    </r>
  </si>
  <si>
    <r>
      <rPr>
        <b/>
        <sz val="12"/>
        <rFont val="Calibri"/>
        <family val="2"/>
        <scheme val="minor"/>
      </rPr>
      <t>Hardware Set "HW-17"</t>
    </r>
    <r>
      <rPr>
        <sz val="12"/>
        <rFont val="Calibri"/>
        <family val="2"/>
        <scheme val="minor"/>
      </rPr>
      <t xml:space="preserve">
4 HINGE, FULL MORTISE
1 PASSAGE LATCH
1 DOOR STOP (WALL/FLOOR)
1 SMOKE SEAL GASKETING (HEAD/JAMB)
1 SWEEP</t>
    </r>
  </si>
  <si>
    <r>
      <rPr>
        <b/>
        <sz val="12"/>
        <rFont val="Calibri"/>
        <family val="2"/>
        <scheme val="minor"/>
      </rPr>
      <t>Hardware Set "HW-18"</t>
    </r>
    <r>
      <rPr>
        <sz val="12"/>
        <rFont val="Calibri"/>
        <family val="2"/>
        <scheme val="minor"/>
      </rPr>
      <t xml:space="preserve">
4 HINGE, FULL MORTISE
1 PASSAGE LATCH
1 DOOR CLOSER
1 KICK PLATE
1 DOOR STOP (WALL/FLOOR)
3 SILENCER</t>
    </r>
  </si>
  <si>
    <r>
      <rPr>
        <b/>
        <sz val="12"/>
        <rFont val="Calibri"/>
        <family val="2"/>
        <scheme val="minor"/>
      </rPr>
      <t>Hardware Set "HW-19"</t>
    </r>
    <r>
      <rPr>
        <sz val="12"/>
        <rFont val="Calibri"/>
        <family val="2"/>
        <scheme val="minor"/>
      </rPr>
      <t xml:space="preserve">
4 HINGE, FULL MORTISE
1 STOREROOM LOCK
1 CYLINDER CORE
1 DOOR CLOSER
1 KICK PLATE
1 DOOR STOP
3 SILENCER</t>
    </r>
  </si>
  <si>
    <r>
      <rPr>
        <b/>
        <sz val="12"/>
        <rFont val="Calibri"/>
        <family val="2"/>
        <scheme val="minor"/>
      </rPr>
      <t>Hardware Set "HW-20"</t>
    </r>
    <r>
      <rPr>
        <sz val="12"/>
        <rFont val="Calibri"/>
        <family val="2"/>
        <scheme val="minor"/>
      </rPr>
      <t xml:space="preserve">
4 HINGE, FULL MORTISE
1 PASSAGE LATCH
1 SURF OVERHED STOP
1 DOOR CLOSER
1 KICK PLATE
3 SILENCER</t>
    </r>
  </si>
  <si>
    <r>
      <rPr>
        <b/>
        <sz val="12"/>
        <rFont val="Calibri"/>
        <family val="2"/>
        <scheme val="minor"/>
      </rPr>
      <t>Hardware Set "HW-21"</t>
    </r>
    <r>
      <rPr>
        <sz val="12"/>
        <rFont val="Calibri"/>
        <family val="2"/>
        <scheme val="minor"/>
      </rPr>
      <t xml:space="preserve">
4 HINGE, FULL MORTISE
1 PRIVACY LOCK
1 DOOR CLOSER
1 MOP PLATE
1 KICK PLATE
1 DOOR STOP (WALL/FLOOR)
1 SMOKE SEAL GASKETING (HEAD/JAMB)
1 COAT HOOK</t>
    </r>
  </si>
  <si>
    <t>A-402</t>
  </si>
  <si>
    <r>
      <rPr>
        <b/>
        <sz val="12"/>
        <rFont val="Calibri"/>
        <family val="2"/>
        <scheme val="minor"/>
      </rPr>
      <t>(24" X 24)</t>
    </r>
    <r>
      <rPr>
        <sz val="12"/>
        <rFont val="Calibri"/>
        <family val="2"/>
        <scheme val="minor"/>
      </rPr>
      <t xml:space="preserve"> ACOUSTIC CEILING TILE "ACT-01" @ 10' Height
Manufacturer: ARMSTRONG
Color: White</t>
    </r>
  </si>
  <si>
    <r>
      <rPr>
        <b/>
        <sz val="12"/>
        <rFont val="Calibri"/>
        <family val="2"/>
        <scheme val="minor"/>
      </rPr>
      <t>(24" X 24</t>
    </r>
    <r>
      <rPr>
        <sz val="12"/>
        <rFont val="Calibri"/>
        <family val="2"/>
        <scheme val="minor"/>
      </rPr>
      <t>) ACOUSTIC CEILING TILE "ACT-01" @ 11'-6" Height
Manufacturer: ARMSTRONG
Color: White</t>
    </r>
  </si>
  <si>
    <r>
      <rPr>
        <b/>
        <sz val="12"/>
        <rFont val="Calibri"/>
        <family val="2"/>
        <scheme val="minor"/>
      </rPr>
      <t>(24" X 24)</t>
    </r>
    <r>
      <rPr>
        <sz val="12"/>
        <rFont val="Calibri"/>
        <family val="2"/>
        <scheme val="minor"/>
      </rPr>
      <t xml:space="preserve"> ACOUSTIC CEILING TILE "ACT-02" @ 10' Height
Manufacturer: ARMSTRONG
Color: White1775</t>
    </r>
  </si>
  <si>
    <t>GYPSUM WALL BOARD "GWB-01" @ 10'-6" Height
Manufacturer: LOCAL SOURCE
Color/Finish: PAINTED</t>
  </si>
  <si>
    <t>GYPSUM WALL BOARD "GWB-01" @ 10' Height
Manufacturer: LOCAL SOURCE
Color/Finish: PAINTED</t>
  </si>
  <si>
    <t>GYPSUM WALL BOARD "GWB-01" @ 11'-6" Height
Manufacturer: LOCAL SOURCE
Color/Finish: PAINTED</t>
  </si>
  <si>
    <t>GYPSUM WALL BOARD "GWB-01" @ 9'-6" Height
Manufacturer: LOCAL SOURCE
Color/Finish: PAINTED</t>
  </si>
  <si>
    <t>GYPSUM WALL BOARD "GWB-01" @ 9' Height
Manufacturer: LOCAL SOURCE
Color/Finish: PAINTED</t>
  </si>
  <si>
    <t>GYPSUM WALL BOARD "GWB-01" @ 8'-6" Height
Manufacturer: LOCAL SOURCE
Color/Finish: PAINTED</t>
  </si>
  <si>
    <t>ACOUSTIC CEILING BAFFLES "ACB-01"
Manufacturer: TURF
Color: LIGHT BLUE #11</t>
  </si>
  <si>
    <t>(12") Unfaced Sound Batt Insulation</t>
  </si>
  <si>
    <t>A-102</t>
  </si>
  <si>
    <r>
      <rPr>
        <b/>
        <sz val="12"/>
        <rFont val="Calibri"/>
        <family val="2"/>
        <scheme val="minor"/>
      </rPr>
      <t>PATCRAFT "LVT-01"</t>
    </r>
    <r>
      <rPr>
        <sz val="12"/>
        <rFont val="Calibri"/>
        <family val="2"/>
        <scheme val="minor"/>
      </rPr>
      <t xml:space="preserve">
Manufacturer: PATCRAFT
Color/Finish: FOSSIL 00505</t>
    </r>
  </si>
  <si>
    <r>
      <rPr>
        <b/>
        <sz val="12"/>
        <rFont val="Calibri"/>
        <family val="2"/>
        <scheme val="minor"/>
      </rPr>
      <t>LUXURY VINYL TILE "LVT-02"</t>
    </r>
    <r>
      <rPr>
        <sz val="12"/>
        <rFont val="Calibri"/>
        <family val="2"/>
        <scheme val="minor"/>
      </rPr>
      <t xml:space="preserve">
Manufacturer: PATCRAFT
Color/Finish: CLAST 00565</t>
    </r>
  </si>
  <si>
    <r>
      <rPr>
        <b/>
        <sz val="12"/>
        <rFont val="Calibri"/>
        <family val="2"/>
        <scheme val="minor"/>
      </rPr>
      <t>LUXURY VINYL TILE "LVT-04"</t>
    </r>
    <r>
      <rPr>
        <sz val="12"/>
        <rFont val="Calibri"/>
        <family val="2"/>
        <scheme val="minor"/>
      </rPr>
      <t xml:space="preserve">
Manufacturer: PATCRAFT
Color/Finish: JUTE 00710</t>
    </r>
  </si>
  <si>
    <r>
      <rPr>
        <b/>
        <sz val="12"/>
        <rFont val="Calibri"/>
        <family val="2"/>
        <scheme val="minor"/>
      </rPr>
      <t>LUXURY VINYL TILE "LVT-05"</t>
    </r>
    <r>
      <rPr>
        <sz val="12"/>
        <rFont val="Calibri"/>
        <family val="2"/>
        <scheme val="minor"/>
      </rPr>
      <t xml:space="preserve">
Manufacturer: PATCRAFT
Color/Finish: EDAM 00720</t>
    </r>
  </si>
  <si>
    <r>
      <t xml:space="preserve"> </t>
    </r>
    <r>
      <rPr>
        <b/>
        <sz val="12"/>
        <rFont val="Calibri"/>
        <family val="2"/>
        <scheme val="minor"/>
      </rPr>
      <t>CARPET TILE "CPT-01"</t>
    </r>
    <r>
      <rPr>
        <sz val="12"/>
        <rFont val="Calibri"/>
        <family val="2"/>
        <scheme val="minor"/>
      </rPr>
      <t xml:space="preserve">
Manufacturer: PATCRAFT
Color/Finish: AZULADO 00400</t>
    </r>
  </si>
  <si>
    <r>
      <rPr>
        <b/>
        <sz val="12"/>
        <rFont val="Calibri"/>
        <family val="2"/>
        <scheme val="minor"/>
      </rPr>
      <t>PORCELAIN TILE "PT-01"</t>
    </r>
    <r>
      <rPr>
        <sz val="12"/>
        <rFont val="Calibri"/>
        <family val="2"/>
        <scheme val="minor"/>
      </rPr>
      <t xml:space="preserve">
Manufacturer: GARDEN STATE TILE
Color/Finish: NIMBUS GLOSSY</t>
    </r>
  </si>
  <si>
    <r>
      <rPr>
        <b/>
        <sz val="12"/>
        <rFont val="Calibri"/>
        <family val="2"/>
        <scheme val="minor"/>
      </rPr>
      <t>PORCELAIN TILE "PT-02"</t>
    </r>
    <r>
      <rPr>
        <sz val="12"/>
        <rFont val="Calibri"/>
        <family val="2"/>
        <scheme val="minor"/>
      </rPr>
      <t xml:space="preserve">
Manufacturer: GARDEN STATE TILE
Color/Finish: PURE GLOSYY</t>
    </r>
  </si>
  <si>
    <r>
      <rPr>
        <b/>
        <sz val="12"/>
        <rFont val="Calibri"/>
        <family val="2"/>
        <scheme val="minor"/>
      </rPr>
      <t>PORCELAIN TILE "PT-03"</t>
    </r>
    <r>
      <rPr>
        <sz val="12"/>
        <rFont val="Calibri"/>
        <family val="2"/>
        <scheme val="minor"/>
      </rPr>
      <t xml:space="preserve">
Manufacturer: GARDEN STATE TILE
Color/Finish: PEARL GLOSSY</t>
    </r>
  </si>
  <si>
    <r>
      <rPr>
        <b/>
        <sz val="12"/>
        <rFont val="Calibri"/>
        <family val="2"/>
        <scheme val="minor"/>
      </rPr>
      <t>PORCELAIN TILE "PT-04"</t>
    </r>
    <r>
      <rPr>
        <sz val="12"/>
        <rFont val="Calibri"/>
        <family val="2"/>
        <scheme val="minor"/>
      </rPr>
      <t xml:space="preserve">
Manufacturer: GARDEN STATE TILE
Color/Finish: SIDECAR</t>
    </r>
  </si>
  <si>
    <r>
      <rPr>
        <b/>
        <sz val="12"/>
        <rFont val="Calibri"/>
        <family val="2"/>
        <scheme val="minor"/>
      </rPr>
      <t>PORCELAIN TILE "PT-05"</t>
    </r>
    <r>
      <rPr>
        <sz val="12"/>
        <rFont val="Calibri"/>
        <family val="2"/>
        <scheme val="minor"/>
      </rPr>
      <t xml:space="preserve">
Manufacturer: GARDEN STATE TILE
Color/Finish: LUNA</t>
    </r>
  </si>
  <si>
    <r>
      <rPr>
        <b/>
        <sz val="12"/>
        <rFont val="Calibri"/>
        <family val="2"/>
        <scheme val="minor"/>
      </rPr>
      <t>PORCELAIN TILE "PT-06"</t>
    </r>
    <r>
      <rPr>
        <sz val="12"/>
        <rFont val="Calibri"/>
        <family val="2"/>
        <scheme val="minor"/>
      </rPr>
      <t xml:space="preserve">
Manufacturer: GARDEN STATE TILE
Color/Finish: MIX DECO F HEX 0602</t>
    </r>
  </si>
  <si>
    <r>
      <rPr>
        <b/>
        <sz val="12"/>
        <rFont val="Calibri"/>
        <family val="2"/>
        <scheme val="minor"/>
      </rPr>
      <t>PORCELAIN TILE "PT-07"</t>
    </r>
    <r>
      <rPr>
        <sz val="12"/>
        <rFont val="Calibri"/>
        <family val="2"/>
        <scheme val="minor"/>
      </rPr>
      <t xml:space="preserve">
Manufacturer: GARDEN STATE TILE
Color/Finish: PORZIONE DECO F</t>
    </r>
  </si>
  <si>
    <r>
      <rPr>
        <b/>
        <sz val="12"/>
        <rFont val="Calibri"/>
        <family val="2"/>
        <scheme val="minor"/>
      </rPr>
      <t>ENTRANCE FLOORING "ENT-01"</t>
    </r>
    <r>
      <rPr>
        <sz val="12"/>
        <rFont val="Calibri"/>
        <family val="2"/>
        <scheme val="minor"/>
      </rPr>
      <t xml:space="preserve">
Manufacturer: CONSTRUCTION SPECIALTIES
Color/Finish: 808 GRAVEL ROCK</t>
    </r>
  </si>
  <si>
    <r>
      <rPr>
        <b/>
        <sz val="12"/>
        <rFont val="Calibri"/>
        <family val="2"/>
        <scheme val="minor"/>
      </rPr>
      <t>SEALED CONCRETE "SC-01"</t>
    </r>
    <r>
      <rPr>
        <sz val="12"/>
        <rFont val="Calibri"/>
        <family val="2"/>
        <scheme val="minor"/>
      </rPr>
      <t xml:space="preserve">
Manufacturer: LOCAL SOURCE</t>
    </r>
  </si>
  <si>
    <t>A-605</t>
  </si>
  <si>
    <r>
      <rPr>
        <b/>
        <sz val="12"/>
        <rFont val="Calibri"/>
        <family val="2"/>
        <scheme val="minor"/>
      </rPr>
      <t>CERAMIC TILE "CT-01"</t>
    </r>
    <r>
      <rPr>
        <sz val="12"/>
        <rFont val="Calibri"/>
        <family val="2"/>
        <scheme val="minor"/>
      </rPr>
      <t xml:space="preserve">
Manufacturer: GARDEN STATE TILE
Color/Finish: ICE 402</t>
    </r>
  </si>
  <si>
    <t>A-603</t>
  </si>
  <si>
    <r>
      <rPr>
        <b/>
        <sz val="12"/>
        <rFont val="Calibri"/>
        <family val="2"/>
        <scheme val="minor"/>
      </rPr>
      <t>CERAMIC TILE "CT-02"</t>
    </r>
    <r>
      <rPr>
        <sz val="12"/>
        <rFont val="Calibri"/>
        <family val="2"/>
        <scheme val="minor"/>
      </rPr>
      <t xml:space="preserve"> 
Manufacturer: THE TILE SHOP
Color/Finish: BRANCO RET #495892</t>
    </r>
  </si>
  <si>
    <t>(1'-0" H) Gypsum Wall Board Soffit</t>
  </si>
  <si>
    <t>(4'-9" H) Gypsum Wall Board Soffit</t>
  </si>
  <si>
    <t>(5'-6" H) Gypsum Wall Board Soffit</t>
  </si>
  <si>
    <t>(3'-6" H) Gypsum Wall Board Soffit</t>
  </si>
  <si>
    <t>1 X 1 Wood Slats @ 1" O.C With PNT-05</t>
  </si>
  <si>
    <t>1 X 1 Wood Slats @ 1" O.C With PNT-09</t>
  </si>
  <si>
    <t>1 X 1 Wood Slats @ 1" O.C With PNT-07</t>
  </si>
  <si>
    <t>A-602</t>
  </si>
  <si>
    <t>1 X 1 Wood Slats @ 1-1/2" O.C With PNT-03</t>
  </si>
  <si>
    <t>1 X1 CW-01 @ 2" O.C</t>
  </si>
  <si>
    <t>A-607</t>
  </si>
  <si>
    <t>1 X 1 Wood Slat With PNT-03</t>
  </si>
  <si>
    <t>(3'  Dia) Prize Wheel (Coordinate With Owner)</t>
  </si>
  <si>
    <t>WALL COVERING "WC-01"
Manufacturer: DESIGNTEX
Color: MARBLE 801</t>
  </si>
  <si>
    <t>Wall Base</t>
  </si>
  <si>
    <t>A-701</t>
  </si>
  <si>
    <r>
      <rPr>
        <b/>
        <sz val="12"/>
        <color theme="1"/>
        <rFont val="Calibri"/>
        <family val="2"/>
        <scheme val="minor"/>
      </rPr>
      <t>VINYL WALL BASE "WB-01"</t>
    </r>
    <r>
      <rPr>
        <sz val="12"/>
        <color theme="1"/>
        <rFont val="Calibri"/>
        <family val="2"/>
        <scheme val="minor"/>
      </rPr>
      <t xml:space="preserve">
Manufacturer: TARKETT
Color/Finish: TBD</t>
    </r>
  </si>
  <si>
    <r>
      <rPr>
        <b/>
        <sz val="12"/>
        <color theme="1"/>
        <rFont val="Calibri"/>
        <family val="2"/>
        <scheme val="minor"/>
      </rPr>
      <t>METAL WALL BASE "WB-02"</t>
    </r>
    <r>
      <rPr>
        <sz val="12"/>
        <color theme="1"/>
        <rFont val="Calibri"/>
        <family val="2"/>
        <scheme val="minor"/>
      </rPr>
      <t xml:space="preserve">
Manufacturer: DILEX-AHK
Color/Finish: SATIN ANODIZED</t>
    </r>
  </si>
  <si>
    <t>Floor Transition Strips</t>
  </si>
  <si>
    <r>
      <rPr>
        <b/>
        <sz val="12"/>
        <rFont val="Calibri"/>
        <family val="2"/>
        <scheme val="minor"/>
      </rPr>
      <t>TRANSITION STRIP "TS-01"</t>
    </r>
    <r>
      <rPr>
        <sz val="12"/>
        <rFont val="Calibri"/>
        <family val="2"/>
        <scheme val="minor"/>
      </rPr>
      <t xml:space="preserve">
Manufacturer: PATCRAFT
Color/Finish: PARCHMENT 00074</t>
    </r>
  </si>
  <si>
    <r>
      <rPr>
        <b/>
        <sz val="12"/>
        <rFont val="Calibri"/>
        <family val="2"/>
        <scheme val="minor"/>
      </rPr>
      <t>TRANSITION STRIP "TS-02"</t>
    </r>
    <r>
      <rPr>
        <sz val="12"/>
        <rFont val="Calibri"/>
        <family val="2"/>
        <scheme val="minor"/>
      </rPr>
      <t xml:space="preserve">
Manufacturer: PATCRAFT
Color/Finish: BUCKHORN 00014</t>
    </r>
  </si>
  <si>
    <r>
      <t xml:space="preserve"> </t>
    </r>
    <r>
      <rPr>
        <b/>
        <sz val="12"/>
        <rFont val="Calibri"/>
        <family val="2"/>
        <scheme val="minor"/>
      </rPr>
      <t>TRANSITION STRIP "TS-03"</t>
    </r>
    <r>
      <rPr>
        <sz val="12"/>
        <rFont val="Calibri"/>
        <family val="2"/>
        <scheme val="minor"/>
      </rPr>
      <t xml:space="preserve">
Manufacturer: PATCRAFT
Color/Finish: EARL GREY 00005</t>
    </r>
  </si>
  <si>
    <r>
      <rPr>
        <b/>
        <sz val="12"/>
        <rFont val="Calibri"/>
        <family val="2"/>
        <scheme val="minor"/>
      </rPr>
      <t xml:space="preserve"> TRANSITION STRIP "TS-04"</t>
    </r>
    <r>
      <rPr>
        <sz val="12"/>
        <rFont val="Calibri"/>
        <family val="2"/>
        <scheme val="minor"/>
      </rPr>
      <t xml:space="preserve">
Manufacturer: PATCRAFT
Color/Finish:  PARCHMENT 00074</t>
    </r>
  </si>
  <si>
    <r>
      <rPr>
        <b/>
        <sz val="12"/>
        <rFont val="Calibri"/>
        <family val="2"/>
        <scheme val="minor"/>
      </rPr>
      <t xml:space="preserve"> TRANSITION STRIP "TS-05"</t>
    </r>
    <r>
      <rPr>
        <sz val="12"/>
        <rFont val="Calibri"/>
        <family val="2"/>
        <scheme val="minor"/>
      </rPr>
      <t xml:space="preserve">
Manufacturer: SHAW CONTRACT
Color/Finish: SATIN SILVER</t>
    </r>
  </si>
  <si>
    <r>
      <rPr>
        <b/>
        <sz val="12"/>
        <rFont val="Calibri"/>
        <family val="2"/>
        <scheme val="minor"/>
      </rPr>
      <t xml:space="preserve"> TRANSITION STRIP "TS-06"</t>
    </r>
    <r>
      <rPr>
        <sz val="12"/>
        <rFont val="Calibri"/>
        <family val="2"/>
        <scheme val="minor"/>
      </rPr>
      <t xml:space="preserve">
Manufacturer: SCHLUTER
Color/Finish: BRUSHED STAINLESS</t>
    </r>
  </si>
  <si>
    <t>Exterior Finish</t>
  </si>
  <si>
    <t>A-201 &amp; A-202</t>
  </si>
  <si>
    <t>ALUMINUM PANEL "ACM-01" 
Color: GRANITE</t>
  </si>
  <si>
    <t>WOOD GRAIN CEMENT BOARD "WD-01"
Color: CEDAR</t>
  </si>
  <si>
    <t>PAINT "PNT-02" @ 10'-6" Height
Manufacturer: SHERWIN-WILLIAMS
Color/Finish: FROSTY WHITE SW6196</t>
  </si>
  <si>
    <t>PAINT "PNT-02" @ 10' Height
Manufacturer: SHERWIN-WILLIAMS
Color/Finish: FROSTY WHITE SW6196</t>
  </si>
  <si>
    <t>PAINT "PNT-02" @ 8'-6" Height
Manufacturer: SHERWIN-WILLIAMS
Color/Finish: FROSTY WHITE SW6196</t>
  </si>
  <si>
    <t>PAINT "PNT-03" @ 10' Height
Manufacturer: SHERWIN-WILLIAMS
Color/Finish: INKWELL SW6992</t>
  </si>
  <si>
    <t>PAINT "PNT-02" @ 9'-6" Height
Manufacturer: SHERWIN-WILLIAMS
Color/Finish: FROSTY WHITE SW6196</t>
  </si>
  <si>
    <t>PAINT "PNT-02" @ 11'-6" Height
Manufacturer: SHERWIN-WILLIAMS
Color/Finish: FROSTY WHITE SW6196</t>
  </si>
  <si>
    <t>A-501 - A-602</t>
  </si>
  <si>
    <t>PAINT "PNT-02"
Manufacturer: SHERWIN-WILLIAMS
Color/Finish: FROSTY WHITE SW6196</t>
  </si>
  <si>
    <t>PAINT "PNT-10"
Manufacturer: SHERWIN-WILLIAMS
Color/Finish: MATT - BLUE</t>
  </si>
  <si>
    <t>PAINT "PNT-11"
Manufacturer: SHERWIN-WILLIAMS
Color/Finish: MATT - GREEN</t>
  </si>
  <si>
    <t>PAINT "PNT-04"
Manufacturer: SHERWIN-WILLIAMS
Color/Finish: LIZZIE - LIGHT BLUE</t>
  </si>
  <si>
    <t>Paint "PNT-03" on exposed ceiling "EXP-01"
Manufacturer: SHERWIN-WILLIAMS
Color/Finish: INKWELL SW6992</t>
  </si>
  <si>
    <t>Gypsum Wall Board Paint "PNT-01"
Manufacturer: SHERWIN-WILLIAMS
Color/Finish: EXTRA WHITE SW7006</t>
  </si>
  <si>
    <t>Gypsum Wall Board Paint "PNT-04"
Manufacturer: SHERWIN-WILLIAMS
Color/Finish: LIZZIE - LIGHT BLUE</t>
  </si>
  <si>
    <t>Gypsum Wall Board Paint "PNT-06"
Manufacturer: SHERWIN-WILLIAMS
Color/Finish: LIZZIE - LIGHT PINK</t>
  </si>
  <si>
    <t>Gypsum Wall Board Paint "PNT-08"
Manufacturer: SHERWIN-WILLIAMS
Color/Finish: LIZZIE - YELLOW</t>
  </si>
  <si>
    <t>Gypsum Wall Board soffit "PNT-03"
Manufacturer: SHERWIN-WILLIAMS
Color/Finish: INKWELL SW6992</t>
  </si>
  <si>
    <t>Note: Paint "PNT-12"
Manufacturer: SHERWIN-WILLIAM
Color/Finish: INKWELL SW6992</t>
  </si>
  <si>
    <t>Scaffolding/Lifts Interior  (H= 13')</t>
  </si>
  <si>
    <t>Ceiling &amp; Soffit Framing</t>
  </si>
  <si>
    <t xml:space="preserve">3-5/8" 18GA Metal Stud @ 16" O.C </t>
  </si>
  <si>
    <t>3-5/8" 20GA diagonal bracing @ 48" O.C</t>
  </si>
  <si>
    <t>(2) 3-5/8" 18GA Metal Stud @ 16" O.C (8' H)</t>
  </si>
  <si>
    <t>3-5/8" 18GA Metal Stud @ 16" O.C (8' H)</t>
  </si>
  <si>
    <t>3-5/8" 18 GA Metal Stud @ 16" O.C (10' H)</t>
  </si>
  <si>
    <t>3-5/8" 18GA Metal Stud @ 16" O.C (10' H)</t>
  </si>
  <si>
    <t>Floor Finish</t>
  </si>
  <si>
    <t>Wood Slats Paint</t>
  </si>
  <si>
    <t>(3'-2" H) Aluminum guard commercial grade flat top fencing
Style: ASCOT rail 2
Color: Matte black</t>
  </si>
  <si>
    <t>Exterior Fencing</t>
  </si>
  <si>
    <t>Aluminum fascia "FS-01"
Color: MATTE BLACK</t>
  </si>
  <si>
    <t>J channel trim</t>
  </si>
  <si>
    <t>drip edge</t>
  </si>
  <si>
    <t>Soffit panel</t>
  </si>
  <si>
    <t>2x10 Wood fascia</t>
  </si>
  <si>
    <t>Aluminum fascia</t>
  </si>
  <si>
    <t>Sealant</t>
  </si>
  <si>
    <t>2x8 P.T Wood blocking fascia</t>
  </si>
  <si>
    <t>Scaffolding/Lifts Exterior  (H= 16')</t>
  </si>
  <si>
    <t>Scaffolding/Lifts Exterior  (H= 15')</t>
  </si>
  <si>
    <t>(1'-6" H) Gypsum Wall Board Soffit</t>
  </si>
  <si>
    <t>Scaffolding/Lifts Interior  (H= 13' H)</t>
  </si>
  <si>
    <t>(4'-6" H) Gypsum Wall Board Soffit</t>
  </si>
  <si>
    <t>Door Trim Paint</t>
  </si>
  <si>
    <t>2" Precast stone sill</t>
  </si>
  <si>
    <t>.040 Aluminum sill flashing</t>
  </si>
  <si>
    <t xml:space="preserve">Sealant </t>
  </si>
  <si>
    <t>3" Precast concrete sill</t>
  </si>
  <si>
    <t>PAINT "PNT-03" @ 13' Height
Manufacturer: SHERWIN-WILLIAMS
Color/Finish: INKWELL SW6992</t>
  </si>
  <si>
    <t>(2'-4" High x 1'-0" Deep) Lockers - LC-01
Material: LOCKER
Manufacturer: FORMICA
Finish: BUFF ELM 5793</t>
  </si>
  <si>
    <t>Glass partition - GL-01 (10'-0" H)
Material: GLASS PARTITIONS
Manufacturer: 3FORM
Finish: TBD</t>
  </si>
  <si>
    <t>A-201</t>
  </si>
  <si>
    <t>(8'-2" X 7'-6") External Logo</t>
  </si>
  <si>
    <t>A-601 - A-607</t>
  </si>
  <si>
    <t>(6'-6" X 7'-0") "Creative" Signage</t>
  </si>
  <si>
    <t>(7'-0" X 2'-2") Signage (O'DELL Orthodontics)</t>
  </si>
  <si>
    <t>(3'-11 1/2") "Pedodontics" Signage</t>
  </si>
  <si>
    <t>(5'-3" X 7'-3") Neon Graphic (Coordinate With Owner)</t>
  </si>
  <si>
    <t>(11'-3" X 7'-6") Neon Graphic (Coordinate With Owner)</t>
  </si>
  <si>
    <t>(5'-0") "Orthodontics Signage" (Coordinate With Owner)</t>
  </si>
  <si>
    <t>2' H Wood Number (1)</t>
  </si>
  <si>
    <t>2' H Wood Number (2)</t>
  </si>
  <si>
    <t>2' H Wood Number (3)</t>
  </si>
  <si>
    <t>2' H Wood Number (4)</t>
  </si>
  <si>
    <t>2' H Wood Number (5)</t>
  </si>
  <si>
    <t>2' H Wood Number (6)</t>
  </si>
  <si>
    <t>A-501 - A-502</t>
  </si>
  <si>
    <r>
      <rPr>
        <b/>
        <sz val="12"/>
        <color theme="1"/>
        <rFont val="Calibri"/>
        <family val="2"/>
        <scheme val="minor"/>
      </rPr>
      <t>PAPER TOWEL DISPENSER</t>
    </r>
    <r>
      <rPr>
        <sz val="12"/>
        <color theme="1"/>
        <rFont val="Calibri"/>
        <family val="2"/>
        <scheme val="minor"/>
      </rPr>
      <t xml:space="preserve">
Manufacturer: BOBRICK 
Model:  B-9262</t>
    </r>
  </si>
  <si>
    <r>
      <rPr>
        <b/>
        <sz val="12"/>
        <color theme="1"/>
        <rFont val="Calibri"/>
        <family val="2"/>
        <scheme val="minor"/>
      </rPr>
      <t>SOAP DISPENSER</t>
    </r>
    <r>
      <rPr>
        <sz val="12"/>
        <color theme="1"/>
        <rFont val="Calibri"/>
        <family val="2"/>
        <scheme val="minor"/>
      </rPr>
      <t xml:space="preserve">
Manufacturer: BOBRICK
Model: B-2111</t>
    </r>
  </si>
  <si>
    <r>
      <rPr>
        <b/>
        <sz val="12"/>
        <color theme="1"/>
        <rFont val="Calibri"/>
        <family val="2"/>
        <scheme val="minor"/>
      </rPr>
      <t>GRAB BARS 42" LONG</t>
    </r>
    <r>
      <rPr>
        <sz val="12"/>
        <color theme="1"/>
        <rFont val="Calibri"/>
        <family val="2"/>
        <scheme val="minor"/>
      </rPr>
      <t xml:space="preserve">
Manufacturer: BOBRICK 
Model: 42W B-6806X42</t>
    </r>
  </si>
  <si>
    <r>
      <rPr>
        <b/>
        <sz val="12"/>
        <color theme="1"/>
        <rFont val="Calibri"/>
        <family val="2"/>
        <scheme val="minor"/>
      </rPr>
      <t>GRAB BARS 36" LONG</t>
    </r>
    <r>
      <rPr>
        <sz val="12"/>
        <color theme="1"/>
        <rFont val="Calibri"/>
        <family val="2"/>
        <scheme val="minor"/>
      </rPr>
      <t xml:space="preserve">
Manufacturer: BOBRICK
Model: 36W B-6806X36</t>
    </r>
  </si>
  <si>
    <r>
      <rPr>
        <b/>
        <sz val="12"/>
        <color theme="1"/>
        <rFont val="Calibri"/>
        <family val="2"/>
        <scheme val="minor"/>
      </rPr>
      <t>GRAB BARS 18" LONG</t>
    </r>
    <r>
      <rPr>
        <sz val="12"/>
        <color theme="1"/>
        <rFont val="Calibri"/>
        <family val="2"/>
        <scheme val="minor"/>
      </rPr>
      <t xml:space="preserve">
Manufacturer: BOBRICK
Model: 18W B-6806.99X18</t>
    </r>
  </si>
  <si>
    <r>
      <rPr>
        <b/>
        <sz val="12"/>
        <color theme="1"/>
        <rFont val="Calibri"/>
        <family val="2"/>
        <scheme val="minor"/>
      </rPr>
      <t>24" X 30" MIRROR</t>
    </r>
    <r>
      <rPr>
        <sz val="12"/>
        <color theme="1"/>
        <rFont val="Calibri"/>
        <family val="2"/>
        <scheme val="minor"/>
      </rPr>
      <t xml:space="preserve">
Manufacturer: ALLEN+ROTH 
Model: 75-102</t>
    </r>
  </si>
  <si>
    <r>
      <rPr>
        <b/>
        <sz val="12"/>
        <color theme="1"/>
        <rFont val="Calibri"/>
        <family val="2"/>
        <scheme val="minor"/>
      </rPr>
      <t>COAT HOOK</t>
    </r>
    <r>
      <rPr>
        <sz val="12"/>
        <color theme="1"/>
        <rFont val="Calibri"/>
        <family val="2"/>
        <scheme val="minor"/>
      </rPr>
      <t xml:space="preserve">
Manufacturer: BOBRICK
Model:B-3013</t>
    </r>
  </si>
  <si>
    <r>
      <rPr>
        <b/>
        <sz val="12"/>
        <color theme="1"/>
        <rFont val="Calibri"/>
        <family val="2"/>
        <scheme val="minor"/>
      </rPr>
      <t>TOWER BAR</t>
    </r>
    <r>
      <rPr>
        <sz val="12"/>
        <color theme="1"/>
        <rFont val="Calibri"/>
        <family val="2"/>
        <scheme val="minor"/>
      </rPr>
      <t xml:space="preserve">
Manufacturer: MOEN
Model:BP1824BL</t>
    </r>
  </si>
  <si>
    <t>(60X40) LED Backlite Mirror</t>
  </si>
  <si>
    <t>Wall mounted fire extinguisher</t>
  </si>
  <si>
    <t>Cantilever Aluminum Canopy</t>
  </si>
  <si>
    <t>Excavation for pier</t>
  </si>
  <si>
    <t>Soil Export</t>
  </si>
  <si>
    <r>
      <t xml:space="preserve">OUTDOOR TURF
Manufacturer: </t>
    </r>
    <r>
      <rPr>
        <sz val="12"/>
        <rFont val="Calibri"/>
        <family val="2"/>
        <scheme val="minor"/>
      </rPr>
      <t>Rubber Flooring INC</t>
    </r>
    <r>
      <rPr>
        <b/>
        <sz val="12"/>
        <rFont val="Calibri"/>
        <family val="2"/>
        <scheme val="minor"/>
      </rPr>
      <t xml:space="preserve">
Finish: </t>
    </r>
    <r>
      <rPr>
        <sz val="12"/>
        <rFont val="Calibri"/>
        <family val="2"/>
        <scheme val="minor"/>
      </rPr>
      <t>All play pet</t>
    </r>
  </si>
  <si>
    <t>.040 Aluminum flashing @ window</t>
  </si>
  <si>
    <t>Beverage station</t>
  </si>
  <si>
    <t>Under cabinet refrigerator</t>
  </si>
  <si>
    <t>Architecture &amp; Structure</t>
  </si>
  <si>
    <t>Note: Structural Steel is galvanized.</t>
  </si>
  <si>
    <t>Equipment Support Framing</t>
  </si>
  <si>
    <t>1/2" Recovery board</t>
  </si>
  <si>
    <t>Cont. ice and water shield</t>
  </si>
  <si>
    <t>(6'-0" X 8'-0") Aluminum Door Type "A" With Aluminum Frame</t>
  </si>
  <si>
    <t>(3'-0" X 8'-0") Aluminum Door Type "G" With Aluminum Frame</t>
  </si>
  <si>
    <t>(3'-0" X 8'-0") Aluminum Door Type "H" With Aluminum Frame</t>
  </si>
  <si>
    <t>(3'-0" X 8'-0") Aluminum Door Type "M" With Aluminum Frame</t>
  </si>
  <si>
    <t>(3'-0" X 8'-0") Aluminum Door Type "N" With Aluminum Frame</t>
  </si>
  <si>
    <t>(17'-0 1/2" X 10'-0") Kawneer 451T Aluminum Window "A" With 1" Insulated Clear Tempered Glazing</t>
  </si>
  <si>
    <t>(19'-5" X 10'-0") Kawneer 451T Aluminum Window "B" With 1" Insulated Clear Tempered Glazing</t>
  </si>
  <si>
    <t>(9'-6" X 4'-10") Kawneer 451T Aluminum Window "C" With 1" Insulated Clear Tempered Glazing</t>
  </si>
  <si>
    <t>(5'-0" X 4'-10") Kawneer 451T Aluminum Window "C.1" With 1" Insulated Clear Tempered Glazing</t>
  </si>
  <si>
    <t>(2'-10" X 10'-0") Kawneer 451T Aluminum Window "D" With 1" Insulated Clear Tempered Glazing</t>
  </si>
  <si>
    <t>(6'-0" X 5'-0") Kawneer 451T Aluminum Window "E" With 1" Insulated Clear Tempered Glazing</t>
  </si>
  <si>
    <t>(8'-9 1/2" X 5'-0") Kawneer 451T Aluminum Window "F" With 1" Insulated Clear Tempered Glazing</t>
  </si>
  <si>
    <t>(3'-8" X 5'-0") Kawneer 451T Aluminum Window "G" With 1" Insulated Clear Tempered Glazing</t>
  </si>
  <si>
    <t>(4'-0" X 10'-0") Kawneer 451T Aluminum Window "H" With 1" Insulated Clear Tempered Glazing</t>
  </si>
  <si>
    <t>(6'-0" X 5'-0") Kawneer 451T Aluminum Window "J" With 1" Insulated Clear Tempered Glazing</t>
  </si>
  <si>
    <t>(3'-0" X 4'-10") Kawneer 451T Aluminum Window "K" With 1" Insulated Clear Tempered Glazing</t>
  </si>
  <si>
    <t>(4'-5 1/2" X 10'-0") Kawneer 451T Aluminum Window "N" With 1/2" Insulated Clear Tempered Glazing</t>
  </si>
  <si>
    <t>(6'-0" X 8'-0") Kawneer 451T Aluminum Window "O" With 1/2" Insulated Clear Tempered Glazing</t>
  </si>
  <si>
    <t>(3'-8 1/2" X 8'-0") Kawneer 451T Aluminum Window "P" With 1/2" Insulated Clear Tempered Glazing</t>
  </si>
  <si>
    <t>(4'-0" X 4'-2 1/2") Kawneer 451T Aluminum Window "Q" With 1/2" Insulated Clear Tempered Glazing</t>
  </si>
  <si>
    <t>(3'-0" X 8'-0") Kawneer 451T Aluminum Window "S" With 1/2" Insulated Clear Tempered Glazing</t>
  </si>
  <si>
    <t>Glass panel - GL-02 (6'-6" H)
Material: GLASS PARTITIONS
Manufacturer: 3FORM
Finish: CUSTOM FROSTED WITH LOGO</t>
  </si>
  <si>
    <t>(1) 5/8" Zip system sheathing on both side (4'X8' Ea.)</t>
  </si>
  <si>
    <t>(1) 5/8" Zip system sheathing on exterior side (4'X8' Ea.)</t>
  </si>
  <si>
    <t>(1) 5/8"  Quiet rock gypsum board on both side (4'X8' Ea.)</t>
  </si>
  <si>
    <t>Quiet rock Gypsum Board Ceiling</t>
  </si>
  <si>
    <r>
      <rPr>
        <b/>
        <sz val="12"/>
        <rFont val="Calibri"/>
        <family val="2"/>
        <scheme val="minor"/>
      </rPr>
      <t>LUXURY VINYL TILE "LVT-03"</t>
    </r>
    <r>
      <rPr>
        <sz val="12"/>
        <rFont val="Calibri"/>
        <family val="2"/>
        <scheme val="minor"/>
      </rPr>
      <t xml:space="preserve">
Manufacturer: PATCRAFT
Color/Finish: JUTE 00710</t>
    </r>
  </si>
  <si>
    <t>Construction specialties 100-3S 6" airfoil blade suspended sunshade/ surface mounted aluminum canopy</t>
  </si>
  <si>
    <t>(6'-9" X 1'-6") Neon Graphic Coordinate With Owner (@ Odell Orthodontics)</t>
  </si>
  <si>
    <t>(8' X 6') Custom Greenwell Feature By Greenmood Recessed Into Wall With Signage</t>
  </si>
  <si>
    <t>Cabinets &amp; Drawers</t>
  </si>
  <si>
    <t>(1'-0" Deep) White shelf with rod by closet maid Model#: 3304940</t>
  </si>
  <si>
    <t>2x4 Blocking for bath accessories</t>
  </si>
  <si>
    <t>2x6 Blocking for millwork</t>
  </si>
  <si>
    <t>2x8 Blocking for Parapet wall</t>
  </si>
  <si>
    <t xml:space="preserve">Base bid </t>
  </si>
  <si>
    <t>Monitor</t>
  </si>
  <si>
    <t xml:space="preserve">Note: Owner Furnished Contractor Installed, OFCI </t>
  </si>
  <si>
    <t>(6'-5" X 10'-0") Kawneer 451T Aluminum Window "L" With 1/2" Insulated Clear Tempered Glazing</t>
  </si>
  <si>
    <t>(9'-11" X 10'-0") Kawneer 451T Aluminum Window "M" With 1/2" Insulated Clear Tempered Glazing</t>
  </si>
  <si>
    <t>(1'- 6-1/4" X 1'- 0-9/16") Neon "Say" Sign (Coordinate With Owner)</t>
  </si>
  <si>
    <t>(3'- 5 3/4" X 0'- 8 3/8") Marquee Letters " CHEESE" (Coordinate With Owner)</t>
  </si>
  <si>
    <t>Below Footings</t>
  </si>
  <si>
    <t>Opening Sealant</t>
  </si>
  <si>
    <t>(6'-0" X 1'-11") "O'DELL Orthodontics" Signage (Coordinate Final Signage Size With Custom Wood Wall Manufacturer Rep)</t>
  </si>
  <si>
    <t>(5'-3" X 1'-8") "CREATIVE Pediatric Dentistry" Signage (Coordinate Final Signage Size With Custom Wood Wall Manufacturer Rep)</t>
  </si>
  <si>
    <t>Door signage</t>
  </si>
  <si>
    <t>3/4" Plywood Sheathing</t>
  </si>
  <si>
    <t>(1'-4" High x 18" Deep)  shoes cubbies- PL-02</t>
  </si>
  <si>
    <t xml:space="preserve">(1'-0" Deep) Acrylic shelves </t>
  </si>
  <si>
    <t>3/8" Plywood Sheathing  below the countertops</t>
  </si>
  <si>
    <t>Below Slab</t>
  </si>
  <si>
    <r>
      <t>Blueprints</t>
    </r>
    <r>
      <rPr>
        <b/>
        <sz val="12"/>
        <rFont val="Calibri"/>
        <family val="2"/>
        <scheme val="minor"/>
      </rPr>
      <t xml:space="preserve"> </t>
    </r>
  </si>
  <si>
    <t>1" Slat Dowel @ 1' O.C</t>
  </si>
  <si>
    <t>Wood dowel supports</t>
  </si>
  <si>
    <t>1 X1 CW-01 @ 2" O.C (Surface)</t>
  </si>
  <si>
    <t>1"x2" Valence</t>
  </si>
  <si>
    <r>
      <rPr>
        <b/>
        <sz val="12"/>
        <color theme="1"/>
        <rFont val="Calibri"/>
        <family val="2"/>
        <scheme val="minor"/>
      </rPr>
      <t>TOILET TISSUE DISPENSER</t>
    </r>
    <r>
      <rPr>
        <sz val="12"/>
        <color theme="1"/>
        <rFont val="Calibri"/>
        <family val="2"/>
        <scheme val="minor"/>
      </rPr>
      <t xml:space="preserve">
Manufacturer: BOBRICK 
Model:  B-6999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</si>
</sst>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&quot;$&quot;#,##0"/>
    <numFmt numFmtId="166" formatCode="_(&quot;$&quot;* #,##0_);_(&quot;$&quot;* \(#,##0\);_(&quot;$&quot;* &quot;-&quot;??_);_(@_)"/>
    <numFmt numFmtId="167" formatCode="_(&quot;$&quot;* #,##0_);_(&quot;$&quot;* \(#,##0\);_(&quot;$&quot;* &quot;-&quot;?_);_(@_)"/>
    <numFmt numFmtId="168" formatCode="_(&quot;$&quot;* #,##0.0_);_(&quot;$&quot;* \(#,##0.0\);_(&quot;$&quot;* &quot;-&quot;??_);_(@_)"/>
    <numFmt numFmtId="169" formatCode="_-&quot;$&quot;* #,##0_-;\-&quot;$&quot;* #,##0_-;_-&quot;$&quot;* &quot;-&quot;??_-;_-@_-"/>
    <numFmt numFmtId="170" formatCode="_(* #,##0_);_(* \(#,##0\);_(* &quot;-&quot;??_);_(@_)"/>
    <numFmt numFmtId="171" formatCode="0.000"/>
    <numFmt numFmtId="172" formatCode="0.0%"/>
  </numFmts>
  <fonts count="80" x14ac:knownFonts="1">
    <font>
      <sz val="12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"/>
      <family val="2"/>
    </font>
    <font>
      <sz val="10"/>
      <name val="Arial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9"/>
      <name val="Calibri"/>
      <family val="2"/>
      <scheme val="minor"/>
    </font>
    <font>
      <u/>
      <sz val="12"/>
      <name val="Calibri"/>
      <family val="2"/>
      <scheme val="minor"/>
    </font>
    <font>
      <b/>
      <sz val="12"/>
      <color indexed="8"/>
      <name val="Calibri"/>
      <family val="2"/>
    </font>
    <font>
      <b/>
      <sz val="12"/>
      <color indexed="6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7"/>
      <color theme="1"/>
      <name val="Times New Roman"/>
      <family val="1"/>
    </font>
    <font>
      <b/>
      <sz val="16"/>
      <color theme="1"/>
      <name val="Times New Roman"/>
      <family val="1"/>
    </font>
    <font>
      <sz val="16"/>
      <color theme="1"/>
      <name val="Times New Roman"/>
      <family val="1"/>
    </font>
    <font>
      <b/>
      <sz val="12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name val="Arial"/>
      <family val="2"/>
    </font>
    <font>
      <b/>
      <sz val="16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u/>
      <sz val="20"/>
      <color theme="1"/>
      <name val="Times New Roman"/>
      <family val="1"/>
    </font>
    <font>
      <b/>
      <sz val="20"/>
      <name val="Calibri"/>
      <family val="2"/>
      <scheme val="minor"/>
    </font>
    <font>
      <b/>
      <sz val="20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FF0000"/>
      <name val="Times New Roman"/>
      <family val="1"/>
    </font>
    <font>
      <sz val="14"/>
      <name val="Calibri"/>
      <family val="2"/>
      <scheme val="minor"/>
    </font>
    <font>
      <b/>
      <i/>
      <sz val="12"/>
      <name val="Calibri"/>
      <family val="2"/>
      <scheme val="minor"/>
    </font>
    <font>
      <sz val="12"/>
      <name val="Arial"/>
      <family val="2"/>
    </font>
    <font>
      <sz val="16"/>
      <name val="Calibri"/>
      <family val="2"/>
      <scheme val="minor"/>
    </font>
    <font>
      <sz val="8"/>
      <name val="Arial"/>
      <family val="2"/>
    </font>
    <font>
      <sz val="18"/>
      <name val="Calibri"/>
      <family val="2"/>
      <scheme val="minor"/>
    </font>
    <font>
      <b/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name val="Arial"/>
      <family val="2"/>
    </font>
    <font>
      <b/>
      <u/>
      <sz val="12"/>
      <name val="Calibri"/>
      <family val="2"/>
      <scheme val="minor"/>
    </font>
    <font>
      <b/>
      <sz val="16"/>
      <name val="Times New Roman"/>
      <family val="1"/>
    </font>
    <font>
      <sz val="16"/>
      <name val="Times New Roman"/>
      <family val="1"/>
    </font>
    <font>
      <b/>
      <sz val="12"/>
      <color rgb="FF333333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24"/>
      <name val="Calibri"/>
      <family val="2"/>
      <scheme val="minor"/>
    </font>
    <font>
      <b/>
      <sz val="22"/>
      <name val="Calibri"/>
      <family val="2"/>
      <scheme val="minor"/>
    </font>
    <font>
      <b/>
      <u/>
      <sz val="24"/>
      <name val="Times New Roman"/>
      <family val="1"/>
    </font>
    <font>
      <b/>
      <i/>
      <u val="double"/>
      <sz val="18"/>
      <color rgb="FFFF0000"/>
      <name val="Calibri"/>
      <family val="2"/>
      <scheme val="minor"/>
    </font>
    <font>
      <u val="double"/>
      <sz val="18"/>
      <name val="Calibri"/>
      <family val="2"/>
      <scheme val="minor"/>
    </font>
    <font>
      <u/>
      <sz val="12"/>
      <color theme="10"/>
      <name val="Arial"/>
      <family val="2"/>
    </font>
    <font>
      <b/>
      <sz val="14"/>
      <color rgb="FF0000FF"/>
      <name val="Arial"/>
      <family val="2"/>
    </font>
    <font>
      <b/>
      <sz val="16"/>
      <color rgb="FF0000FF"/>
      <name val="Arial"/>
      <family val="2"/>
    </font>
    <font>
      <b/>
      <sz val="12"/>
      <color rgb="FF0000FF"/>
      <name val="Arial"/>
      <family val="2"/>
    </font>
    <font>
      <b/>
      <i/>
      <sz val="16"/>
      <color rgb="FFFF000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name val="Calibri"/>
      <family val="2"/>
    </font>
  </fonts>
  <fills count="3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D1"/>
        <bgColor indexed="64"/>
      </patternFill>
    </fill>
    <fill>
      <patternFill patternType="solid">
        <fgColor rgb="FFFFFFB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</fills>
  <borders count="1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 style="thin">
        <color indexed="64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double">
        <color indexed="62"/>
      </top>
      <bottom style="double">
        <color indexed="6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3"/>
      </right>
      <top/>
      <bottom style="thin">
        <color indexed="64"/>
      </bottom>
      <diagonal/>
    </border>
    <border>
      <left style="thin">
        <color indexed="63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3"/>
      </right>
      <top/>
      <bottom style="thin">
        <color indexed="64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/>
      <diagonal/>
    </border>
    <border>
      <left style="thin">
        <color indexed="64"/>
      </left>
      <right style="thin">
        <color indexed="22"/>
      </right>
      <top style="thin">
        <color indexed="22"/>
      </top>
      <bottom/>
      <diagonal/>
    </border>
    <border>
      <left style="medium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medium">
        <color indexed="64"/>
      </bottom>
      <diagonal/>
    </border>
    <border>
      <left style="medium">
        <color indexed="64"/>
      </left>
      <right/>
      <top/>
      <bottom style="double">
        <color indexed="62"/>
      </bottom>
      <diagonal/>
    </border>
    <border>
      <left/>
      <right style="medium">
        <color indexed="64"/>
      </right>
      <top/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double">
        <color indexed="62"/>
      </bottom>
      <diagonal/>
    </border>
    <border>
      <left/>
      <right style="medium">
        <color indexed="64"/>
      </right>
      <top style="thin">
        <color indexed="62"/>
      </top>
      <bottom style="double">
        <color indexed="62"/>
      </bottom>
      <diagonal/>
    </border>
    <border>
      <left style="medium">
        <color indexed="64"/>
      </left>
      <right/>
      <top style="double">
        <color indexed="62"/>
      </top>
      <bottom style="medium">
        <color indexed="64"/>
      </bottom>
      <diagonal/>
    </border>
    <border>
      <left/>
      <right/>
      <top style="double">
        <color indexed="62"/>
      </top>
      <bottom style="medium">
        <color indexed="64"/>
      </bottom>
      <diagonal/>
    </border>
    <border>
      <left/>
      <right/>
      <top style="thin">
        <color indexed="62"/>
      </top>
      <bottom style="medium">
        <color indexed="64"/>
      </bottom>
      <diagonal/>
    </border>
    <border>
      <left/>
      <right style="medium">
        <color indexed="64"/>
      </right>
      <top style="thin">
        <color indexed="62"/>
      </top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dotted">
        <color theme="0" tint="-0.14999847407452621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theme="0" tint="-0.14999847407452621"/>
      </top>
      <bottom style="thin">
        <color indexed="64"/>
      </bottom>
      <diagonal/>
    </border>
    <border>
      <left/>
      <right/>
      <top style="dotted">
        <color theme="0" tint="-0.1499984740745262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theme="0" tint="-0.14999847407452621"/>
      </top>
      <bottom style="dotted">
        <color theme="0" tint="-0.14999847407452621"/>
      </bottom>
      <diagonal/>
    </border>
    <border>
      <left/>
      <right/>
      <top style="dotted">
        <color theme="0" tint="-0.14999847407452621"/>
      </top>
      <bottom style="dotted">
        <color theme="0" tint="-0.14999847407452621"/>
      </bottom>
      <diagonal/>
    </border>
  </borders>
  <cellStyleXfs count="97">
    <xf numFmtId="0" fontId="0" fillId="0" borderId="0"/>
    <xf numFmtId="0" fontId="10" fillId="2" borderId="0" applyNumberFormat="0" applyBorder="0" applyAlignment="0" applyProtection="0"/>
    <xf numFmtId="0" fontId="10" fillId="3" borderId="0" applyNumberFormat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5" borderId="0" applyNumberFormat="0" applyBorder="0" applyAlignment="0" applyProtection="0"/>
    <xf numFmtId="0" fontId="10" fillId="8" borderId="0" applyNumberFormat="0" applyBorder="0" applyAlignment="0" applyProtection="0"/>
    <xf numFmtId="0" fontId="10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1" borderId="2" applyNumberFormat="0" applyAlignment="0" applyProtection="0"/>
    <xf numFmtId="0" fontId="15" fillId="0" borderId="0" applyNumberFormat="0" applyFill="0" applyBorder="0" applyAlignment="0" applyProtection="0"/>
    <xf numFmtId="0" fontId="16" fillId="4" borderId="0" applyNumberFormat="0" applyBorder="0" applyAlignment="0" applyProtection="0"/>
    <xf numFmtId="0" fontId="17" fillId="0" borderId="3" applyNumberFormat="0" applyFill="0" applyAlignment="0" applyProtection="0"/>
    <xf numFmtId="0" fontId="18" fillId="0" borderId="4" applyNumberFormat="0" applyFill="0" applyAlignment="0" applyProtection="0"/>
    <xf numFmtId="0" fontId="19" fillId="0" borderId="5" applyNumberFormat="0" applyFill="0" applyAlignment="0" applyProtection="0"/>
    <xf numFmtId="0" fontId="19" fillId="0" borderId="0" applyNumberFormat="0" applyFill="0" applyBorder="0" applyAlignment="0" applyProtection="0"/>
    <xf numFmtId="0" fontId="20" fillId="7" borderId="1" applyNumberFormat="0" applyAlignment="0" applyProtection="0"/>
    <xf numFmtId="0" fontId="21" fillId="0" borderId="6" applyNumberFormat="0" applyFill="0" applyAlignment="0" applyProtection="0"/>
    <xf numFmtId="0" fontId="22" fillId="22" borderId="0" applyNumberFormat="0" applyBorder="0" applyAlignment="0" applyProtection="0"/>
    <xf numFmtId="0" fontId="9" fillId="0" borderId="0"/>
    <xf numFmtId="0" fontId="9" fillId="23" borderId="7" applyNumberFormat="0" applyFont="0" applyAlignment="0" applyProtection="0"/>
    <xf numFmtId="0" fontId="23" fillId="20" borderId="8" applyNumberFormat="0" applyAlignment="0" applyProtection="0"/>
    <xf numFmtId="0" fontId="24" fillId="0" borderId="0" applyNumberFormat="0" applyFill="0" applyBorder="0" applyAlignment="0" applyProtection="0"/>
    <xf numFmtId="0" fontId="25" fillId="0" borderId="9" applyNumberFormat="0" applyFill="0" applyAlignment="0" applyProtection="0"/>
    <xf numFmtId="0" fontId="26" fillId="0" borderId="0" applyNumberFormat="0" applyFill="0" applyBorder="0" applyAlignment="0" applyProtection="0"/>
    <xf numFmtId="0" fontId="8" fillId="0" borderId="0"/>
    <xf numFmtId="0" fontId="27" fillId="0" borderId="0"/>
    <xf numFmtId="0" fontId="9" fillId="0" borderId="0"/>
    <xf numFmtId="43" fontId="27" fillId="0" borderId="0" applyFont="0" applyFill="0" applyBorder="0" applyAlignment="0" applyProtection="0"/>
    <xf numFmtId="0" fontId="28" fillId="0" borderId="0"/>
    <xf numFmtId="43" fontId="9" fillId="0" borderId="0" applyFont="0" applyFill="0" applyBorder="0" applyAlignment="0" applyProtection="0"/>
    <xf numFmtId="0" fontId="9" fillId="0" borderId="0"/>
    <xf numFmtId="44" fontId="28" fillId="0" borderId="0" applyFont="0" applyFill="0" applyBorder="0" applyAlignment="0" applyProtection="0"/>
    <xf numFmtId="0" fontId="7" fillId="0" borderId="0"/>
    <xf numFmtId="0" fontId="9" fillId="0" borderId="0"/>
    <xf numFmtId="0" fontId="7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44" fontId="44" fillId="0" borderId="0" applyFont="0" applyFill="0" applyBorder="0" applyAlignment="0" applyProtection="0"/>
    <xf numFmtId="9" fontId="44" fillId="0" borderId="0" applyFont="0" applyFill="0" applyBorder="0" applyAlignment="0" applyProtection="0"/>
    <xf numFmtId="43" fontId="44" fillId="0" borderId="0" applyFont="0" applyFill="0" applyBorder="0" applyAlignment="0" applyProtection="0"/>
    <xf numFmtId="0" fontId="9" fillId="23" borderId="14" applyNumberFormat="0" applyFont="0" applyAlignment="0" applyProtection="0"/>
    <xf numFmtId="0" fontId="3" fillId="0" borderId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9" fillId="23" borderId="14" applyNumberFormat="0" applyFont="0" applyAlignment="0" applyProtection="0"/>
    <xf numFmtId="0" fontId="2" fillId="0" borderId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0" fontId="9" fillId="23" borderId="33" applyNumberFormat="0" applyFont="0" applyAlignment="0" applyProtection="0"/>
    <xf numFmtId="44" fontId="55" fillId="0" borderId="0" applyFont="0" applyFill="0" applyBorder="0" applyAlignment="0" applyProtection="0"/>
    <xf numFmtId="9" fontId="55" fillId="0" borderId="0" applyFont="0" applyFill="0" applyBorder="0" applyAlignment="0" applyProtection="0"/>
    <xf numFmtId="0" fontId="23" fillId="20" borderId="35" applyNumberFormat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9" fillId="23" borderId="40" applyNumberFormat="0" applyFont="0" applyAlignment="0" applyProtection="0"/>
    <xf numFmtId="0" fontId="23" fillId="20" borderId="41" applyNumberFormat="0" applyAlignment="0" applyProtection="0"/>
    <xf numFmtId="0" fontId="20" fillId="7" borderId="42" applyNumberFormat="0" applyAlignment="0" applyProtection="0"/>
    <xf numFmtId="0" fontId="23" fillId="20" borderId="41" applyNumberFormat="0" applyAlignment="0" applyProtection="0"/>
    <xf numFmtId="0" fontId="25" fillId="0" borderId="43" applyNumberFormat="0" applyFill="0" applyAlignment="0" applyProtection="0"/>
    <xf numFmtId="0" fontId="9" fillId="23" borderId="59" applyNumberFormat="0" applyFont="0" applyAlignment="0" applyProtection="0"/>
    <xf numFmtId="0" fontId="9" fillId="23" borderId="59" applyNumberFormat="0" applyFont="0" applyAlignment="0" applyProtection="0"/>
    <xf numFmtId="0" fontId="23" fillId="20" borderId="61" applyNumberFormat="0" applyAlignment="0" applyProtection="0"/>
    <xf numFmtId="0" fontId="9" fillId="23" borderId="59" applyNumberFormat="0" applyFont="0" applyAlignment="0" applyProtection="0"/>
    <xf numFmtId="0" fontId="20" fillId="7" borderId="62" applyNumberFormat="0" applyAlignment="0" applyProtection="0"/>
    <xf numFmtId="0" fontId="73" fillId="0" borderId="0" applyNumberFormat="0" applyFill="0" applyBorder="0" applyAlignment="0" applyProtection="0"/>
    <xf numFmtId="0" fontId="9" fillId="23" borderId="79" applyNumberFormat="0" applyFont="0" applyAlignment="0" applyProtection="0"/>
    <xf numFmtId="0" fontId="9" fillId="23" borderId="79" applyNumberFormat="0" applyFont="0" applyAlignment="0" applyProtection="0"/>
    <xf numFmtId="0" fontId="9" fillId="23" borderId="79" applyNumberFormat="0" applyFont="0" applyAlignment="0" applyProtection="0"/>
    <xf numFmtId="0" fontId="1" fillId="0" borderId="0"/>
  </cellStyleXfs>
  <cellXfs count="485">
    <xf numFmtId="0" fontId="0" fillId="0" borderId="0" xfId="0"/>
    <xf numFmtId="0" fontId="29" fillId="0" borderId="0" xfId="0" applyFont="1" applyAlignment="1">
      <alignment vertical="top"/>
    </xf>
    <xf numFmtId="2" fontId="29" fillId="0" borderId="0" xfId="0" applyNumberFormat="1" applyFont="1" applyAlignment="1">
      <alignment vertical="top" wrapText="1"/>
    </xf>
    <xf numFmtId="0" fontId="36" fillId="0" borderId="0" xfId="0" applyFont="1"/>
    <xf numFmtId="0" fontId="32" fillId="0" borderId="0" xfId="0" applyFont="1" applyAlignment="1">
      <alignment vertical="center"/>
    </xf>
    <xf numFmtId="0" fontId="31" fillId="0" borderId="0" xfId="0" applyFont="1" applyAlignment="1">
      <alignment horizontal="center" vertical="center" wrapText="1"/>
    </xf>
    <xf numFmtId="0" fontId="29" fillId="0" borderId="0" xfId="0" applyFont="1" applyAlignment="1">
      <alignment horizontal="center" vertical="center"/>
    </xf>
    <xf numFmtId="2" fontId="29" fillId="0" borderId="0" xfId="0" applyNumberFormat="1" applyFont="1" applyAlignment="1">
      <alignment horizontal="center" vertical="center" wrapText="1"/>
    </xf>
    <xf numFmtId="2" fontId="29" fillId="0" borderId="0" xfId="0" applyNumberFormat="1" applyFont="1" applyAlignment="1">
      <alignment vertical="center" wrapText="1"/>
    </xf>
    <xf numFmtId="0" fontId="29" fillId="0" borderId="0" xfId="0" applyFont="1" applyAlignment="1">
      <alignment vertical="center"/>
    </xf>
    <xf numFmtId="165" fontId="29" fillId="0" borderId="0" xfId="0" applyNumberFormat="1" applyFont="1" applyAlignment="1">
      <alignment horizontal="center" vertical="center"/>
    </xf>
    <xf numFmtId="0" fontId="29" fillId="0" borderId="10" xfId="0" applyFont="1" applyBorder="1" applyAlignment="1">
      <alignment horizontal="center" vertical="center"/>
    </xf>
    <xf numFmtId="0" fontId="29" fillId="0" borderId="0" xfId="45" applyFont="1" applyAlignment="1">
      <alignment vertical="center"/>
    </xf>
    <xf numFmtId="164" fontId="29" fillId="25" borderId="12" xfId="38" applyNumberFormat="1" applyFont="1" applyFill="1" applyBorder="1" applyAlignment="1">
      <alignment horizontal="center" vertical="center"/>
    </xf>
    <xf numFmtId="0" fontId="37" fillId="25" borderId="0" xfId="0" applyFont="1" applyFill="1" applyAlignment="1">
      <alignment horizontal="center" vertical="center"/>
    </xf>
    <xf numFmtId="0" fontId="37" fillId="25" borderId="0" xfId="0" applyFont="1" applyFill="1" applyAlignment="1">
      <alignment horizontal="right"/>
    </xf>
    <xf numFmtId="2" fontId="29" fillId="25" borderId="0" xfId="0" applyNumberFormat="1" applyFont="1" applyFill="1" applyAlignment="1">
      <alignment horizontal="center" vertical="center" wrapText="1"/>
    </xf>
    <xf numFmtId="0" fontId="29" fillId="25" borderId="0" xfId="0" applyFont="1" applyFill="1" applyAlignment="1">
      <alignment horizontal="center" vertical="center"/>
    </xf>
    <xf numFmtId="2" fontId="29" fillId="25" borderId="0" xfId="0" applyNumberFormat="1" applyFont="1" applyFill="1" applyAlignment="1">
      <alignment vertical="top" wrapText="1"/>
    </xf>
    <xf numFmtId="0" fontId="29" fillId="25" borderId="10" xfId="0" applyFont="1" applyFill="1" applyBorder="1" applyAlignment="1">
      <alignment horizontal="center" vertical="center"/>
    </xf>
    <xf numFmtId="0" fontId="45" fillId="24" borderId="11" xfId="0" applyFont="1" applyFill="1" applyBorder="1" applyAlignment="1">
      <alignment vertical="center"/>
    </xf>
    <xf numFmtId="0" fontId="29" fillId="0" borderId="11" xfId="0" applyFont="1" applyBorder="1" applyAlignment="1">
      <alignment horizontal="center" vertical="center"/>
    </xf>
    <xf numFmtId="9" fontId="29" fillId="0" borderId="11" xfId="62" applyFont="1" applyFill="1" applyBorder="1" applyAlignment="1">
      <alignment horizontal="center" vertical="center"/>
    </xf>
    <xf numFmtId="0" fontId="34" fillId="0" borderId="11" xfId="39" applyFont="1" applyFill="1" applyBorder="1" applyAlignment="1">
      <alignment vertical="center" wrapText="1"/>
    </xf>
    <xf numFmtId="0" fontId="33" fillId="25" borderId="32" xfId="41" applyFont="1" applyFill="1" applyBorder="1" applyAlignment="1">
      <alignment horizontal="center" vertical="center"/>
    </xf>
    <xf numFmtId="165" fontId="33" fillId="25" borderId="32" xfId="41" applyNumberFormat="1" applyFont="1" applyFill="1" applyBorder="1" applyAlignment="1" applyProtection="1">
      <alignment horizontal="center" vertical="center"/>
    </xf>
    <xf numFmtId="0" fontId="33" fillId="25" borderId="32" xfId="41" applyFont="1" applyFill="1" applyBorder="1" applyAlignment="1">
      <alignment vertical="center"/>
    </xf>
    <xf numFmtId="0" fontId="33" fillId="25" borderId="32" xfId="41" applyFont="1" applyFill="1" applyBorder="1" applyAlignment="1">
      <alignment horizontal="right" vertical="center"/>
    </xf>
    <xf numFmtId="171" fontId="29" fillId="29" borderId="12" xfId="38" applyNumberFormat="1" applyFont="1" applyFill="1" applyBorder="1" applyAlignment="1">
      <alignment horizontal="center" vertical="center"/>
    </xf>
    <xf numFmtId="165" fontId="29" fillId="0" borderId="0" xfId="0" applyNumberFormat="1" applyFont="1" applyAlignment="1">
      <alignment vertical="center"/>
    </xf>
    <xf numFmtId="0" fontId="56" fillId="0" borderId="0" xfId="0" applyFont="1" applyAlignment="1">
      <alignment vertical="top"/>
    </xf>
    <xf numFmtId="0" fontId="37" fillId="31" borderId="16" xfId="0" applyFont="1" applyFill="1" applyBorder="1" applyAlignment="1">
      <alignment horizontal="right"/>
    </xf>
    <xf numFmtId="0" fontId="29" fillId="31" borderId="0" xfId="0" applyFont="1" applyFill="1" applyAlignment="1">
      <alignment horizontal="center" vertical="center"/>
    </xf>
    <xf numFmtId="0" fontId="37" fillId="31" borderId="0" xfId="0" applyFont="1" applyFill="1" applyAlignment="1">
      <alignment horizontal="right"/>
    </xf>
    <xf numFmtId="2" fontId="53" fillId="31" borderId="0" xfId="0" applyNumberFormat="1" applyFont="1" applyFill="1" applyAlignment="1">
      <alignment horizontal="right"/>
    </xf>
    <xf numFmtId="0" fontId="53" fillId="31" borderId="0" xfId="0" applyFont="1" applyFill="1" applyAlignment="1">
      <alignment horizontal="right"/>
    </xf>
    <xf numFmtId="0" fontId="29" fillId="31" borderId="31" xfId="0" applyFont="1" applyFill="1" applyBorder="1" applyAlignment="1">
      <alignment horizontal="center" vertical="center"/>
    </xf>
    <xf numFmtId="2" fontId="53" fillId="31" borderId="31" xfId="0" applyNumberFormat="1" applyFont="1" applyFill="1" applyBorder="1" applyAlignment="1">
      <alignment horizontal="right"/>
    </xf>
    <xf numFmtId="2" fontId="59" fillId="31" borderId="16" xfId="0" applyNumberFormat="1" applyFont="1" applyFill="1" applyBorder="1" applyAlignment="1">
      <alignment horizontal="right"/>
    </xf>
    <xf numFmtId="2" fontId="59" fillId="31" borderId="0" xfId="0" applyNumberFormat="1" applyFont="1" applyFill="1" applyAlignment="1">
      <alignment horizontal="right" vertical="center"/>
    </xf>
    <xf numFmtId="172" fontId="60" fillId="31" borderId="0" xfId="62" applyNumberFormat="1" applyFont="1" applyFill="1" applyBorder="1" applyAlignment="1">
      <alignment horizontal="center" vertical="center"/>
    </xf>
    <xf numFmtId="166" fontId="59" fillId="31" borderId="10" xfId="61" applyNumberFormat="1" applyFont="1" applyFill="1" applyBorder="1" applyAlignment="1">
      <alignment horizontal="left" vertical="center" wrapText="1"/>
    </xf>
    <xf numFmtId="0" fontId="39" fillId="31" borderId="19" xfId="0" applyFont="1" applyFill="1" applyBorder="1" applyAlignment="1">
      <alignment horizontal="left" vertical="center"/>
    </xf>
    <xf numFmtId="9" fontId="60" fillId="31" borderId="22" xfId="62" applyFont="1" applyFill="1" applyBorder="1" applyAlignment="1">
      <alignment horizontal="center" vertical="center"/>
    </xf>
    <xf numFmtId="166" fontId="59" fillId="31" borderId="23" xfId="61" applyNumberFormat="1" applyFont="1" applyFill="1" applyBorder="1" applyAlignment="1">
      <alignment horizontal="left" vertical="center" wrapText="1"/>
    </xf>
    <xf numFmtId="172" fontId="60" fillId="31" borderId="36" xfId="62" applyNumberFormat="1" applyFont="1" applyFill="1" applyBorder="1" applyAlignment="1">
      <alignment horizontal="center" vertical="center"/>
    </xf>
    <xf numFmtId="166" fontId="59" fillId="31" borderId="37" xfId="61" applyNumberFormat="1" applyFont="1" applyFill="1" applyBorder="1" applyAlignment="1">
      <alignment horizontal="left" vertical="center" wrapText="1"/>
    </xf>
    <xf numFmtId="0" fontId="30" fillId="31" borderId="31" xfId="0" applyFont="1" applyFill="1" applyBorder="1" applyAlignment="1">
      <alignment horizontal="center" vertical="center"/>
    </xf>
    <xf numFmtId="2" fontId="48" fillId="31" borderId="31" xfId="0" applyNumberFormat="1" applyFont="1" applyFill="1" applyBorder="1" applyAlignment="1">
      <alignment horizontal="right" vertical="center"/>
    </xf>
    <xf numFmtId="166" fontId="41" fillId="31" borderId="39" xfId="61" applyNumberFormat="1" applyFont="1" applyFill="1" applyBorder="1" applyAlignment="1">
      <alignment horizontal="left" vertical="center" wrapText="1"/>
    </xf>
    <xf numFmtId="0" fontId="35" fillId="31" borderId="0" xfId="34" applyFont="1" applyFill="1" applyBorder="1" applyAlignment="1" applyProtection="1">
      <alignment horizontal="right"/>
    </xf>
    <xf numFmtId="0" fontId="35" fillId="31" borderId="16" xfId="34" applyFont="1" applyFill="1" applyBorder="1" applyAlignment="1" applyProtection="1">
      <alignment horizontal="right"/>
    </xf>
    <xf numFmtId="2" fontId="40" fillId="31" borderId="36" xfId="0" applyNumberFormat="1" applyFont="1" applyFill="1" applyBorder="1" applyAlignment="1">
      <alignment horizontal="right" vertical="center"/>
    </xf>
    <xf numFmtId="0" fontId="39" fillId="31" borderId="29" xfId="0" applyFont="1" applyFill="1" applyBorder="1" applyAlignment="1">
      <alignment horizontal="left" vertical="center"/>
    </xf>
    <xf numFmtId="0" fontId="29" fillId="25" borderId="0" xfId="0" applyFont="1" applyFill="1" applyAlignment="1">
      <alignment vertical="top"/>
    </xf>
    <xf numFmtId="0" fontId="56" fillId="25" borderId="0" xfId="0" applyFont="1" applyFill="1" applyAlignment="1">
      <alignment horizontal="center" vertical="center"/>
    </xf>
    <xf numFmtId="0" fontId="29" fillId="0" borderId="11" xfId="0" applyFont="1" applyBorder="1" applyAlignment="1">
      <alignment horizontal="left" vertical="center"/>
    </xf>
    <xf numFmtId="166" fontId="29" fillId="0" borderId="34" xfId="61" applyNumberFormat="1" applyFont="1" applyBorder="1" applyAlignment="1">
      <alignment vertical="top" wrapText="1"/>
    </xf>
    <xf numFmtId="0" fontId="29" fillId="0" borderId="20" xfId="0" applyFont="1" applyBorder="1" applyAlignment="1">
      <alignment horizontal="center" vertical="center"/>
    </xf>
    <xf numFmtId="0" fontId="29" fillId="0" borderId="34" xfId="0" applyFont="1" applyBorder="1" applyAlignment="1">
      <alignment horizontal="left" vertical="center"/>
    </xf>
    <xf numFmtId="0" fontId="29" fillId="0" borderId="44" xfId="0" applyFont="1" applyBorder="1" applyAlignment="1">
      <alignment horizontal="center" vertical="center"/>
    </xf>
    <xf numFmtId="2" fontId="29" fillId="31" borderId="47" xfId="0" applyNumberFormat="1" applyFont="1" applyFill="1" applyBorder="1" applyAlignment="1">
      <alignment horizontal="center" vertical="center" wrapText="1"/>
    </xf>
    <xf numFmtId="2" fontId="29" fillId="31" borderId="30" xfId="0" applyNumberFormat="1" applyFont="1" applyFill="1" applyBorder="1" applyAlignment="1">
      <alignment horizontal="center" vertical="center" wrapText="1"/>
    </xf>
    <xf numFmtId="2" fontId="29" fillId="31" borderId="51" xfId="0" applyNumberFormat="1" applyFont="1" applyFill="1" applyBorder="1" applyAlignment="1">
      <alignment horizontal="center" vertical="center" wrapText="1"/>
    </xf>
    <xf numFmtId="2" fontId="29" fillId="31" borderId="27" xfId="0" applyNumberFormat="1" applyFont="1" applyFill="1" applyBorder="1" applyAlignment="1">
      <alignment horizontal="center" vertical="center" wrapText="1"/>
    </xf>
    <xf numFmtId="0" fontId="30" fillId="31" borderId="48" xfId="0" applyFont="1" applyFill="1" applyBorder="1" applyAlignment="1">
      <alignment horizontal="right" vertical="center"/>
    </xf>
    <xf numFmtId="166" fontId="30" fillId="31" borderId="49" xfId="61" applyNumberFormat="1" applyFont="1" applyFill="1" applyBorder="1" applyAlignment="1">
      <alignment vertical="top" wrapText="1"/>
    </xf>
    <xf numFmtId="0" fontId="30" fillId="31" borderId="18" xfId="0" applyFont="1" applyFill="1" applyBorder="1" applyAlignment="1">
      <alignment horizontal="right" vertical="center"/>
    </xf>
    <xf numFmtId="0" fontId="30" fillId="31" borderId="0" xfId="0" applyFont="1" applyFill="1" applyAlignment="1">
      <alignment horizontal="right" vertical="center"/>
    </xf>
    <xf numFmtId="166" fontId="30" fillId="31" borderId="0" xfId="61" applyNumberFormat="1" applyFont="1" applyFill="1" applyBorder="1" applyAlignment="1">
      <alignment horizontal="left" vertical="top" wrapText="1"/>
    </xf>
    <xf numFmtId="166" fontId="30" fillId="31" borderId="0" xfId="61" applyNumberFormat="1" applyFont="1" applyFill="1" applyBorder="1" applyAlignment="1">
      <alignment horizontal="center" vertical="center" wrapText="1"/>
    </xf>
    <xf numFmtId="0" fontId="30" fillId="31" borderId="46" xfId="0" applyFont="1" applyFill="1" applyBorder="1" applyAlignment="1">
      <alignment horizontal="right" vertical="center"/>
    </xf>
    <xf numFmtId="0" fontId="30" fillId="31" borderId="36" xfId="0" applyFont="1" applyFill="1" applyBorder="1" applyAlignment="1">
      <alignment horizontal="right" vertical="center"/>
    </xf>
    <xf numFmtId="166" fontId="30" fillId="31" borderId="36" xfId="61" applyNumberFormat="1" applyFont="1" applyFill="1" applyBorder="1" applyAlignment="1">
      <alignment horizontal="center" vertical="center" wrapText="1"/>
    </xf>
    <xf numFmtId="0" fontId="30" fillId="31" borderId="29" xfId="0" applyFont="1" applyFill="1" applyBorder="1" applyAlignment="1">
      <alignment horizontal="right" vertical="center"/>
    </xf>
    <xf numFmtId="0" fontId="30" fillId="31" borderId="50" xfId="0" applyFont="1" applyFill="1" applyBorder="1" applyAlignment="1">
      <alignment horizontal="right" vertical="center"/>
    </xf>
    <xf numFmtId="166" fontId="30" fillId="31" borderId="50" xfId="61" applyNumberFormat="1" applyFont="1" applyFill="1" applyBorder="1" applyAlignment="1">
      <alignment horizontal="left" vertical="top" wrapText="1"/>
    </xf>
    <xf numFmtId="166" fontId="30" fillId="31" borderId="50" xfId="61" applyNumberFormat="1" applyFont="1" applyFill="1" applyBorder="1" applyAlignment="1">
      <alignment horizontal="center" vertical="center" wrapText="1"/>
    </xf>
    <xf numFmtId="0" fontId="30" fillId="31" borderId="31" xfId="0" applyFont="1" applyFill="1" applyBorder="1" applyAlignment="1">
      <alignment horizontal="right" vertical="center"/>
    </xf>
    <xf numFmtId="166" fontId="30" fillId="31" borderId="31" xfId="61" applyNumberFormat="1" applyFont="1" applyFill="1" applyBorder="1" applyAlignment="1">
      <alignment horizontal="left" vertical="top" wrapText="1"/>
    </xf>
    <xf numFmtId="166" fontId="30" fillId="31" borderId="31" xfId="61" applyNumberFormat="1" applyFont="1" applyFill="1" applyBorder="1" applyAlignment="1">
      <alignment horizontal="center" vertical="center" wrapText="1"/>
    </xf>
    <xf numFmtId="166" fontId="29" fillId="0" borderId="23" xfId="61" applyNumberFormat="1" applyFont="1" applyBorder="1" applyAlignment="1">
      <alignment horizontal="center" vertical="center" wrapText="1"/>
    </xf>
    <xf numFmtId="9" fontId="29" fillId="0" borderId="0" xfId="62" applyFont="1" applyFill="1" applyBorder="1" applyAlignment="1">
      <alignment horizontal="right" vertical="center"/>
    </xf>
    <xf numFmtId="0" fontId="30" fillId="31" borderId="52" xfId="0" applyFont="1" applyFill="1" applyBorder="1" applyAlignment="1">
      <alignment horizontal="right" vertical="center"/>
    </xf>
    <xf numFmtId="2" fontId="62" fillId="31" borderId="15" xfId="0" applyNumberFormat="1" applyFont="1" applyFill="1" applyBorder="1" applyAlignment="1">
      <alignment vertical="center"/>
    </xf>
    <xf numFmtId="2" fontId="32" fillId="31" borderId="16" xfId="0" applyNumberFormat="1" applyFont="1" applyFill="1" applyBorder="1" applyAlignment="1">
      <alignment vertical="center" wrapText="1"/>
    </xf>
    <xf numFmtId="2" fontId="62" fillId="31" borderId="16" xfId="0" applyNumberFormat="1" applyFont="1" applyFill="1" applyBorder="1" applyAlignment="1">
      <alignment vertical="center" wrapText="1"/>
    </xf>
    <xf numFmtId="2" fontId="39" fillId="31" borderId="16" xfId="0" applyNumberFormat="1" applyFont="1" applyFill="1" applyBorder="1" applyAlignment="1">
      <alignment vertical="center" wrapText="1"/>
    </xf>
    <xf numFmtId="2" fontId="39" fillId="31" borderId="17" xfId="0" applyNumberFormat="1" applyFont="1" applyFill="1" applyBorder="1" applyAlignment="1">
      <alignment vertical="center" wrapText="1"/>
    </xf>
    <xf numFmtId="0" fontId="61" fillId="26" borderId="34" xfId="0" applyFont="1" applyFill="1" applyBorder="1"/>
    <xf numFmtId="14" fontId="38" fillId="31" borderId="16" xfId="0" applyNumberFormat="1" applyFont="1" applyFill="1" applyBorder="1" applyAlignment="1">
      <alignment horizontal="left"/>
    </xf>
    <xf numFmtId="169" fontId="38" fillId="31" borderId="0" xfId="0" applyNumberFormat="1" applyFont="1" applyFill="1"/>
    <xf numFmtId="169" fontId="38" fillId="31" borderId="0" xfId="0" applyNumberFormat="1" applyFont="1" applyFill="1" applyAlignment="1">
      <alignment horizontal="left"/>
    </xf>
    <xf numFmtId="169" fontId="52" fillId="31" borderId="0" xfId="0" applyNumberFormat="1" applyFont="1" applyFill="1"/>
    <xf numFmtId="170" fontId="53" fillId="31" borderId="53" xfId="63" applyNumberFormat="1" applyFont="1" applyFill="1" applyBorder="1" applyAlignment="1">
      <alignment horizontal="left" vertical="center"/>
    </xf>
    <xf numFmtId="2" fontId="29" fillId="31" borderId="0" xfId="0" applyNumberFormat="1" applyFont="1" applyFill="1" applyAlignment="1">
      <alignment vertical="center" wrapText="1"/>
    </xf>
    <xf numFmtId="2" fontId="29" fillId="31" borderId="15" xfId="0" applyNumberFormat="1" applyFont="1" applyFill="1" applyBorder="1" applyAlignment="1">
      <alignment horizontal="center" vertical="center" wrapText="1"/>
    </xf>
    <xf numFmtId="2" fontId="29" fillId="31" borderId="16" xfId="0" applyNumberFormat="1" applyFont="1" applyFill="1" applyBorder="1" applyAlignment="1">
      <alignment vertical="center" wrapText="1"/>
    </xf>
    <xf numFmtId="2" fontId="29" fillId="31" borderId="18" xfId="0" applyNumberFormat="1" applyFont="1" applyFill="1" applyBorder="1" applyAlignment="1">
      <alignment horizontal="center" vertical="center" wrapText="1"/>
    </xf>
    <xf numFmtId="2" fontId="29" fillId="31" borderId="29" xfId="0" applyNumberFormat="1" applyFont="1" applyFill="1" applyBorder="1" applyAlignment="1">
      <alignment horizontal="center" vertical="center" wrapText="1"/>
    </xf>
    <xf numFmtId="2" fontId="29" fillId="31" borderId="31" xfId="0" applyNumberFormat="1" applyFont="1" applyFill="1" applyBorder="1" applyAlignment="1">
      <alignment vertical="center" wrapText="1"/>
    </xf>
    <xf numFmtId="0" fontId="39" fillId="31" borderId="31" xfId="0" applyFont="1" applyFill="1" applyBorder="1" applyAlignment="1">
      <alignment horizontal="left" vertical="center"/>
    </xf>
    <xf numFmtId="2" fontId="29" fillId="31" borderId="0" xfId="0" applyNumberFormat="1" applyFont="1" applyFill="1" applyAlignment="1">
      <alignment horizontal="center" vertical="center" wrapText="1"/>
    </xf>
    <xf numFmtId="0" fontId="39" fillId="31" borderId="31" xfId="0" applyFont="1" applyFill="1" applyBorder="1" applyAlignment="1">
      <alignment horizontal="center" vertical="center"/>
    </xf>
    <xf numFmtId="2" fontId="29" fillId="31" borderId="17" xfId="0" applyNumberFormat="1" applyFont="1" applyFill="1" applyBorder="1" applyAlignment="1">
      <alignment vertical="center" wrapText="1"/>
    </xf>
    <xf numFmtId="2" fontId="29" fillId="31" borderId="19" xfId="0" applyNumberFormat="1" applyFont="1" applyFill="1" applyBorder="1" applyAlignment="1">
      <alignment vertical="center" wrapText="1"/>
    </xf>
    <xf numFmtId="2" fontId="29" fillId="31" borderId="30" xfId="0" applyNumberFormat="1" applyFont="1" applyFill="1" applyBorder="1" applyAlignment="1">
      <alignment vertical="center" wrapText="1"/>
    </xf>
    <xf numFmtId="2" fontId="29" fillId="31" borderId="16" xfId="0" applyNumberFormat="1" applyFont="1" applyFill="1" applyBorder="1" applyAlignment="1">
      <alignment horizontal="center" vertical="center" wrapText="1"/>
    </xf>
    <xf numFmtId="0" fontId="29" fillId="31" borderId="16" xfId="0" applyFont="1" applyFill="1" applyBorder="1" applyAlignment="1">
      <alignment horizontal="center" vertical="center"/>
    </xf>
    <xf numFmtId="2" fontId="29" fillId="31" borderId="31" xfId="0" applyNumberFormat="1" applyFont="1" applyFill="1" applyBorder="1" applyAlignment="1">
      <alignment horizontal="center" vertical="center" wrapText="1"/>
    </xf>
    <xf numFmtId="2" fontId="29" fillId="25" borderId="0" xfId="0" applyNumberFormat="1" applyFont="1" applyFill="1" applyAlignment="1">
      <alignment vertical="center" wrapText="1"/>
    </xf>
    <xf numFmtId="2" fontId="29" fillId="25" borderId="13" xfId="0" applyNumberFormat="1" applyFont="1" applyFill="1" applyBorder="1" applyAlignment="1">
      <alignment vertical="center" wrapText="1"/>
    </xf>
    <xf numFmtId="0" fontId="29" fillId="25" borderId="13" xfId="0" applyFont="1" applyFill="1" applyBorder="1" applyAlignment="1">
      <alignment vertical="top"/>
    </xf>
    <xf numFmtId="0" fontId="37" fillId="31" borderId="26" xfId="0" applyFont="1" applyFill="1" applyBorder="1" applyAlignment="1">
      <alignment horizontal="center" vertical="center"/>
    </xf>
    <xf numFmtId="0" fontId="29" fillId="31" borderId="26" xfId="0" applyFont="1" applyFill="1" applyBorder="1" applyAlignment="1">
      <alignment horizontal="center" vertical="center"/>
    </xf>
    <xf numFmtId="14" fontId="38" fillId="31" borderId="27" xfId="0" applyNumberFormat="1" applyFont="1" applyFill="1" applyBorder="1" applyAlignment="1">
      <alignment horizontal="left" vertical="center"/>
    </xf>
    <xf numFmtId="0" fontId="63" fillId="31" borderId="25" xfId="0" applyFont="1" applyFill="1" applyBorder="1"/>
    <xf numFmtId="0" fontId="65" fillId="0" borderId="11" xfId="0" applyFont="1" applyBorder="1" applyAlignment="1">
      <alignment vertical="center" wrapText="1"/>
    </xf>
    <xf numFmtId="0" fontId="29" fillId="25" borderId="10" xfId="0" applyFont="1" applyFill="1" applyBorder="1" applyAlignment="1">
      <alignment vertical="top"/>
    </xf>
    <xf numFmtId="2" fontId="30" fillId="25" borderId="0" xfId="0" applyNumberFormat="1" applyFont="1" applyFill="1" applyAlignment="1">
      <alignment vertical="center" wrapText="1"/>
    </xf>
    <xf numFmtId="2" fontId="30" fillId="25" borderId="13" xfId="0" applyNumberFormat="1" applyFont="1" applyFill="1" applyBorder="1" applyAlignment="1">
      <alignment vertical="center" wrapText="1"/>
    </xf>
    <xf numFmtId="14" fontId="38" fillId="25" borderId="0" xfId="0" applyNumberFormat="1" applyFont="1" applyFill="1" applyAlignment="1">
      <alignment horizontal="left" vertical="center"/>
    </xf>
    <xf numFmtId="169" fontId="38" fillId="25" borderId="0" xfId="0" applyNumberFormat="1" applyFont="1" applyFill="1"/>
    <xf numFmtId="0" fontId="37" fillId="25" borderId="0" xfId="0" applyFont="1" applyFill="1" applyAlignment="1">
      <alignment horizontal="right" vertical="center"/>
    </xf>
    <xf numFmtId="0" fontId="29" fillId="25" borderId="0" xfId="0" applyFont="1" applyFill="1" applyAlignment="1">
      <alignment vertical="center"/>
    </xf>
    <xf numFmtId="0" fontId="56" fillId="25" borderId="10" xfId="0" applyFont="1" applyFill="1" applyBorder="1" applyAlignment="1">
      <alignment vertical="top"/>
    </xf>
    <xf numFmtId="2" fontId="56" fillId="25" borderId="0" xfId="0" applyNumberFormat="1" applyFont="1" applyFill="1" applyAlignment="1">
      <alignment vertical="center" wrapText="1"/>
    </xf>
    <xf numFmtId="2" fontId="45" fillId="25" borderId="0" xfId="0" applyNumberFormat="1" applyFont="1" applyFill="1" applyAlignment="1">
      <alignment vertical="center" wrapText="1"/>
    </xf>
    <xf numFmtId="0" fontId="56" fillId="25" borderId="0" xfId="0" applyFont="1" applyFill="1" applyAlignment="1">
      <alignment vertical="center"/>
    </xf>
    <xf numFmtId="0" fontId="56" fillId="25" borderId="13" xfId="0" applyFont="1" applyFill="1" applyBorder="1" applyAlignment="1">
      <alignment vertical="top"/>
    </xf>
    <xf numFmtId="2" fontId="58" fillId="25" borderId="0" xfId="0" applyNumberFormat="1" applyFont="1" applyFill="1" applyAlignment="1">
      <alignment vertical="center" wrapText="1"/>
    </xf>
    <xf numFmtId="2" fontId="29" fillId="31" borderId="57" xfId="0" applyNumberFormat="1" applyFont="1" applyFill="1" applyBorder="1" applyAlignment="1">
      <alignment horizontal="center" vertical="center" wrapText="1"/>
    </xf>
    <xf numFmtId="172" fontId="30" fillId="26" borderId="0" xfId="62" applyNumberFormat="1" applyFont="1" applyFill="1" applyBorder="1" applyAlignment="1">
      <alignment horizontal="center" vertical="center"/>
    </xf>
    <xf numFmtId="0" fontId="29" fillId="0" borderId="10" xfId="0" applyFont="1" applyBorder="1" applyAlignment="1">
      <alignment vertical="top"/>
    </xf>
    <xf numFmtId="0" fontId="29" fillId="25" borderId="23" xfId="0" applyFont="1" applyFill="1" applyBorder="1" applyAlignment="1">
      <alignment vertical="top"/>
    </xf>
    <xf numFmtId="0" fontId="29" fillId="25" borderId="22" xfId="0" applyFont="1" applyFill="1" applyBorder="1" applyAlignment="1">
      <alignment horizontal="center" vertical="center"/>
    </xf>
    <xf numFmtId="2" fontId="29" fillId="25" borderId="22" xfId="0" applyNumberFormat="1" applyFont="1" applyFill="1" applyBorder="1" applyAlignment="1">
      <alignment vertical="top" wrapText="1"/>
    </xf>
    <xf numFmtId="2" fontId="29" fillId="25" borderId="22" xfId="0" applyNumberFormat="1" applyFont="1" applyFill="1" applyBorder="1" applyAlignment="1">
      <alignment horizontal="center" vertical="center" wrapText="1"/>
    </xf>
    <xf numFmtId="2" fontId="29" fillId="25" borderId="22" xfId="0" applyNumberFormat="1" applyFont="1" applyFill="1" applyBorder="1" applyAlignment="1">
      <alignment vertical="center" wrapText="1"/>
    </xf>
    <xf numFmtId="2" fontId="29" fillId="25" borderId="58" xfId="0" applyNumberFormat="1" applyFont="1" applyFill="1" applyBorder="1" applyAlignment="1">
      <alignment vertical="center" wrapText="1"/>
    </xf>
    <xf numFmtId="172" fontId="29" fillId="0" borderId="45" xfId="62" applyNumberFormat="1" applyFont="1" applyBorder="1" applyAlignment="1">
      <alignment horizontal="center" vertical="center" wrapText="1"/>
    </xf>
    <xf numFmtId="172" fontId="29" fillId="0" borderId="21" xfId="62" applyNumberFormat="1" applyFont="1" applyBorder="1" applyAlignment="1">
      <alignment horizontal="center" vertical="center" wrapText="1"/>
    </xf>
    <xf numFmtId="1" fontId="29" fillId="25" borderId="60" xfId="38" applyNumberFormat="1" applyFont="1" applyFill="1" applyBorder="1" applyAlignment="1">
      <alignment horizontal="center" vertical="center"/>
    </xf>
    <xf numFmtId="2" fontId="41" fillId="31" borderId="16" xfId="0" applyNumberFormat="1" applyFont="1" applyFill="1" applyBorder="1" applyAlignment="1">
      <alignment horizontal="right" vertical="center"/>
    </xf>
    <xf numFmtId="166" fontId="59" fillId="31" borderId="38" xfId="61" applyNumberFormat="1" applyFont="1" applyFill="1" applyBorder="1" applyAlignment="1">
      <alignment horizontal="left" vertical="center" wrapText="1"/>
    </xf>
    <xf numFmtId="9" fontId="46" fillId="31" borderId="16" xfId="62" applyFont="1" applyFill="1" applyBorder="1" applyAlignment="1">
      <alignment horizontal="center" vertical="center"/>
    </xf>
    <xf numFmtId="9" fontId="46" fillId="31" borderId="0" xfId="62" applyFont="1" applyFill="1" applyBorder="1" applyAlignment="1">
      <alignment horizontal="center" vertical="center"/>
    </xf>
    <xf numFmtId="2" fontId="29" fillId="0" borderId="0" xfId="0" applyNumberFormat="1" applyFont="1" applyAlignment="1">
      <alignment vertical="center"/>
    </xf>
    <xf numFmtId="2" fontId="30" fillId="31" borderId="16" xfId="0" applyNumberFormat="1" applyFont="1" applyFill="1" applyBorder="1" applyAlignment="1">
      <alignment horizontal="left" vertical="center"/>
    </xf>
    <xf numFmtId="2" fontId="30" fillId="31" borderId="0" xfId="0" applyNumberFormat="1" applyFont="1" applyFill="1" applyAlignment="1">
      <alignment vertical="center"/>
    </xf>
    <xf numFmtId="0" fontId="30" fillId="31" borderId="49" xfId="0" applyFont="1" applyFill="1" applyBorder="1" applyAlignment="1">
      <alignment horizontal="right" vertical="center"/>
    </xf>
    <xf numFmtId="2" fontId="29" fillId="31" borderId="63" xfId="0" applyNumberFormat="1" applyFont="1" applyFill="1" applyBorder="1" applyAlignment="1">
      <alignment horizontal="center" vertical="center" wrapText="1"/>
    </xf>
    <xf numFmtId="44" fontId="42" fillId="32" borderId="11" xfId="61" applyFont="1" applyFill="1" applyBorder="1" applyAlignment="1">
      <alignment horizontal="center" wrapText="1"/>
    </xf>
    <xf numFmtId="0" fontId="33" fillId="25" borderId="32" xfId="41" applyFont="1" applyFill="1" applyBorder="1" applyAlignment="1">
      <alignment horizontal="left" vertical="center"/>
    </xf>
    <xf numFmtId="166" fontId="29" fillId="0" borderId="34" xfId="78" applyNumberFormat="1" applyFont="1" applyBorder="1" applyAlignment="1">
      <alignment vertical="top" wrapText="1"/>
    </xf>
    <xf numFmtId="166" fontId="29" fillId="0" borderId="23" xfId="78" applyNumberFormat="1" applyFont="1" applyBorder="1" applyAlignment="1">
      <alignment horizontal="center" vertical="center" wrapText="1"/>
    </xf>
    <xf numFmtId="169" fontId="37" fillId="32" borderId="11" xfId="0" applyNumberFormat="1" applyFont="1" applyFill="1" applyBorder="1"/>
    <xf numFmtId="0" fontId="40" fillId="32" borderId="54" xfId="0" applyFont="1" applyFill="1" applyBorder="1" applyAlignment="1">
      <alignment horizontal="center" vertical="center"/>
    </xf>
    <xf numFmtId="0" fontId="40" fillId="32" borderId="55" xfId="0" applyFont="1" applyFill="1" applyBorder="1" applyAlignment="1">
      <alignment horizontal="left" vertical="center"/>
    </xf>
    <xf numFmtId="2" fontId="40" fillId="32" borderId="55" xfId="0" applyNumberFormat="1" applyFont="1" applyFill="1" applyBorder="1" applyAlignment="1">
      <alignment horizontal="center" vertical="center" wrapText="1"/>
    </xf>
    <xf numFmtId="0" fontId="40" fillId="32" borderId="55" xfId="0" applyFont="1" applyFill="1" applyBorder="1" applyAlignment="1">
      <alignment horizontal="center" vertical="center"/>
    </xf>
    <xf numFmtId="2" fontId="40" fillId="32" borderId="56" xfId="0" applyNumberFormat="1" applyFont="1" applyFill="1" applyBorder="1" applyAlignment="1">
      <alignment vertical="center" wrapText="1"/>
    </xf>
    <xf numFmtId="0" fontId="29" fillId="25" borderId="37" xfId="0" applyFont="1" applyFill="1" applyBorder="1" applyAlignment="1">
      <alignment vertical="top"/>
    </xf>
    <xf numFmtId="0" fontId="29" fillId="25" borderId="36" xfId="0" applyFont="1" applyFill="1" applyBorder="1" applyAlignment="1">
      <alignment horizontal="center" vertical="center"/>
    </xf>
    <xf numFmtId="2" fontId="29" fillId="25" borderId="36" xfId="0" applyNumberFormat="1" applyFont="1" applyFill="1" applyBorder="1" applyAlignment="1">
      <alignment vertical="top" wrapText="1"/>
    </xf>
    <xf numFmtId="2" fontId="29" fillId="25" borderId="36" xfId="0" applyNumberFormat="1" applyFont="1" applyFill="1" applyBorder="1" applyAlignment="1">
      <alignment horizontal="center" vertical="center" wrapText="1"/>
    </xf>
    <xf numFmtId="2" fontId="30" fillId="25" borderId="36" xfId="0" applyNumberFormat="1" applyFont="1" applyFill="1" applyBorder="1" applyAlignment="1">
      <alignment vertical="center" wrapText="1"/>
    </xf>
    <xf numFmtId="2" fontId="30" fillId="25" borderId="70" xfId="0" applyNumberFormat="1" applyFont="1" applyFill="1" applyBorder="1" applyAlignment="1">
      <alignment vertical="center" wrapText="1"/>
    </xf>
    <xf numFmtId="0" fontId="40" fillId="32" borderId="71" xfId="0" applyFont="1" applyFill="1" applyBorder="1" applyAlignment="1">
      <alignment horizontal="left" vertical="center"/>
    </xf>
    <xf numFmtId="2" fontId="40" fillId="32" borderId="72" xfId="0" applyNumberFormat="1" applyFont="1" applyFill="1" applyBorder="1" applyAlignment="1">
      <alignment horizontal="center" vertical="center" wrapText="1"/>
    </xf>
    <xf numFmtId="0" fontId="40" fillId="32" borderId="72" xfId="0" applyFont="1" applyFill="1" applyBorder="1" applyAlignment="1">
      <alignment horizontal="center" vertical="center"/>
    </xf>
    <xf numFmtId="2" fontId="40" fillId="32" borderId="73" xfId="0" applyNumberFormat="1" applyFont="1" applyFill="1" applyBorder="1" applyAlignment="1">
      <alignment vertical="center" wrapText="1"/>
    </xf>
    <xf numFmtId="0" fontId="67" fillId="25" borderId="0" xfId="0" applyFont="1" applyFill="1" applyAlignment="1">
      <alignment horizontal="center" vertical="center"/>
    </xf>
    <xf numFmtId="0" fontId="66" fillId="31" borderId="48" xfId="0" applyFont="1" applyFill="1" applyBorder="1" applyAlignment="1">
      <alignment horizontal="right" vertical="center"/>
    </xf>
    <xf numFmtId="0" fontId="66" fillId="31" borderId="18" xfId="0" applyFont="1" applyFill="1" applyBorder="1" applyAlignment="1">
      <alignment horizontal="right" vertical="center"/>
    </xf>
    <xf numFmtId="0" fontId="66" fillId="31" borderId="46" xfId="0" applyFont="1" applyFill="1" applyBorder="1" applyAlignment="1">
      <alignment horizontal="right" vertical="center"/>
    </xf>
    <xf numFmtId="0" fontId="66" fillId="31" borderId="29" xfId="0" applyFont="1" applyFill="1" applyBorder="1" applyAlignment="1">
      <alignment horizontal="right" vertical="center"/>
    </xf>
    <xf numFmtId="0" fontId="37" fillId="32" borderId="11" xfId="0" applyFont="1" applyFill="1" applyBorder="1" applyAlignment="1">
      <alignment horizontal="right"/>
    </xf>
    <xf numFmtId="0" fontId="34" fillId="33" borderId="74" xfId="39" applyFont="1" applyFill="1" applyBorder="1" applyAlignment="1">
      <alignment horizontal="center" vertical="center"/>
    </xf>
    <xf numFmtId="0" fontId="34" fillId="33" borderId="75" xfId="39" applyFont="1" applyFill="1" applyBorder="1" applyAlignment="1">
      <alignment vertical="center"/>
    </xf>
    <xf numFmtId="0" fontId="34" fillId="33" borderId="22" xfId="39" applyFont="1" applyFill="1" applyBorder="1" applyAlignment="1">
      <alignment vertical="center"/>
    </xf>
    <xf numFmtId="0" fontId="29" fillId="25" borderId="18" xfId="0" applyFont="1" applyFill="1" applyBorder="1" applyAlignment="1">
      <alignment horizontal="center" vertical="center"/>
    </xf>
    <xf numFmtId="2" fontId="29" fillId="25" borderId="19" xfId="0" applyNumberFormat="1" applyFont="1" applyFill="1" applyBorder="1" applyAlignment="1">
      <alignment vertical="center" wrapText="1"/>
    </xf>
    <xf numFmtId="0" fontId="29" fillId="25" borderId="19" xfId="0" applyFont="1" applyFill="1" applyBorder="1" applyAlignment="1">
      <alignment vertical="top"/>
    </xf>
    <xf numFmtId="2" fontId="29" fillId="25" borderId="19" xfId="0" applyNumberFormat="1" applyFont="1" applyFill="1" applyBorder="1" applyAlignment="1">
      <alignment horizontal="center" vertical="center" wrapText="1"/>
    </xf>
    <xf numFmtId="0" fontId="34" fillId="33" borderId="77" xfId="39" applyFont="1" applyFill="1" applyBorder="1" applyAlignment="1">
      <alignment horizontal="center" vertical="center"/>
    </xf>
    <xf numFmtId="42" fontId="34" fillId="33" borderId="45" xfId="39" applyNumberFormat="1" applyFont="1" applyFill="1" applyBorder="1" applyAlignment="1">
      <alignment vertical="center"/>
    </xf>
    <xf numFmtId="1" fontId="29" fillId="0" borderId="78" xfId="38" applyNumberFormat="1" applyFont="1" applyFill="1" applyBorder="1" applyAlignment="1">
      <alignment horizontal="center" vertical="center"/>
    </xf>
    <xf numFmtId="0" fontId="29" fillId="25" borderId="79" xfId="38" applyFont="1" applyFill="1" applyBorder="1" applyAlignment="1">
      <alignment horizontal="justify" vertical="center" wrapText="1"/>
    </xf>
    <xf numFmtId="41" fontId="29" fillId="25" borderId="79" xfId="38" applyNumberFormat="1" applyFont="1" applyFill="1" applyBorder="1" applyAlignment="1">
      <alignment horizontal="center" vertical="center"/>
    </xf>
    <xf numFmtId="9" fontId="29" fillId="25" borderId="79" xfId="38" applyNumberFormat="1" applyFont="1" applyFill="1" applyBorder="1" applyAlignment="1">
      <alignment horizontal="right" vertical="center"/>
    </xf>
    <xf numFmtId="41" fontId="29" fillId="25" borderId="79" xfId="38" applyNumberFormat="1" applyFont="1" applyFill="1" applyBorder="1" applyAlignment="1">
      <alignment horizontal="right" vertical="center"/>
    </xf>
    <xf numFmtId="0" fontId="29" fillId="25" borderId="79" xfId="38" applyFont="1" applyFill="1" applyBorder="1" applyAlignment="1">
      <alignment horizontal="center" vertical="center"/>
    </xf>
    <xf numFmtId="0" fontId="29" fillId="29" borderId="79" xfId="64" applyFont="1" applyFill="1" applyBorder="1" applyAlignment="1">
      <alignment horizontal="center" vertical="center"/>
    </xf>
    <xf numFmtId="168" fontId="29" fillId="31" borderId="79" xfId="38" applyNumberFormat="1" applyFont="1" applyFill="1" applyBorder="1" applyAlignment="1">
      <alignment horizontal="right" vertical="center"/>
    </xf>
    <xf numFmtId="168" fontId="29" fillId="0" borderId="79" xfId="38" applyNumberFormat="1" applyFont="1" applyFill="1" applyBorder="1" applyAlignment="1">
      <alignment vertical="center"/>
    </xf>
    <xf numFmtId="168" fontId="29" fillId="29" borderId="79" xfId="38" applyNumberFormat="1" applyFont="1" applyFill="1" applyBorder="1" applyAlignment="1">
      <alignment horizontal="right" vertical="center"/>
    </xf>
    <xf numFmtId="168" fontId="29" fillId="25" borderId="79" xfId="38" applyNumberFormat="1" applyFont="1" applyFill="1" applyBorder="1" applyAlignment="1">
      <alignment vertical="center"/>
    </xf>
    <xf numFmtId="167" fontId="29" fillId="25" borderId="79" xfId="38" applyNumberFormat="1" applyFont="1" applyFill="1" applyBorder="1" applyAlignment="1" applyProtection="1">
      <alignment horizontal="left" vertical="center"/>
    </xf>
    <xf numFmtId="41" fontId="29" fillId="0" borderId="19" xfId="45" applyNumberFormat="1" applyFont="1" applyBorder="1" applyAlignment="1">
      <alignment vertical="center"/>
    </xf>
    <xf numFmtId="1" fontId="29" fillId="0" borderId="80" xfId="38" applyNumberFormat="1" applyFont="1" applyFill="1" applyBorder="1" applyAlignment="1">
      <alignment horizontal="center" vertical="center"/>
    </xf>
    <xf numFmtId="1" fontId="29" fillId="25" borderId="81" xfId="38" applyNumberFormat="1" applyFont="1" applyFill="1" applyBorder="1" applyAlignment="1">
      <alignment horizontal="center" vertical="center"/>
    </xf>
    <xf numFmtId="0" fontId="30" fillId="28" borderId="79" xfId="38" applyFont="1" applyFill="1" applyBorder="1" applyAlignment="1">
      <alignment horizontal="justify" vertical="center"/>
    </xf>
    <xf numFmtId="43" fontId="29" fillId="25" borderId="79" xfId="38" applyNumberFormat="1" applyFont="1" applyFill="1" applyBorder="1" applyAlignment="1">
      <alignment horizontal="center" vertical="center"/>
    </xf>
    <xf numFmtId="1" fontId="29" fillId="25" borderId="80" xfId="38" applyNumberFormat="1" applyFont="1" applyFill="1" applyBorder="1" applyAlignment="1">
      <alignment horizontal="center" vertical="center"/>
    </xf>
    <xf numFmtId="9" fontId="29" fillId="0" borderId="79" xfId="62" applyFont="1" applyFill="1" applyBorder="1" applyAlignment="1">
      <alignment horizontal="right" vertical="center"/>
    </xf>
    <xf numFmtId="168" fontId="29" fillId="25" borderId="79" xfId="38" applyNumberFormat="1" applyFont="1" applyFill="1" applyBorder="1" applyAlignment="1">
      <alignment horizontal="right" vertical="center"/>
    </xf>
    <xf numFmtId="44" fontId="29" fillId="29" borderId="79" xfId="38" applyNumberFormat="1" applyFont="1" applyFill="1" applyBorder="1" applyAlignment="1">
      <alignment horizontal="right" vertical="center"/>
    </xf>
    <xf numFmtId="171" fontId="29" fillId="29" borderId="79" xfId="64" applyNumberFormat="1" applyFont="1" applyFill="1" applyBorder="1" applyAlignment="1">
      <alignment horizontal="center" vertical="center"/>
    </xf>
    <xf numFmtId="1" fontId="29" fillId="25" borderId="80" xfId="64" applyNumberFormat="1" applyFont="1" applyFill="1" applyBorder="1" applyAlignment="1">
      <alignment horizontal="center" vertical="center"/>
    </xf>
    <xf numFmtId="1" fontId="29" fillId="25" borderId="81" xfId="64" applyNumberFormat="1" applyFont="1" applyFill="1" applyBorder="1" applyAlignment="1">
      <alignment horizontal="center" vertical="center"/>
    </xf>
    <xf numFmtId="43" fontId="29" fillId="25" borderId="79" xfId="64" applyNumberFormat="1" applyFont="1" applyFill="1" applyBorder="1" applyAlignment="1">
      <alignment horizontal="center" vertical="center"/>
    </xf>
    <xf numFmtId="168" fontId="29" fillId="25" borderId="79" xfId="64" applyNumberFormat="1" applyFont="1" applyFill="1" applyBorder="1" applyAlignment="1">
      <alignment horizontal="right" vertical="center"/>
    </xf>
    <xf numFmtId="168" fontId="29" fillId="29" borderId="79" xfId="64" applyNumberFormat="1" applyFont="1" applyFill="1" applyBorder="1" applyAlignment="1">
      <alignment horizontal="right" vertical="center"/>
    </xf>
    <xf numFmtId="168" fontId="29" fillId="25" borderId="79" xfId="64" applyNumberFormat="1" applyFont="1" applyFill="1" applyBorder="1" applyAlignment="1">
      <alignment vertical="center"/>
    </xf>
    <xf numFmtId="167" fontId="29" fillId="25" borderId="79" xfId="64" applyNumberFormat="1" applyFont="1" applyFill="1" applyBorder="1" applyAlignment="1" applyProtection="1">
      <alignment horizontal="left" vertical="center"/>
    </xf>
    <xf numFmtId="0" fontId="29" fillId="25" borderId="79" xfId="64" applyFont="1" applyFill="1" applyBorder="1" applyAlignment="1">
      <alignment horizontal="justify" vertical="center" wrapText="1"/>
    </xf>
    <xf numFmtId="0" fontId="29" fillId="25" borderId="79" xfId="64" applyFont="1" applyFill="1" applyBorder="1" applyAlignment="1">
      <alignment horizontal="center" vertical="center"/>
    </xf>
    <xf numFmtId="164" fontId="29" fillId="25" borderId="79" xfId="64" applyNumberFormat="1" applyFont="1" applyFill="1" applyBorder="1" applyAlignment="1">
      <alignment horizontal="center" vertical="center"/>
    </xf>
    <xf numFmtId="0" fontId="30" fillId="28" borderId="79" xfId="64" applyFont="1" applyFill="1" applyBorder="1" applyAlignment="1">
      <alignment horizontal="justify" vertical="center"/>
    </xf>
    <xf numFmtId="168" fontId="29" fillId="29" borderId="79" xfId="64" applyNumberFormat="1" applyFont="1" applyFill="1" applyBorder="1" applyAlignment="1">
      <alignment vertical="center"/>
    </xf>
    <xf numFmtId="1" fontId="29" fillId="25" borderId="81" xfId="70" applyNumberFormat="1" applyFont="1" applyFill="1" applyBorder="1" applyAlignment="1">
      <alignment horizontal="center" vertical="center"/>
    </xf>
    <xf numFmtId="171" fontId="29" fillId="29" borderId="79" xfId="70" applyNumberFormat="1" applyFont="1" applyFill="1" applyBorder="1" applyAlignment="1">
      <alignment horizontal="center" vertical="center"/>
    </xf>
    <xf numFmtId="168" fontId="29" fillId="25" borderId="79" xfId="71" applyNumberFormat="1" applyFont="1" applyFill="1" applyBorder="1" applyAlignment="1">
      <alignment vertical="center"/>
    </xf>
    <xf numFmtId="168" fontId="29" fillId="29" borderId="79" xfId="70" applyNumberFormat="1" applyFont="1" applyFill="1" applyBorder="1" applyAlignment="1">
      <alignment vertical="center"/>
    </xf>
    <xf numFmtId="9" fontId="29" fillId="25" borderId="79" xfId="64" applyNumberFormat="1" applyFont="1" applyFill="1" applyBorder="1" applyAlignment="1">
      <alignment horizontal="right" vertical="center"/>
    </xf>
    <xf numFmtId="168" fontId="29" fillId="31" borderId="79" xfId="64" applyNumberFormat="1" applyFont="1" applyFill="1" applyBorder="1" applyAlignment="1">
      <alignment horizontal="right" vertical="center"/>
    </xf>
    <xf numFmtId="171" fontId="0" fillId="29" borderId="0" xfId="0" applyNumberFormat="1" applyFill="1"/>
    <xf numFmtId="164" fontId="29" fillId="25" borderId="79" xfId="38" applyNumberFormat="1" applyFont="1" applyFill="1" applyBorder="1" applyAlignment="1">
      <alignment horizontal="center" vertical="center"/>
    </xf>
    <xf numFmtId="168" fontId="29" fillId="29" borderId="79" xfId="71" applyNumberFormat="1" applyFont="1" applyFill="1" applyBorder="1" applyAlignment="1">
      <alignment vertical="center"/>
    </xf>
    <xf numFmtId="168" fontId="29" fillId="29" borderId="79" xfId="70" applyNumberFormat="1" applyFont="1" applyFill="1" applyBorder="1" applyAlignment="1">
      <alignment horizontal="right" vertical="center"/>
    </xf>
    <xf numFmtId="2" fontId="29" fillId="25" borderId="81" xfId="64" applyNumberFormat="1" applyFont="1" applyFill="1" applyBorder="1" applyAlignment="1">
      <alignment horizontal="center" vertical="center"/>
    </xf>
    <xf numFmtId="0" fontId="30" fillId="25" borderId="79" xfId="64" applyFont="1" applyFill="1" applyBorder="1" applyAlignment="1">
      <alignment horizontal="justify" vertical="center" wrapText="1"/>
    </xf>
    <xf numFmtId="171" fontId="29" fillId="29" borderId="79" xfId="71" applyNumberFormat="1" applyFont="1" applyFill="1" applyBorder="1" applyAlignment="1">
      <alignment horizontal="center" vertical="center"/>
    </xf>
    <xf numFmtId="168" fontId="29" fillId="29" borderId="79" xfId="38" applyNumberFormat="1" applyFont="1" applyFill="1" applyBorder="1" applyAlignment="1">
      <alignment vertical="center"/>
    </xf>
    <xf numFmtId="1" fontId="29" fillId="25" borderId="80" xfId="71" applyNumberFormat="1" applyFont="1" applyFill="1" applyBorder="1" applyAlignment="1">
      <alignment horizontal="center" vertical="center"/>
    </xf>
    <xf numFmtId="1" fontId="29" fillId="25" borderId="81" xfId="71" applyNumberFormat="1" applyFont="1" applyFill="1" applyBorder="1" applyAlignment="1">
      <alignment horizontal="center" vertical="center"/>
    </xf>
    <xf numFmtId="0" fontId="30" fillId="28" borderId="79" xfId="71" applyFont="1" applyFill="1" applyBorder="1" applyAlignment="1">
      <alignment horizontal="justify" vertical="center"/>
    </xf>
    <xf numFmtId="0" fontId="29" fillId="29" borderId="79" xfId="70" applyFont="1" applyFill="1" applyBorder="1" applyAlignment="1">
      <alignment horizontal="center" vertical="center"/>
    </xf>
    <xf numFmtId="168" fontId="29" fillId="31" borderId="79" xfId="71" applyNumberFormat="1" applyFont="1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29" borderId="0" xfId="0" applyFill="1"/>
    <xf numFmtId="0" fontId="29" fillId="29" borderId="79" xfId="38" applyFont="1" applyFill="1" applyBorder="1" applyAlignment="1">
      <alignment horizontal="center" vertical="center"/>
    </xf>
    <xf numFmtId="171" fontId="29" fillId="29" borderId="79" xfId="38" applyNumberFormat="1" applyFont="1" applyFill="1" applyBorder="1" applyAlignment="1">
      <alignment horizontal="center" vertical="center"/>
    </xf>
    <xf numFmtId="0" fontId="43" fillId="27" borderId="79" xfId="64" applyFont="1" applyFill="1" applyBorder="1" applyAlignment="1">
      <alignment horizontal="center" vertical="center" wrapText="1"/>
    </xf>
    <xf numFmtId="171" fontId="29" fillId="29" borderId="79" xfId="72" applyNumberFormat="1" applyFont="1" applyFill="1" applyBorder="1" applyAlignment="1">
      <alignment horizontal="center" vertical="center"/>
    </xf>
    <xf numFmtId="0" fontId="29" fillId="25" borderId="79" xfId="38" applyFont="1" applyFill="1" applyBorder="1" applyAlignment="1">
      <alignment horizontal="justify" vertical="center"/>
    </xf>
    <xf numFmtId="164" fontId="29" fillId="0" borderId="79" xfId="38" applyNumberFormat="1" applyFont="1" applyFill="1" applyBorder="1" applyAlignment="1">
      <alignment horizontal="center" vertical="center"/>
    </xf>
    <xf numFmtId="168" fontId="29" fillId="0" borderId="79" xfId="38" applyNumberFormat="1" applyFont="1" applyFill="1" applyBorder="1" applyAlignment="1">
      <alignment horizontal="right" vertical="center"/>
    </xf>
    <xf numFmtId="164" fontId="29" fillId="25" borderId="82" xfId="38" applyNumberFormat="1" applyFont="1" applyFill="1" applyBorder="1" applyAlignment="1">
      <alignment horizontal="center" vertical="center"/>
    </xf>
    <xf numFmtId="0" fontId="29" fillId="25" borderId="79" xfId="64" applyFont="1" applyFill="1" applyBorder="1" applyAlignment="1">
      <alignment horizontal="justify" vertical="center"/>
    </xf>
    <xf numFmtId="0" fontId="54" fillId="25" borderId="79" xfId="64" applyFont="1" applyFill="1" applyBorder="1" applyAlignment="1">
      <alignment horizontal="right" vertical="center"/>
    </xf>
    <xf numFmtId="0" fontId="42" fillId="0" borderId="0" xfId="0" applyFont="1" applyAlignment="1">
      <alignment vertical="center" wrapText="1"/>
    </xf>
    <xf numFmtId="167" fontId="29" fillId="0" borderId="79" xfId="38" applyNumberFormat="1" applyFont="1" applyFill="1" applyBorder="1" applyAlignment="1" applyProtection="1">
      <alignment horizontal="left" vertical="center"/>
    </xf>
    <xf numFmtId="0" fontId="42" fillId="0" borderId="0" xfId="0" applyFont="1" applyAlignment="1">
      <alignment vertical="center"/>
    </xf>
    <xf numFmtId="1" fontId="29" fillId="25" borderId="81" xfId="38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/>
    </xf>
    <xf numFmtId="0" fontId="29" fillId="0" borderId="0" xfId="45" applyFont="1" applyAlignment="1">
      <alignment horizontal="center" vertical="center"/>
    </xf>
    <xf numFmtId="0" fontId="50" fillId="25" borderId="79" xfId="64" applyFont="1" applyFill="1" applyBorder="1" applyAlignment="1">
      <alignment horizontal="justify" vertical="center" wrapText="1"/>
    </xf>
    <xf numFmtId="171" fontId="29" fillId="29" borderId="82" xfId="38" applyNumberFormat="1" applyFont="1" applyFill="1" applyBorder="1" applyAlignment="1">
      <alignment horizontal="center" vertical="center"/>
    </xf>
    <xf numFmtId="1" fontId="29" fillId="25" borderId="83" xfId="38" applyNumberFormat="1" applyFont="1" applyFill="1" applyBorder="1" applyAlignment="1">
      <alignment horizontal="center" vertical="center"/>
    </xf>
    <xf numFmtId="1" fontId="29" fillId="25" borderId="84" xfId="38" applyNumberFormat="1" applyFont="1" applyFill="1" applyBorder="1" applyAlignment="1">
      <alignment horizontal="center" vertical="center"/>
    </xf>
    <xf numFmtId="41" fontId="29" fillId="25" borderId="82" xfId="38" applyNumberFormat="1" applyFont="1" applyFill="1" applyBorder="1" applyAlignment="1">
      <alignment horizontal="center" vertical="center"/>
    </xf>
    <xf numFmtId="1" fontId="29" fillId="25" borderId="85" xfId="38" applyNumberFormat="1" applyFont="1" applyFill="1" applyBorder="1" applyAlignment="1">
      <alignment horizontal="center" vertical="center"/>
    </xf>
    <xf numFmtId="1" fontId="29" fillId="25" borderId="86" xfId="38" applyNumberFormat="1" applyFont="1" applyFill="1" applyBorder="1" applyAlignment="1">
      <alignment horizontal="center" vertical="center"/>
    </xf>
    <xf numFmtId="0" fontId="29" fillId="25" borderId="87" xfId="38" applyFont="1" applyFill="1" applyBorder="1" applyAlignment="1">
      <alignment horizontal="justify" vertical="center" wrapText="1"/>
    </xf>
    <xf numFmtId="41" fontId="29" fillId="25" borderId="87" xfId="38" applyNumberFormat="1" applyFont="1" applyFill="1" applyBorder="1" applyAlignment="1">
      <alignment horizontal="center" vertical="center"/>
    </xf>
    <xf numFmtId="9" fontId="29" fillId="25" borderId="87" xfId="38" applyNumberFormat="1" applyFont="1" applyFill="1" applyBorder="1" applyAlignment="1">
      <alignment horizontal="right" vertical="center"/>
    </xf>
    <xf numFmtId="41" fontId="29" fillId="25" borderId="87" xfId="38" applyNumberFormat="1" applyFont="1" applyFill="1" applyBorder="1" applyAlignment="1">
      <alignment horizontal="right" vertical="center"/>
    </xf>
    <xf numFmtId="0" fontId="29" fillId="25" borderId="87" xfId="38" applyFont="1" applyFill="1" applyBorder="1" applyAlignment="1">
      <alignment horizontal="center" vertical="center"/>
    </xf>
    <xf numFmtId="171" fontId="29" fillId="29" borderId="87" xfId="38" applyNumberFormat="1" applyFont="1" applyFill="1" applyBorder="1" applyAlignment="1">
      <alignment horizontal="center" vertical="center"/>
    </xf>
    <xf numFmtId="164" fontId="29" fillId="25" borderId="87" xfId="38" applyNumberFormat="1" applyFont="1" applyFill="1" applyBorder="1" applyAlignment="1">
      <alignment horizontal="center" vertical="center"/>
    </xf>
    <xf numFmtId="168" fontId="29" fillId="31" borderId="87" xfId="38" applyNumberFormat="1" applyFont="1" applyFill="1" applyBorder="1" applyAlignment="1">
      <alignment horizontal="right" vertical="center"/>
    </xf>
    <xf numFmtId="168" fontId="29" fillId="25" borderId="87" xfId="38" applyNumberFormat="1" applyFont="1" applyFill="1" applyBorder="1" applyAlignment="1">
      <alignment horizontal="right" vertical="center"/>
    </xf>
    <xf numFmtId="168" fontId="29" fillId="29" borderId="87" xfId="38" applyNumberFormat="1" applyFont="1" applyFill="1" applyBorder="1" applyAlignment="1">
      <alignment vertical="center"/>
    </xf>
    <xf numFmtId="168" fontId="29" fillId="25" borderId="87" xfId="38" applyNumberFormat="1" applyFont="1" applyFill="1" applyBorder="1" applyAlignment="1">
      <alignment vertical="center"/>
    </xf>
    <xf numFmtId="167" fontId="29" fillId="25" borderId="87" xfId="38" applyNumberFormat="1" applyFont="1" applyFill="1" applyBorder="1" applyAlignment="1" applyProtection="1">
      <alignment horizontal="left" vertical="center"/>
    </xf>
    <xf numFmtId="41" fontId="29" fillId="0" borderId="30" xfId="45" applyNumberFormat="1" applyFont="1" applyBorder="1" applyAlignment="1">
      <alignment vertical="center"/>
    </xf>
    <xf numFmtId="42" fontId="33" fillId="25" borderId="89" xfId="41" applyNumberFormat="1" applyFont="1" applyFill="1" applyBorder="1" applyAlignment="1">
      <alignment vertical="center"/>
    </xf>
    <xf numFmtId="0" fontId="33" fillId="25" borderId="43" xfId="41" applyFont="1" applyFill="1" applyBorder="1" applyAlignment="1">
      <alignment horizontal="center" vertical="center"/>
    </xf>
    <xf numFmtId="0" fontId="33" fillId="25" borderId="43" xfId="41" applyFont="1" applyFill="1" applyBorder="1" applyAlignment="1">
      <alignment horizontal="left" vertical="center"/>
    </xf>
    <xf numFmtId="0" fontId="33" fillId="25" borderId="43" xfId="41" applyFont="1" applyFill="1" applyBorder="1" applyAlignment="1">
      <alignment vertical="center"/>
    </xf>
    <xf numFmtId="165" fontId="33" fillId="25" borderId="43" xfId="41" applyNumberFormat="1" applyFont="1" applyFill="1" applyBorder="1" applyAlignment="1" applyProtection="1">
      <alignment horizontal="center" vertical="center"/>
    </xf>
    <xf numFmtId="166" fontId="33" fillId="25" borderId="43" xfId="41" applyNumberFormat="1" applyFont="1" applyFill="1" applyBorder="1" applyAlignment="1">
      <alignment horizontal="left" vertical="center"/>
    </xf>
    <xf numFmtId="166" fontId="33" fillId="25" borderId="91" xfId="41" applyNumberFormat="1" applyFont="1" applyFill="1" applyBorder="1" applyAlignment="1">
      <alignment vertical="center"/>
    </xf>
    <xf numFmtId="0" fontId="33" fillId="25" borderId="94" xfId="41" applyFont="1" applyFill="1" applyBorder="1" applyAlignment="1">
      <alignment horizontal="center" vertical="center"/>
    </xf>
    <xf numFmtId="0" fontId="33" fillId="25" borderId="94" xfId="41" applyFont="1" applyFill="1" applyBorder="1" applyAlignment="1">
      <alignment horizontal="left" vertical="center"/>
    </xf>
    <xf numFmtId="0" fontId="33" fillId="25" borderId="94" xfId="41" applyFont="1" applyFill="1" applyBorder="1" applyAlignment="1">
      <alignment vertical="center"/>
    </xf>
    <xf numFmtId="165" fontId="33" fillId="25" borderId="94" xfId="41" applyNumberFormat="1" applyFont="1" applyFill="1" applyBorder="1" applyAlignment="1" applyProtection="1">
      <alignment horizontal="center" vertical="center"/>
    </xf>
    <xf numFmtId="167" fontId="33" fillId="25" borderId="94" xfId="41" applyNumberFormat="1" applyFont="1" applyFill="1" applyBorder="1" applyAlignment="1">
      <alignment horizontal="left" vertical="center"/>
    </xf>
    <xf numFmtId="42" fontId="33" fillId="25" borderId="95" xfId="41" applyNumberFormat="1" applyFont="1" applyFill="1" applyBorder="1" applyAlignment="1">
      <alignment vertical="center"/>
    </xf>
    <xf numFmtId="0" fontId="29" fillId="29" borderId="87" xfId="64" applyFont="1" applyFill="1" applyBorder="1" applyAlignment="1">
      <alignment horizontal="center" vertical="center"/>
    </xf>
    <xf numFmtId="168" fontId="29" fillId="29" borderId="87" xfId="38" applyNumberFormat="1" applyFont="1" applyFill="1" applyBorder="1" applyAlignment="1">
      <alignment horizontal="right" vertical="center"/>
    </xf>
    <xf numFmtId="166" fontId="71" fillId="25" borderId="0" xfId="75" applyNumberFormat="1" applyFont="1" applyFill="1" applyBorder="1" applyAlignment="1">
      <alignment horizontal="left" vertical="center"/>
    </xf>
    <xf numFmtId="2" fontId="72" fillId="25" borderId="0" xfId="0" applyNumberFormat="1" applyFont="1" applyFill="1" applyAlignment="1">
      <alignment vertical="center" wrapText="1"/>
    </xf>
    <xf numFmtId="2" fontId="29" fillId="25" borderId="99" xfId="0" applyNumberFormat="1" applyFont="1" applyFill="1" applyBorder="1" applyAlignment="1">
      <alignment vertical="center"/>
    </xf>
    <xf numFmtId="9" fontId="29" fillId="0" borderId="82" xfId="62" applyFont="1" applyFill="1" applyBorder="1" applyAlignment="1">
      <alignment horizontal="right" vertical="center"/>
    </xf>
    <xf numFmtId="168" fontId="29" fillId="31" borderId="82" xfId="38" applyNumberFormat="1" applyFont="1" applyFill="1" applyBorder="1" applyAlignment="1">
      <alignment horizontal="right" vertical="center"/>
    </xf>
    <xf numFmtId="168" fontId="29" fillId="25" borderId="82" xfId="38" applyNumberFormat="1" applyFont="1" applyFill="1" applyBorder="1" applyAlignment="1">
      <alignment horizontal="right" vertical="center"/>
    </xf>
    <xf numFmtId="168" fontId="29" fillId="29" borderId="82" xfId="38" applyNumberFormat="1" applyFont="1" applyFill="1" applyBorder="1" applyAlignment="1">
      <alignment vertical="center"/>
    </xf>
    <xf numFmtId="168" fontId="29" fillId="25" borderId="82" xfId="38" applyNumberFormat="1" applyFont="1" applyFill="1" applyBorder="1" applyAlignment="1">
      <alignment vertical="center"/>
    </xf>
    <xf numFmtId="167" fontId="29" fillId="25" borderId="82" xfId="38" applyNumberFormat="1" applyFont="1" applyFill="1" applyBorder="1" applyAlignment="1" applyProtection="1">
      <alignment horizontal="left" vertical="center"/>
    </xf>
    <xf numFmtId="1" fontId="29" fillId="25" borderId="83" xfId="64" applyNumberFormat="1" applyFont="1" applyFill="1" applyBorder="1" applyAlignment="1">
      <alignment horizontal="center" vertical="center"/>
    </xf>
    <xf numFmtId="0" fontId="45" fillId="25" borderId="100" xfId="0" applyFont="1" applyFill="1" applyBorder="1" applyAlignment="1">
      <alignment vertical="center" wrapText="1"/>
    </xf>
    <xf numFmtId="0" fontId="41" fillId="25" borderId="66" xfId="77" applyFont="1" applyFill="1" applyBorder="1" applyAlignment="1">
      <alignment horizontal="center" vertical="center" wrapText="1"/>
    </xf>
    <xf numFmtId="0" fontId="65" fillId="0" borderId="20" xfId="0" applyFont="1" applyBorder="1" applyAlignment="1">
      <alignment vertical="center" wrapText="1"/>
    </xf>
    <xf numFmtId="0" fontId="65" fillId="0" borderId="20" xfId="0" applyFont="1" applyBorder="1" applyAlignment="1">
      <alignment wrapText="1"/>
    </xf>
    <xf numFmtId="0" fontId="29" fillId="25" borderId="79" xfId="94" applyFont="1" applyFill="1" applyAlignment="1">
      <alignment horizontal="justify" vertical="center" wrapText="1"/>
    </xf>
    <xf numFmtId="0" fontId="29" fillId="0" borderId="0" xfId="0" applyFont="1" applyAlignment="1">
      <alignment vertical="center" wrapText="1"/>
    </xf>
    <xf numFmtId="42" fontId="33" fillId="26" borderId="89" xfId="41" applyNumberFormat="1" applyFont="1" applyFill="1" applyBorder="1" applyAlignment="1">
      <alignment vertical="center"/>
    </xf>
    <xf numFmtId="170" fontId="29" fillId="25" borderId="79" xfId="63" applyNumberFormat="1" applyFont="1" applyFill="1" applyBorder="1" applyAlignment="1">
      <alignment horizontal="center" vertical="center"/>
    </xf>
    <xf numFmtId="170" fontId="30" fillId="25" borderId="79" xfId="63" applyNumberFormat="1" applyFont="1" applyFill="1" applyBorder="1" applyAlignment="1">
      <alignment horizontal="center" vertical="center"/>
    </xf>
    <xf numFmtId="170" fontId="29" fillId="25" borderId="82" xfId="63" applyNumberFormat="1" applyFont="1" applyFill="1" applyBorder="1" applyAlignment="1">
      <alignment horizontal="center" vertical="center"/>
    </xf>
    <xf numFmtId="170" fontId="29" fillId="25" borderId="87" xfId="63" applyNumberFormat="1" applyFont="1" applyFill="1" applyBorder="1" applyAlignment="1">
      <alignment horizontal="center" vertical="center"/>
    </xf>
    <xf numFmtId="170" fontId="34" fillId="33" borderId="22" xfId="63" applyNumberFormat="1" applyFont="1" applyFill="1" applyBorder="1" applyAlignment="1">
      <alignment horizontal="center" vertical="center"/>
    </xf>
    <xf numFmtId="170" fontId="29" fillId="0" borderId="79" xfId="63" applyNumberFormat="1" applyFont="1" applyFill="1" applyBorder="1" applyAlignment="1">
      <alignment horizontal="center" vertical="center"/>
    </xf>
    <xf numFmtId="170" fontId="0" fillId="0" borderId="0" xfId="63" applyNumberFormat="1" applyFont="1"/>
    <xf numFmtId="170" fontId="29" fillId="25" borderId="79" xfId="63" applyNumberFormat="1" applyFont="1" applyFill="1" applyBorder="1" applyAlignment="1">
      <alignment horizontal="right" vertical="center"/>
    </xf>
    <xf numFmtId="170" fontId="29" fillId="25" borderId="82" xfId="63" applyNumberFormat="1" applyFont="1" applyFill="1" applyBorder="1" applyAlignment="1">
      <alignment horizontal="right" vertical="center"/>
    </xf>
    <xf numFmtId="170" fontId="29" fillId="25" borderId="87" xfId="63" applyNumberFormat="1" applyFont="1" applyFill="1" applyBorder="1" applyAlignment="1">
      <alignment horizontal="right" vertical="center"/>
    </xf>
    <xf numFmtId="170" fontId="34" fillId="33" borderId="22" xfId="63" applyNumberFormat="1" applyFont="1" applyFill="1" applyBorder="1" applyAlignment="1">
      <alignment vertical="center"/>
    </xf>
    <xf numFmtId="0" fontId="77" fillId="25" borderId="79" xfId="64" applyFont="1" applyFill="1" applyBorder="1" applyAlignment="1">
      <alignment horizontal="justify" vertical="center" wrapText="1"/>
    </xf>
    <xf numFmtId="0" fontId="32" fillId="0" borderId="0" xfId="0" applyFont="1" applyAlignment="1">
      <alignment horizontal="center" vertical="center"/>
    </xf>
    <xf numFmtId="0" fontId="36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166" fontId="56" fillId="25" borderId="0" xfId="61" applyNumberFormat="1" applyFont="1" applyFill="1" applyAlignment="1">
      <alignment vertical="center" wrapText="1"/>
    </xf>
    <xf numFmtId="166" fontId="56" fillId="25" borderId="0" xfId="61" applyNumberFormat="1" applyFont="1" applyFill="1" applyAlignment="1">
      <alignment vertical="center"/>
    </xf>
    <xf numFmtId="9" fontId="60" fillId="31" borderId="0" xfId="62" applyFont="1" applyFill="1" applyBorder="1" applyAlignment="1">
      <alignment horizontal="center" vertical="center"/>
    </xf>
    <xf numFmtId="0" fontId="33" fillId="25" borderId="90" xfId="41" applyFont="1" applyFill="1" applyBorder="1" applyAlignment="1">
      <alignment vertical="center"/>
    </xf>
    <xf numFmtId="0" fontId="33" fillId="25" borderId="24" xfId="41" applyFont="1" applyFill="1" applyBorder="1" applyAlignment="1">
      <alignment vertical="center"/>
    </xf>
    <xf numFmtId="172" fontId="33" fillId="0" borderId="43" xfId="41" applyNumberFormat="1" applyFont="1" applyFill="1" applyBorder="1" applyAlignment="1">
      <alignment horizontal="center" vertical="center"/>
    </xf>
    <xf numFmtId="9" fontId="33" fillId="0" borderId="43" xfId="41" applyNumberFormat="1" applyFont="1" applyFill="1" applyBorder="1" applyAlignment="1">
      <alignment horizontal="center" vertical="center"/>
    </xf>
    <xf numFmtId="2" fontId="29" fillId="31" borderId="28" xfId="0" applyNumberFormat="1" applyFont="1" applyFill="1" applyBorder="1" applyAlignment="1">
      <alignment horizontal="center" vertical="center" wrapText="1"/>
    </xf>
    <xf numFmtId="0" fontId="66" fillId="31" borderId="98" xfId="0" applyFont="1" applyFill="1" applyBorder="1" applyAlignment="1">
      <alignment horizontal="right" vertical="center"/>
    </xf>
    <xf numFmtId="0" fontId="30" fillId="31" borderId="76" xfId="0" applyFont="1" applyFill="1" applyBorder="1" applyAlignment="1">
      <alignment horizontal="right" vertical="center"/>
    </xf>
    <xf numFmtId="166" fontId="30" fillId="31" borderId="76" xfId="61" applyNumberFormat="1" applyFont="1" applyFill="1" applyBorder="1" applyAlignment="1">
      <alignment horizontal="left" vertical="top" wrapText="1"/>
    </xf>
    <xf numFmtId="166" fontId="30" fillId="31" borderId="76" xfId="61" applyNumberFormat="1" applyFont="1" applyFill="1" applyBorder="1" applyAlignment="1">
      <alignment horizontal="center" vertical="center" wrapText="1"/>
    </xf>
    <xf numFmtId="166" fontId="30" fillId="31" borderId="36" xfId="61" applyNumberFormat="1" applyFont="1" applyFill="1" applyBorder="1" applyAlignment="1">
      <alignment horizontal="left" vertical="top" wrapText="1"/>
    </xf>
    <xf numFmtId="0" fontId="30" fillId="31" borderId="98" xfId="0" applyFont="1" applyFill="1" applyBorder="1" applyAlignment="1">
      <alignment horizontal="right" vertical="center"/>
    </xf>
    <xf numFmtId="166" fontId="30" fillId="31" borderId="68" xfId="61" applyNumberFormat="1" applyFont="1" applyFill="1" applyBorder="1" applyAlignment="1">
      <alignment horizontal="center" vertical="center" wrapText="1"/>
    </xf>
    <xf numFmtId="2" fontId="29" fillId="31" borderId="102" xfId="0" applyNumberFormat="1" applyFont="1" applyFill="1" applyBorder="1" applyAlignment="1">
      <alignment horizontal="center" vertical="center" wrapText="1"/>
    </xf>
    <xf numFmtId="166" fontId="30" fillId="31" borderId="68" xfId="61" applyNumberFormat="1" applyFont="1" applyFill="1" applyBorder="1" applyAlignment="1">
      <alignment horizontal="left" vertical="top" wrapText="1"/>
    </xf>
    <xf numFmtId="170" fontId="33" fillId="26" borderId="89" xfId="63" applyNumberFormat="1" applyFont="1" applyFill="1" applyBorder="1" applyAlignment="1">
      <alignment vertical="center"/>
    </xf>
    <xf numFmtId="1" fontId="29" fillId="0" borderId="81" xfId="70" applyNumberFormat="1" applyFont="1" applyFill="1" applyBorder="1" applyAlignment="1">
      <alignment horizontal="center" vertical="center"/>
    </xf>
    <xf numFmtId="170" fontId="29" fillId="0" borderId="79" xfId="63" applyNumberFormat="1" applyFont="1" applyFill="1" applyBorder="1" applyAlignment="1">
      <alignment horizontal="right" vertical="center"/>
    </xf>
    <xf numFmtId="1" fontId="29" fillId="0" borderId="81" xfId="71" applyNumberFormat="1" applyFont="1" applyFill="1" applyBorder="1" applyAlignment="1">
      <alignment horizontal="center" vertical="center"/>
    </xf>
    <xf numFmtId="0" fontId="30" fillId="0" borderId="79" xfId="71" applyFont="1" applyFill="1" applyBorder="1" applyAlignment="1">
      <alignment horizontal="justify" vertical="center"/>
    </xf>
    <xf numFmtId="166" fontId="30" fillId="32" borderId="15" xfId="78" applyNumberFormat="1" applyFont="1" applyFill="1" applyBorder="1" applyAlignment="1">
      <alignment horizontal="center" vertical="center" wrapText="1"/>
    </xf>
    <xf numFmtId="2" fontId="46" fillId="32" borderId="103" xfId="0" applyNumberFormat="1" applyFont="1" applyFill="1" applyBorder="1" applyAlignment="1">
      <alignment horizontal="center" vertical="center" wrapText="1"/>
    </xf>
    <xf numFmtId="166" fontId="29" fillId="0" borderId="48" xfId="78" applyNumberFormat="1" applyFont="1" applyBorder="1" applyAlignment="1">
      <alignment vertical="center" wrapText="1"/>
    </xf>
    <xf numFmtId="166" fontId="29" fillId="25" borderId="63" xfId="78" applyNumberFormat="1" applyFont="1" applyFill="1" applyBorder="1" applyAlignment="1">
      <alignment vertical="center"/>
    </xf>
    <xf numFmtId="166" fontId="29" fillId="31" borderId="25" xfId="78" applyNumberFormat="1" applyFont="1" applyFill="1" applyBorder="1" applyAlignment="1">
      <alignment vertical="center" wrapText="1"/>
    </xf>
    <xf numFmtId="2" fontId="29" fillId="31" borderId="97" xfId="0" applyNumberFormat="1" applyFont="1" applyFill="1" applyBorder="1" applyAlignment="1">
      <alignment vertical="center" wrapText="1"/>
    </xf>
    <xf numFmtId="166" fontId="29" fillId="31" borderId="27" xfId="78" applyNumberFormat="1" applyFont="1" applyFill="1" applyBorder="1" applyAlignment="1">
      <alignment vertical="center"/>
    </xf>
    <xf numFmtId="166" fontId="29" fillId="0" borderId="104" xfId="61" applyNumberFormat="1" applyFont="1" applyBorder="1" applyAlignment="1">
      <alignment vertical="center" wrapText="1"/>
    </xf>
    <xf numFmtId="166" fontId="29" fillId="25" borderId="105" xfId="78" applyNumberFormat="1" applyFont="1" applyFill="1" applyBorder="1" applyAlignment="1">
      <alignment vertical="center"/>
    </xf>
    <xf numFmtId="166" fontId="29" fillId="0" borderId="98" xfId="78" applyNumberFormat="1" applyFont="1" applyBorder="1" applyAlignment="1">
      <alignment vertical="center" wrapText="1"/>
    </xf>
    <xf numFmtId="166" fontId="29" fillId="0" borderId="106" xfId="78" applyNumberFormat="1" applyFont="1" applyBorder="1" applyAlignment="1">
      <alignment vertical="center" wrapText="1"/>
    </xf>
    <xf numFmtId="166" fontId="29" fillId="25" borderId="57" xfId="78" applyNumberFormat="1" applyFont="1" applyFill="1" applyBorder="1" applyAlignment="1">
      <alignment vertical="center"/>
    </xf>
    <xf numFmtId="0" fontId="29" fillId="25" borderId="96" xfId="38" applyFont="1" applyFill="1" applyBorder="1" applyAlignment="1">
      <alignment horizontal="center" vertical="center"/>
    </xf>
    <xf numFmtId="170" fontId="53" fillId="31" borderId="22" xfId="63" applyNumberFormat="1" applyFont="1" applyFill="1" applyBorder="1" applyAlignment="1">
      <alignment horizontal="center" vertical="center"/>
    </xf>
    <xf numFmtId="170" fontId="53" fillId="31" borderId="76" xfId="63" applyNumberFormat="1" applyFont="1" applyFill="1" applyBorder="1" applyAlignment="1">
      <alignment horizontal="center" vertical="center"/>
    </xf>
    <xf numFmtId="2" fontId="51" fillId="25" borderId="101" xfId="0" applyNumberFormat="1" applyFont="1" applyFill="1" applyBorder="1" applyAlignment="1">
      <alignment horizontal="center" vertical="center" wrapText="1"/>
    </xf>
    <xf numFmtId="166" fontId="29" fillId="25" borderId="107" xfId="78" applyNumberFormat="1" applyFont="1" applyFill="1" applyBorder="1" applyAlignment="1">
      <alignment vertical="center"/>
    </xf>
    <xf numFmtId="2" fontId="29" fillId="25" borderId="108" xfId="0" applyNumberFormat="1" applyFont="1" applyFill="1" applyBorder="1" applyAlignment="1">
      <alignment vertical="center"/>
    </xf>
    <xf numFmtId="0" fontId="30" fillId="25" borderId="79" xfId="38" applyFont="1" applyFill="1" applyBorder="1" applyAlignment="1">
      <alignment horizontal="justify" vertical="center"/>
    </xf>
    <xf numFmtId="170" fontId="29" fillId="25" borderId="79" xfId="48" applyNumberFormat="1" applyFont="1" applyFill="1" applyBorder="1" applyAlignment="1">
      <alignment horizontal="center" vertical="center"/>
    </xf>
    <xf numFmtId="1" fontId="29" fillId="25" borderId="80" xfId="93" applyNumberFormat="1" applyFont="1" applyFill="1" applyBorder="1" applyAlignment="1">
      <alignment horizontal="center" vertical="center"/>
    </xf>
    <xf numFmtId="1" fontId="29" fillId="25" borderId="81" xfId="93" applyNumberFormat="1" applyFont="1" applyFill="1" applyBorder="1" applyAlignment="1">
      <alignment horizontal="center" vertical="center"/>
    </xf>
    <xf numFmtId="0" fontId="30" fillId="28" borderId="79" xfId="93" applyFont="1" applyFill="1" applyAlignment="1">
      <alignment horizontal="justify" vertical="center"/>
    </xf>
    <xf numFmtId="9" fontId="29" fillId="25" borderId="79" xfId="93" applyNumberFormat="1" applyFont="1" applyFill="1" applyAlignment="1">
      <alignment horizontal="right" vertical="center"/>
    </xf>
    <xf numFmtId="170" fontId="29" fillId="25" borderId="79" xfId="48" applyNumberFormat="1" applyFont="1" applyFill="1" applyBorder="1" applyAlignment="1">
      <alignment horizontal="right" vertical="center"/>
    </xf>
    <xf numFmtId="0" fontId="29" fillId="25" borderId="79" xfId="93" applyFont="1" applyFill="1" applyAlignment="1">
      <alignment horizontal="center" vertical="center"/>
    </xf>
    <xf numFmtId="0" fontId="29" fillId="29" borderId="79" xfId="93" applyFont="1" applyFill="1" applyAlignment="1">
      <alignment horizontal="center" vertical="center"/>
    </xf>
    <xf numFmtId="164" fontId="29" fillId="0" borderId="79" xfId="93" applyNumberFormat="1" applyFont="1" applyFill="1" applyAlignment="1">
      <alignment horizontal="center" vertical="center"/>
    </xf>
    <xf numFmtId="168" fontId="29" fillId="31" borderId="79" xfId="93" applyNumberFormat="1" applyFont="1" applyFill="1" applyAlignment="1">
      <alignment horizontal="right" vertical="center"/>
    </xf>
    <xf numFmtId="168" fontId="29" fillId="0" borderId="79" xfId="93" applyNumberFormat="1" applyFont="1" applyFill="1" applyAlignment="1">
      <alignment horizontal="right" vertical="center"/>
    </xf>
    <xf numFmtId="168" fontId="29" fillId="29" borderId="79" xfId="93" applyNumberFormat="1" applyFont="1" applyFill="1" applyAlignment="1">
      <alignment vertical="center"/>
    </xf>
    <xf numFmtId="168" fontId="29" fillId="25" borderId="79" xfId="93" applyNumberFormat="1" applyFont="1" applyFill="1" applyAlignment="1">
      <alignment vertical="center"/>
    </xf>
    <xf numFmtId="167" fontId="29" fillId="25" borderId="79" xfId="93" applyNumberFormat="1" applyFont="1" applyFill="1" applyAlignment="1" applyProtection="1">
      <alignment horizontal="left" vertical="center"/>
    </xf>
    <xf numFmtId="0" fontId="29" fillId="25" borderId="79" xfId="93" applyFont="1" applyFill="1" applyAlignment="1">
      <alignment horizontal="justify" vertical="center" wrapText="1"/>
    </xf>
    <xf numFmtId="9" fontId="29" fillId="0" borderId="79" xfId="79" applyFont="1" applyFill="1" applyBorder="1" applyAlignment="1">
      <alignment horizontal="right" vertical="center"/>
    </xf>
    <xf numFmtId="171" fontId="29" fillId="29" borderId="79" xfId="93" applyNumberFormat="1" applyFont="1" applyFill="1" applyAlignment="1">
      <alignment horizontal="center" vertical="center"/>
    </xf>
    <xf numFmtId="164" fontId="29" fillId="25" borderId="79" xfId="93" applyNumberFormat="1" applyFont="1" applyFill="1" applyAlignment="1">
      <alignment horizontal="center" vertical="center"/>
    </xf>
    <xf numFmtId="168" fontId="29" fillId="25" borderId="79" xfId="93" applyNumberFormat="1" applyFont="1" applyFill="1" applyAlignment="1">
      <alignment horizontal="right" vertical="center"/>
    </xf>
    <xf numFmtId="168" fontId="29" fillId="0" borderId="79" xfId="93" applyNumberFormat="1" applyFont="1" applyFill="1" applyAlignment="1">
      <alignment vertical="center"/>
    </xf>
    <xf numFmtId="1" fontId="29" fillId="25" borderId="80" xfId="94" applyNumberFormat="1" applyFont="1" applyFill="1" applyBorder="1" applyAlignment="1">
      <alignment horizontal="center" vertical="center"/>
    </xf>
    <xf numFmtId="1" fontId="29" fillId="25" borderId="81" xfId="94" applyNumberFormat="1" applyFont="1" applyFill="1" applyBorder="1" applyAlignment="1">
      <alignment horizontal="center" vertical="center"/>
    </xf>
    <xf numFmtId="0" fontId="54" fillId="25" borderId="79" xfId="94" applyFont="1" applyFill="1" applyAlignment="1">
      <alignment horizontal="right" vertical="center"/>
    </xf>
    <xf numFmtId="0" fontId="30" fillId="28" borderId="79" xfId="94" applyFont="1" applyFill="1" applyAlignment="1">
      <alignment horizontal="justify" vertical="center"/>
    </xf>
    <xf numFmtId="170" fontId="29" fillId="0" borderId="79" xfId="48" applyNumberFormat="1" applyFont="1" applyFill="1" applyBorder="1" applyAlignment="1">
      <alignment horizontal="center" vertical="center"/>
    </xf>
    <xf numFmtId="0" fontId="43" fillId="27" borderId="79" xfId="93" applyFont="1" applyFill="1" applyAlignment="1">
      <alignment horizontal="center" vertical="center"/>
    </xf>
    <xf numFmtId="170" fontId="42" fillId="0" borderId="0" xfId="48" applyNumberFormat="1" applyFont="1"/>
    <xf numFmtId="0" fontId="50" fillId="25" borderId="79" xfId="93" applyFont="1" applyFill="1" applyAlignment="1">
      <alignment horizontal="justify" vertical="center" wrapText="1"/>
    </xf>
    <xf numFmtId="1" fontId="29" fillId="25" borderId="81" xfId="93" applyNumberFormat="1" applyFont="1" applyFill="1" applyBorder="1" applyAlignment="1">
      <alignment horizontal="center" vertical="center" wrapText="1"/>
    </xf>
    <xf numFmtId="0" fontId="42" fillId="0" borderId="0" xfId="0" applyFont="1" applyAlignment="1">
      <alignment horizontal="left" vertical="center" wrapText="1"/>
    </xf>
    <xf numFmtId="0" fontId="30" fillId="25" borderId="79" xfId="93" applyFont="1" applyFill="1" applyAlignment="1">
      <alignment horizontal="justify" vertical="center" wrapText="1"/>
    </xf>
    <xf numFmtId="0" fontId="50" fillId="0" borderId="0" xfId="0" applyFont="1" applyAlignment="1">
      <alignment vertical="center" wrapText="1"/>
    </xf>
    <xf numFmtId="171" fontId="29" fillId="29" borderId="79" xfId="94" applyNumberFormat="1" applyFont="1" applyFill="1" applyAlignment="1">
      <alignment horizontal="center" vertical="center"/>
    </xf>
    <xf numFmtId="0" fontId="29" fillId="29" borderId="79" xfId="94" applyFont="1" applyFill="1" applyAlignment="1">
      <alignment horizontal="center" vertical="center"/>
    </xf>
    <xf numFmtId="0" fontId="29" fillId="29" borderId="87" xfId="94" applyFont="1" applyFill="1" applyBorder="1" applyAlignment="1">
      <alignment horizontal="center" vertical="center"/>
    </xf>
    <xf numFmtId="168" fontId="29" fillId="29" borderId="87" xfId="93" applyNumberFormat="1" applyFont="1" applyFill="1" applyBorder="1" applyAlignment="1">
      <alignment horizontal="right" vertical="center"/>
    </xf>
    <xf numFmtId="168" fontId="29" fillId="29" borderId="79" xfId="94" applyNumberFormat="1" applyFont="1" applyFill="1" applyAlignment="1">
      <alignment horizontal="right" vertical="center"/>
    </xf>
    <xf numFmtId="43" fontId="29" fillId="25" borderId="79" xfId="63" applyFont="1" applyFill="1" applyBorder="1" applyAlignment="1">
      <alignment horizontal="center" vertical="center"/>
    </xf>
    <xf numFmtId="1" fontId="29" fillId="25" borderId="86" xfId="38" applyNumberFormat="1" applyFont="1" applyFill="1" applyBorder="1" applyAlignment="1">
      <alignment horizontal="center" vertical="center" wrapText="1"/>
    </xf>
    <xf numFmtId="0" fontId="34" fillId="33" borderId="74" xfId="39" applyFont="1" applyFill="1" applyBorder="1" applyAlignment="1">
      <alignment horizontal="center" vertical="center" wrapText="1"/>
    </xf>
    <xf numFmtId="1" fontId="29" fillId="0" borderId="81" xfId="38" applyNumberFormat="1" applyFont="1" applyFill="1" applyBorder="1" applyAlignment="1">
      <alignment horizontal="center" vertical="center" wrapText="1"/>
    </xf>
    <xf numFmtId="1" fontId="29" fillId="25" borderId="84" xfId="38" applyNumberFormat="1" applyFont="1" applyFill="1" applyBorder="1" applyAlignment="1">
      <alignment horizontal="center" vertical="center" wrapText="1"/>
    </xf>
    <xf numFmtId="44" fontId="29" fillId="29" borderId="79" xfId="93" applyNumberFormat="1" applyFont="1" applyFill="1" applyAlignment="1">
      <alignment vertical="center"/>
    </xf>
    <xf numFmtId="166" fontId="53" fillId="25" borderId="73" xfId="61" applyNumberFormat="1" applyFont="1" applyFill="1" applyBorder="1" applyAlignment="1">
      <alignment horizontal="justify" vertical="center" wrapText="1"/>
    </xf>
    <xf numFmtId="166" fontId="29" fillId="25" borderId="109" xfId="78" applyNumberFormat="1" applyFont="1" applyFill="1" applyBorder="1" applyAlignment="1">
      <alignment vertical="center"/>
    </xf>
    <xf numFmtId="2" fontId="29" fillId="25" borderId="110" xfId="0" applyNumberFormat="1" applyFont="1" applyFill="1" applyBorder="1" applyAlignment="1">
      <alignment vertical="center"/>
    </xf>
    <xf numFmtId="166" fontId="29" fillId="25" borderId="44" xfId="78" applyNumberFormat="1" applyFont="1" applyFill="1" applyBorder="1" applyAlignment="1">
      <alignment vertical="center"/>
    </xf>
    <xf numFmtId="2" fontId="29" fillId="25" borderId="22" xfId="0" applyNumberFormat="1" applyFont="1" applyFill="1" applyBorder="1" applyAlignment="1">
      <alignment vertical="center"/>
    </xf>
    <xf numFmtId="0" fontId="41" fillId="25" borderId="64" xfId="77" applyFont="1" applyFill="1" applyBorder="1" applyAlignment="1">
      <alignment horizontal="center" vertical="center" wrapText="1"/>
    </xf>
    <xf numFmtId="0" fontId="41" fillId="25" borderId="65" xfId="77" applyFont="1" applyFill="1" applyBorder="1" applyAlignment="1">
      <alignment horizontal="center" vertical="center" wrapText="1"/>
    </xf>
    <xf numFmtId="0" fontId="74" fillId="25" borderId="71" xfId="92" applyFont="1" applyFill="1" applyBorder="1" applyAlignment="1">
      <alignment horizontal="center" vertical="center" wrapText="1"/>
    </xf>
    <xf numFmtId="0" fontId="74" fillId="25" borderId="72" xfId="92" applyFont="1" applyFill="1" applyBorder="1" applyAlignment="1">
      <alignment horizontal="center" vertical="center" wrapText="1"/>
    </xf>
    <xf numFmtId="0" fontId="68" fillId="32" borderId="15" xfId="0" applyFont="1" applyFill="1" applyBorder="1" applyAlignment="1">
      <alignment horizontal="center" vertical="center"/>
    </xf>
    <xf numFmtId="0" fontId="68" fillId="32" borderId="16" xfId="0" applyFont="1" applyFill="1" applyBorder="1" applyAlignment="1">
      <alignment horizontal="center" vertical="center"/>
    </xf>
    <xf numFmtId="0" fontId="68" fillId="32" borderId="17" xfId="0" applyFont="1" applyFill="1" applyBorder="1" applyAlignment="1">
      <alignment horizontal="center" vertical="center"/>
    </xf>
    <xf numFmtId="0" fontId="68" fillId="32" borderId="29" xfId="0" applyFont="1" applyFill="1" applyBorder="1" applyAlignment="1">
      <alignment horizontal="center" vertical="center"/>
    </xf>
    <xf numFmtId="0" fontId="68" fillId="32" borderId="31" xfId="0" applyFont="1" applyFill="1" applyBorder="1" applyAlignment="1">
      <alignment horizontal="center" vertical="center"/>
    </xf>
    <xf numFmtId="0" fontId="68" fillId="32" borderId="30" xfId="0" applyFont="1" applyFill="1" applyBorder="1" applyAlignment="1">
      <alignment horizontal="center" vertical="center"/>
    </xf>
    <xf numFmtId="2" fontId="48" fillId="25" borderId="0" xfId="0" applyNumberFormat="1" applyFont="1" applyFill="1" applyAlignment="1">
      <alignment horizontal="center" vertical="center" wrapText="1"/>
    </xf>
    <xf numFmtId="2" fontId="48" fillId="25" borderId="31" xfId="0" applyNumberFormat="1" applyFont="1" applyFill="1" applyBorder="1" applyAlignment="1">
      <alignment horizontal="center" vertical="center" wrapText="1"/>
    </xf>
    <xf numFmtId="2" fontId="41" fillId="32" borderId="15" xfId="0" applyNumberFormat="1" applyFont="1" applyFill="1" applyBorder="1" applyAlignment="1">
      <alignment horizontal="center" vertical="center" wrapText="1"/>
    </xf>
    <xf numFmtId="2" fontId="41" fillId="32" borderId="16" xfId="0" applyNumberFormat="1" applyFont="1" applyFill="1" applyBorder="1" applyAlignment="1">
      <alignment horizontal="center" vertical="center" wrapText="1"/>
    </xf>
    <xf numFmtId="2" fontId="41" fillId="32" borderId="17" xfId="0" applyNumberFormat="1" applyFont="1" applyFill="1" applyBorder="1" applyAlignment="1">
      <alignment horizontal="center" vertical="center" wrapText="1"/>
    </xf>
    <xf numFmtId="2" fontId="41" fillId="32" borderId="29" xfId="0" applyNumberFormat="1" applyFont="1" applyFill="1" applyBorder="1" applyAlignment="1">
      <alignment horizontal="center" vertical="center" wrapText="1"/>
    </xf>
    <xf numFmtId="2" fontId="41" fillId="32" borderId="31" xfId="0" applyNumberFormat="1" applyFont="1" applyFill="1" applyBorder="1" applyAlignment="1">
      <alignment horizontal="center" vertical="center" wrapText="1"/>
    </xf>
    <xf numFmtId="2" fontId="41" fillId="32" borderId="30" xfId="0" applyNumberFormat="1" applyFont="1" applyFill="1" applyBorder="1" applyAlignment="1">
      <alignment horizontal="center" vertical="center" wrapText="1"/>
    </xf>
    <xf numFmtId="0" fontId="74" fillId="25" borderId="0" xfId="92" applyFont="1" applyFill="1" applyBorder="1" applyAlignment="1">
      <alignment horizontal="center" vertical="center"/>
    </xf>
    <xf numFmtId="0" fontId="51" fillId="26" borderId="25" xfId="0" applyFont="1" applyFill="1" applyBorder="1" applyAlignment="1">
      <alignment horizontal="center" vertical="center"/>
    </xf>
    <xf numFmtId="0" fontId="51" fillId="26" borderId="26" xfId="0" applyFont="1" applyFill="1" applyBorder="1" applyAlignment="1">
      <alignment horizontal="center" vertical="center"/>
    </xf>
    <xf numFmtId="0" fontId="51" fillId="26" borderId="27" xfId="0" applyFont="1" applyFill="1" applyBorder="1" applyAlignment="1">
      <alignment horizontal="center" vertical="center"/>
    </xf>
    <xf numFmtId="2" fontId="51" fillId="25" borderId="23" xfId="0" applyNumberFormat="1" applyFont="1" applyFill="1" applyBorder="1" applyAlignment="1">
      <alignment horizontal="left" vertical="center" wrapText="1" indent="2"/>
    </xf>
    <xf numFmtId="2" fontId="51" fillId="25" borderId="22" xfId="0" applyNumberFormat="1" applyFont="1" applyFill="1" applyBorder="1" applyAlignment="1">
      <alignment horizontal="left" vertical="center" wrapText="1" indent="2"/>
    </xf>
    <xf numFmtId="0" fontId="69" fillId="32" borderId="15" xfId="0" applyFont="1" applyFill="1" applyBorder="1" applyAlignment="1">
      <alignment horizontal="center" vertical="center"/>
    </xf>
    <xf numFmtId="0" fontId="69" fillId="32" borderId="16" xfId="0" applyFont="1" applyFill="1" applyBorder="1" applyAlignment="1">
      <alignment horizontal="center" vertical="center"/>
    </xf>
    <xf numFmtId="0" fontId="69" fillId="32" borderId="17" xfId="0" applyFont="1" applyFill="1" applyBorder="1" applyAlignment="1">
      <alignment horizontal="center" vertical="center"/>
    </xf>
    <xf numFmtId="0" fontId="69" fillId="32" borderId="29" xfId="0" applyFont="1" applyFill="1" applyBorder="1" applyAlignment="1">
      <alignment horizontal="center" vertical="center"/>
    </xf>
    <xf numFmtId="0" fontId="69" fillId="32" borderId="31" xfId="0" applyFont="1" applyFill="1" applyBorder="1" applyAlignment="1">
      <alignment horizontal="center" vertical="center"/>
    </xf>
    <xf numFmtId="0" fontId="69" fillId="32" borderId="30" xfId="0" applyFont="1" applyFill="1" applyBorder="1" applyAlignment="1">
      <alignment horizontal="center" vertical="center"/>
    </xf>
    <xf numFmtId="0" fontId="33" fillId="25" borderId="88" xfId="41" applyFont="1" applyFill="1" applyBorder="1" applyAlignment="1">
      <alignment horizontal="left" vertical="center"/>
    </xf>
    <xf numFmtId="0" fontId="33" fillId="25" borderId="32" xfId="41" applyFont="1" applyFill="1" applyBorder="1" applyAlignment="1">
      <alignment horizontal="left" vertical="center"/>
    </xf>
    <xf numFmtId="0" fontId="33" fillId="25" borderId="90" xfId="41" applyFont="1" applyFill="1" applyBorder="1" applyAlignment="1">
      <alignment horizontal="left" vertical="center"/>
    </xf>
    <xf numFmtId="0" fontId="33" fillId="25" borderId="24" xfId="41" applyFont="1" applyFill="1" applyBorder="1" applyAlignment="1">
      <alignment horizontal="left" vertical="center"/>
    </xf>
    <xf numFmtId="0" fontId="33" fillId="25" borderId="92" xfId="41" applyFont="1" applyFill="1" applyBorder="1" applyAlignment="1">
      <alignment horizontal="left" vertical="center"/>
    </xf>
    <xf numFmtId="0" fontId="33" fillId="25" borderId="93" xfId="41" applyFont="1" applyFill="1" applyBorder="1" applyAlignment="1">
      <alignment horizontal="left" vertical="center"/>
    </xf>
    <xf numFmtId="14" fontId="38" fillId="25" borderId="26" xfId="0" applyNumberFormat="1" applyFont="1" applyFill="1" applyBorder="1" applyAlignment="1">
      <alignment horizontal="center" vertical="center"/>
    </xf>
    <xf numFmtId="0" fontId="75" fillId="25" borderId="26" xfId="92" applyFont="1" applyFill="1" applyBorder="1" applyAlignment="1">
      <alignment horizontal="center"/>
    </xf>
    <xf numFmtId="2" fontId="39" fillId="31" borderId="18" xfId="0" applyNumberFormat="1" applyFont="1" applyFill="1" applyBorder="1" applyAlignment="1">
      <alignment horizontal="left" vertical="top" wrapText="1"/>
    </xf>
    <xf numFmtId="2" fontId="39" fillId="31" borderId="0" xfId="0" applyNumberFormat="1" applyFont="1" applyFill="1" applyAlignment="1">
      <alignment horizontal="left" vertical="top" wrapText="1"/>
    </xf>
    <xf numFmtId="2" fontId="39" fillId="31" borderId="19" xfId="0" applyNumberFormat="1" applyFont="1" applyFill="1" applyBorder="1" applyAlignment="1">
      <alignment horizontal="left" vertical="top" wrapText="1"/>
    </xf>
    <xf numFmtId="2" fontId="39" fillId="31" borderId="29" xfId="0" applyNumberFormat="1" applyFont="1" applyFill="1" applyBorder="1" applyAlignment="1">
      <alignment horizontal="left" vertical="top" wrapText="1"/>
    </xf>
    <xf numFmtId="2" fontId="39" fillId="31" borderId="31" xfId="0" applyNumberFormat="1" applyFont="1" applyFill="1" applyBorder="1" applyAlignment="1">
      <alignment horizontal="left" vertical="top" wrapText="1"/>
    </xf>
    <xf numFmtId="2" fontId="39" fillId="31" borderId="30" xfId="0" applyNumberFormat="1" applyFont="1" applyFill="1" applyBorder="1" applyAlignment="1">
      <alignment horizontal="left" vertical="top" wrapText="1"/>
    </xf>
    <xf numFmtId="0" fontId="49" fillId="30" borderId="25" xfId="0" applyFont="1" applyFill="1" applyBorder="1" applyAlignment="1">
      <alignment horizontal="center" vertical="center"/>
    </xf>
    <xf numFmtId="0" fontId="49" fillId="30" borderId="26" xfId="0" applyFont="1" applyFill="1" applyBorder="1" applyAlignment="1">
      <alignment horizontal="center" vertical="center"/>
    </xf>
    <xf numFmtId="0" fontId="49" fillId="30" borderId="27" xfId="0" applyFont="1" applyFill="1" applyBorder="1" applyAlignment="1">
      <alignment horizontal="center" vertical="center"/>
    </xf>
    <xf numFmtId="0" fontId="76" fillId="25" borderId="25" xfId="92" applyFont="1" applyFill="1" applyBorder="1" applyAlignment="1">
      <alignment horizontal="center"/>
    </xf>
    <xf numFmtId="0" fontId="76" fillId="25" borderId="26" xfId="92" applyFont="1" applyFill="1" applyBorder="1" applyAlignment="1">
      <alignment horizontal="center"/>
    </xf>
    <xf numFmtId="0" fontId="76" fillId="25" borderId="27" xfId="92" applyFont="1" applyFill="1" applyBorder="1" applyAlignment="1">
      <alignment horizontal="center"/>
    </xf>
    <xf numFmtId="2" fontId="70" fillId="34" borderId="67" xfId="0" applyNumberFormat="1" applyFont="1" applyFill="1" applyBorder="1" applyAlignment="1">
      <alignment horizontal="center" vertical="center"/>
    </xf>
    <xf numFmtId="2" fontId="70" fillId="34" borderId="68" xfId="0" applyNumberFormat="1" applyFont="1" applyFill="1" applyBorder="1" applyAlignment="1">
      <alignment horizontal="center" vertical="center"/>
    </xf>
    <xf numFmtId="2" fontId="70" fillId="34" borderId="69" xfId="0" applyNumberFormat="1" applyFont="1" applyFill="1" applyBorder="1" applyAlignment="1">
      <alignment horizontal="center" vertical="center"/>
    </xf>
    <xf numFmtId="0" fontId="35" fillId="34" borderId="54" xfId="34" applyFont="1" applyFill="1" applyBorder="1" applyAlignment="1" applyProtection="1">
      <alignment horizontal="center" vertical="center" wrapText="1"/>
    </xf>
    <xf numFmtId="0" fontId="35" fillId="34" borderId="55" xfId="34" applyFont="1" applyFill="1" applyBorder="1" applyAlignment="1" applyProtection="1">
      <alignment horizontal="center" vertical="center" wrapText="1"/>
    </xf>
    <xf numFmtId="2" fontId="35" fillId="34" borderId="55" xfId="34" applyNumberFormat="1" applyFont="1" applyFill="1" applyBorder="1" applyAlignment="1" applyProtection="1">
      <alignment horizontal="center" vertical="center" wrapText="1"/>
    </xf>
    <xf numFmtId="0" fontId="35" fillId="34" borderId="56" xfId="34" applyFont="1" applyFill="1" applyBorder="1" applyAlignment="1" applyProtection="1">
      <alignment horizontal="center" vertical="center" wrapText="1"/>
    </xf>
    <xf numFmtId="2" fontId="47" fillId="34" borderId="25" xfId="0" applyNumberFormat="1" applyFont="1" applyFill="1" applyBorder="1" applyAlignment="1">
      <alignment horizontal="center"/>
    </xf>
    <xf numFmtId="2" fontId="47" fillId="34" borderId="26" xfId="0" applyNumberFormat="1" applyFont="1" applyFill="1" applyBorder="1" applyAlignment="1">
      <alignment horizontal="center"/>
    </xf>
    <xf numFmtId="2" fontId="47" fillId="34" borderId="27" xfId="0" applyNumberFormat="1" applyFont="1" applyFill="1" applyBorder="1" applyAlignment="1">
      <alignment horizontal="center"/>
    </xf>
    <xf numFmtId="2" fontId="35" fillId="34" borderId="56" xfId="34" applyNumberFormat="1" applyFont="1" applyFill="1" applyBorder="1" applyAlignment="1" applyProtection="1">
      <alignment horizontal="center" vertical="center" wrapText="1"/>
    </xf>
    <xf numFmtId="0" fontId="34" fillId="35" borderId="77" xfId="39" applyFont="1" applyFill="1" applyBorder="1" applyAlignment="1">
      <alignment horizontal="center" vertical="center"/>
    </xf>
    <xf numFmtId="0" fontId="34" fillId="35" borderId="74" xfId="39" applyFont="1" applyFill="1" applyBorder="1" applyAlignment="1">
      <alignment horizontal="center" vertical="center"/>
    </xf>
    <xf numFmtId="0" fontId="34" fillId="35" borderId="75" xfId="39" applyFont="1" applyFill="1" applyBorder="1" applyAlignment="1">
      <alignment vertical="center"/>
    </xf>
    <xf numFmtId="0" fontId="34" fillId="35" borderId="22" xfId="39" applyFont="1" applyFill="1" applyBorder="1" applyAlignment="1">
      <alignment horizontal="center" vertical="center"/>
    </xf>
    <xf numFmtId="0" fontId="34" fillId="35" borderId="22" xfId="39" applyFont="1" applyFill="1" applyBorder="1" applyAlignment="1">
      <alignment vertical="center"/>
    </xf>
    <xf numFmtId="42" fontId="34" fillId="35" borderId="45" xfId="39" applyNumberFormat="1" applyFont="1" applyFill="1" applyBorder="1" applyAlignment="1">
      <alignment vertical="center"/>
    </xf>
    <xf numFmtId="0" fontId="34" fillId="35" borderId="74" xfId="39" applyFont="1" applyFill="1" applyBorder="1" applyAlignment="1">
      <alignment horizontal="center" vertical="center" wrapText="1"/>
    </xf>
    <xf numFmtId="170" fontId="34" fillId="35" borderId="22" xfId="63" applyNumberFormat="1" applyFont="1" applyFill="1" applyBorder="1" applyAlignment="1">
      <alignment horizontal="center" vertical="center"/>
    </xf>
    <xf numFmtId="170" fontId="34" fillId="35" borderId="22" xfId="63" applyNumberFormat="1" applyFont="1" applyFill="1" applyBorder="1" applyAlignment="1">
      <alignment vertical="center"/>
    </xf>
    <xf numFmtId="0" fontId="34" fillId="35" borderId="22" xfId="89" applyFont="1" applyFill="1" applyBorder="1" applyAlignment="1">
      <alignment vertical="center"/>
    </xf>
  </cellXfs>
  <cellStyles count="9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63" builtinId="3"/>
    <cellStyle name="Comma 2" xfId="46"/>
    <cellStyle name="Comma 2 2" xfId="48"/>
    <cellStyle name="Currency" xfId="61" builtinId="4"/>
    <cellStyle name="Currency 2" xfId="50"/>
    <cellStyle name="Currency 3" xfId="75"/>
    <cellStyle name="Currency 4" xfId="78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92" builtinId="8"/>
    <cellStyle name="Input" xfId="34" builtinId="20" customBuiltin="1"/>
    <cellStyle name="Input 2" xfId="84"/>
    <cellStyle name="Input 3" xfId="91"/>
    <cellStyle name="Linked Cell" xfId="35" builtinId="24" customBuiltin="1"/>
    <cellStyle name="Neutral" xfId="36" builtinId="28" customBuiltin="1"/>
    <cellStyle name="Normal" xfId="0" builtinId="0"/>
    <cellStyle name="Normal 10" xfId="69"/>
    <cellStyle name="Normal 11" xfId="96"/>
    <cellStyle name="Normal 2" xfId="44"/>
    <cellStyle name="Normal 2 2" xfId="47"/>
    <cellStyle name="Normal 2 3" xfId="45"/>
    <cellStyle name="Normal 2 3 2" xfId="52"/>
    <cellStyle name="Normal 3" xfId="37"/>
    <cellStyle name="Normal 4" xfId="43"/>
    <cellStyle name="Normal 4 2" xfId="53"/>
    <cellStyle name="Normal 4 2 2" xfId="58"/>
    <cellStyle name="Normal 4 3" xfId="51"/>
    <cellStyle name="Normal 4 3 2" xfId="57"/>
    <cellStyle name="Normal 4 4" xfId="56"/>
    <cellStyle name="Normal 5" xfId="49"/>
    <cellStyle name="Normal 6" xfId="55"/>
    <cellStyle name="Normal 7" xfId="54"/>
    <cellStyle name="Normal 7 2" xfId="59"/>
    <cellStyle name="Normal 8" xfId="60"/>
    <cellStyle name="Normal 9" xfId="65"/>
    <cellStyle name="Note" xfId="38" builtinId="10" customBuiltin="1"/>
    <cellStyle name="Note 10 2" xfId="71"/>
    <cellStyle name="Note 10 2 10 2 2 4 2 2 2 2 2 2 2 2 2 2" xfId="93"/>
    <cellStyle name="Note 10 2 10 2 2 4 2 2 2 2 2 2 2 2 2 2 2 2 2 2 2 3 2" xfId="95"/>
    <cellStyle name="Note 10 2 11 3 3" xfId="90"/>
    <cellStyle name="Note 10 2 2" xfId="82"/>
    <cellStyle name="Note 17 2" xfId="72"/>
    <cellStyle name="Note 2" xfId="64"/>
    <cellStyle name="Note 2 134" xfId="94"/>
    <cellStyle name="Note 2 2" xfId="81"/>
    <cellStyle name="Note 2 24" xfId="70"/>
    <cellStyle name="Note 2 3" xfId="88"/>
    <cellStyle name="Note 2 6 2 2" xfId="74"/>
    <cellStyle name="Note 24" xfId="68"/>
    <cellStyle name="Note 25" xfId="67"/>
    <cellStyle name="Note 28 2" xfId="66"/>
    <cellStyle name="Note 3" xfId="80"/>
    <cellStyle name="Note 33" xfId="73"/>
    <cellStyle name="Note 4" xfId="87"/>
    <cellStyle name="Output" xfId="39" builtinId="21" customBuiltin="1"/>
    <cellStyle name="Output 2" xfId="77"/>
    <cellStyle name="Output 2 2" xfId="85"/>
    <cellStyle name="Output 2 2 2" xfId="89"/>
    <cellStyle name="Output 3" xfId="83"/>
    <cellStyle name="Percent" xfId="62" builtinId="5"/>
    <cellStyle name="Percent 2" xfId="76"/>
    <cellStyle name="Percent 3" xfId="79"/>
    <cellStyle name="Title" xfId="40" builtinId="15" customBuiltin="1"/>
    <cellStyle name="Total" xfId="41" builtinId="25" customBuiltin="1"/>
    <cellStyle name="Total 2" xfId="86"/>
    <cellStyle name="Warning Text" xfId="42" builtinId="11" customBuiltin="1"/>
  </cellStyles>
  <dxfs count="2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0000FF"/>
      <color rgb="FFFFFFD1"/>
      <color rgb="FFFFFF99"/>
      <color rgb="FFFFFFB9"/>
      <color rgb="FFE1EBF7"/>
      <color rgb="FFD7E5F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3" tint="0.39997558519241921"/>
  </sheetPr>
  <dimension ref="A1:T87"/>
  <sheetViews>
    <sheetView topLeftCell="A46" zoomScale="70" zoomScaleNormal="70" workbookViewId="0">
      <selection activeCell="G13" sqref="G13"/>
    </sheetView>
  </sheetViews>
  <sheetFormatPr defaultColWidth="8.88671875" defaultRowHeight="15.75" x14ac:dyDescent="0.2"/>
  <cols>
    <col min="1" max="1" width="7.33203125" style="1" customWidth="1"/>
    <col min="2" max="2" width="13.77734375" style="6" customWidth="1"/>
    <col min="3" max="3" width="35.21875" style="6" customWidth="1"/>
    <col min="4" max="4" width="16.33203125" style="2" customWidth="1"/>
    <col min="5" max="5" width="13.6640625" style="7" customWidth="1"/>
    <col min="6" max="6" width="15.33203125" style="7" customWidth="1"/>
    <col min="7" max="7" width="18.109375" style="7" customWidth="1"/>
    <col min="8" max="8" width="7.44140625" style="6" customWidth="1"/>
    <col min="9" max="9" width="3.109375" style="6" customWidth="1"/>
    <col min="10" max="10" width="19.33203125" style="8" customWidth="1"/>
    <col min="11" max="11" width="19.44140625" style="8" customWidth="1"/>
    <col min="12" max="12" width="15.6640625" style="8" customWidth="1"/>
    <col min="13" max="13" width="17.109375" style="8" customWidth="1"/>
    <col min="14" max="14" width="14.6640625" style="8" customWidth="1"/>
    <col min="15" max="16" width="13" style="8" customWidth="1"/>
    <col min="17" max="17" width="5.109375" style="8" customWidth="1"/>
    <col min="18" max="18" width="16.6640625" style="8" customWidth="1"/>
    <col min="19" max="19" width="12" style="29" customWidth="1"/>
    <col min="20" max="20" width="8.88671875" style="1"/>
    <col min="21" max="21" width="10.33203125" style="1" bestFit="1" customWidth="1"/>
    <col min="22" max="16384" width="8.88671875" style="1"/>
  </cols>
  <sheetData>
    <row r="1" spans="1:20" ht="9.75" customHeight="1" thickBot="1" x14ac:dyDescent="0.25">
      <c r="A1" s="162"/>
      <c r="B1" s="163"/>
      <c r="C1" s="163"/>
      <c r="D1" s="164"/>
      <c r="E1" s="165"/>
      <c r="F1" s="165"/>
      <c r="G1" s="165"/>
      <c r="H1" s="163"/>
      <c r="I1" s="163"/>
      <c r="J1" s="166"/>
      <c r="K1" s="166"/>
      <c r="L1" s="166"/>
      <c r="M1" s="166"/>
      <c r="N1" s="166"/>
      <c r="O1" s="166"/>
      <c r="P1" s="166"/>
      <c r="Q1" s="167"/>
      <c r="R1" s="1"/>
      <c r="S1" s="1"/>
    </row>
    <row r="2" spans="1:20" s="3" customFormat="1" ht="48.75" customHeight="1" thickTop="1" thickBot="1" x14ac:dyDescent="0.2">
      <c r="A2" s="464" t="s">
        <v>229</v>
      </c>
      <c r="B2" s="465"/>
      <c r="C2" s="465"/>
      <c r="D2" s="465"/>
      <c r="E2" s="465"/>
      <c r="F2" s="465"/>
      <c r="G2" s="465"/>
      <c r="H2" s="465"/>
      <c r="I2" s="465"/>
      <c r="J2" s="465"/>
      <c r="K2" s="465"/>
      <c r="L2" s="465"/>
      <c r="M2" s="465"/>
      <c r="N2" s="465"/>
      <c r="O2" s="465"/>
      <c r="P2" s="465"/>
      <c r="Q2" s="466"/>
      <c r="R2" s="1"/>
      <c r="S2" s="1"/>
      <c r="T2" s="1"/>
    </row>
    <row r="3" spans="1:20" ht="16.5" thickTop="1" x14ac:dyDescent="0.2">
      <c r="A3" s="118"/>
      <c r="B3" s="17"/>
      <c r="C3" s="17"/>
      <c r="D3" s="18"/>
      <c r="E3" s="16"/>
      <c r="F3" s="16"/>
      <c r="G3" s="16"/>
      <c r="H3" s="17"/>
      <c r="I3" s="17"/>
      <c r="J3" s="119"/>
      <c r="K3" s="119"/>
      <c r="L3" s="119"/>
      <c r="M3" s="119"/>
      <c r="N3" s="119"/>
      <c r="O3" s="119"/>
      <c r="P3" s="119"/>
      <c r="Q3" s="120"/>
      <c r="R3" s="1"/>
      <c r="S3" s="1"/>
    </row>
    <row r="4" spans="1:20" ht="20.25" x14ac:dyDescent="0.3">
      <c r="A4" s="118"/>
      <c r="B4" s="17"/>
      <c r="C4" s="15" t="s">
        <v>7</v>
      </c>
      <c r="D4" s="121">
        <f>'BASE BID'!K4</f>
        <v>44841</v>
      </c>
      <c r="E4" s="16"/>
      <c r="F4" s="16"/>
      <c r="G4" s="16"/>
      <c r="H4" s="17"/>
      <c r="I4" s="17"/>
      <c r="J4" s="15" t="s">
        <v>234</v>
      </c>
      <c r="K4" s="122">
        <f>'BASE BID'!K7</f>
        <v>0</v>
      </c>
      <c r="L4" s="110"/>
      <c r="M4" s="110"/>
      <c r="N4" s="110"/>
      <c r="O4" s="110"/>
      <c r="P4" s="110"/>
      <c r="Q4" s="111"/>
      <c r="R4" s="1"/>
      <c r="S4" s="1"/>
    </row>
    <row r="5" spans="1:20" ht="20.25" x14ac:dyDescent="0.3">
      <c r="A5" s="118"/>
      <c r="B5" s="17"/>
      <c r="C5" s="15" t="s">
        <v>8</v>
      </c>
      <c r="D5" s="122"/>
      <c r="E5" s="16"/>
      <c r="F5" s="16"/>
      <c r="G5" s="16"/>
      <c r="H5" s="17"/>
      <c r="I5" s="17"/>
      <c r="J5" s="15" t="s">
        <v>228</v>
      </c>
      <c r="K5" s="122" t="s">
        <v>717</v>
      </c>
      <c r="L5" s="110"/>
      <c r="M5" s="110"/>
      <c r="N5" s="110"/>
      <c r="O5" s="110"/>
      <c r="P5" s="110"/>
      <c r="Q5" s="111"/>
      <c r="R5" s="1"/>
      <c r="S5" s="1"/>
    </row>
    <row r="6" spans="1:20" ht="20.25" customHeight="1" x14ac:dyDescent="0.3">
      <c r="A6" s="118"/>
      <c r="B6" s="17"/>
      <c r="C6" s="123" t="s">
        <v>9</v>
      </c>
      <c r="D6" s="122"/>
      <c r="E6" s="16"/>
      <c r="F6" s="16"/>
      <c r="G6" s="16"/>
      <c r="H6" s="17"/>
      <c r="I6" s="17"/>
      <c r="J6" s="177" t="s">
        <v>233</v>
      </c>
      <c r="K6" s="156">
        <f>D10</f>
        <v>2682768.7114621694</v>
      </c>
      <c r="L6" s="110"/>
      <c r="M6" s="110"/>
      <c r="N6" s="110"/>
      <c r="O6" s="110"/>
      <c r="P6" s="110"/>
      <c r="Q6" s="111"/>
      <c r="R6" s="1"/>
      <c r="S6" s="1"/>
    </row>
    <row r="7" spans="1:20" ht="20.25" x14ac:dyDescent="0.3">
      <c r="A7" s="118"/>
      <c r="B7" s="17"/>
      <c r="C7" s="15"/>
      <c r="D7" s="18"/>
      <c r="E7" s="16"/>
      <c r="F7" s="15"/>
      <c r="G7" s="122"/>
      <c r="H7" s="17"/>
      <c r="I7" s="17"/>
      <c r="J7" s="110"/>
      <c r="K7" s="110"/>
      <c r="L7" s="110"/>
      <c r="M7" s="110"/>
      <c r="N7" s="110"/>
      <c r="O7" s="110"/>
      <c r="P7" s="110"/>
      <c r="Q7" s="120"/>
      <c r="R7" s="1"/>
      <c r="S7" s="1"/>
    </row>
    <row r="8" spans="1:20" ht="16.5" customHeight="1" thickBot="1" x14ac:dyDescent="0.25">
      <c r="A8" s="118"/>
      <c r="B8" s="17"/>
      <c r="C8" s="17"/>
      <c r="D8" s="18"/>
      <c r="E8" s="16"/>
      <c r="F8" s="16"/>
      <c r="G8" s="16"/>
      <c r="H8" s="17"/>
      <c r="I8" s="17"/>
      <c r="J8" s="119"/>
      <c r="K8" s="119"/>
      <c r="L8" s="119"/>
      <c r="M8" s="119"/>
      <c r="N8" s="119"/>
      <c r="O8" s="119"/>
      <c r="P8" s="119"/>
      <c r="Q8" s="120"/>
      <c r="R8" s="1"/>
      <c r="S8" s="1"/>
    </row>
    <row r="9" spans="1:20" ht="42.75" customHeight="1" thickBot="1" x14ac:dyDescent="0.25">
      <c r="A9" s="118"/>
      <c r="B9" s="414" t="s">
        <v>281</v>
      </c>
      <c r="C9" s="415"/>
      <c r="D9" s="304" t="s">
        <v>227</v>
      </c>
      <c r="E9" s="55"/>
      <c r="G9" s="16"/>
      <c r="H9" s="110"/>
      <c r="I9" s="110"/>
      <c r="J9" s="119"/>
      <c r="K9" s="119"/>
      <c r="L9" s="124"/>
      <c r="M9" s="124"/>
      <c r="N9" s="124"/>
      <c r="O9" s="124"/>
      <c r="P9" s="124"/>
      <c r="Q9" s="112"/>
      <c r="R9" s="1"/>
      <c r="S9" s="1"/>
    </row>
    <row r="10" spans="1:20" s="30" customFormat="1" ht="24" customHeight="1" thickTop="1" thickBot="1" x14ac:dyDescent="0.25">
      <c r="A10" s="303"/>
      <c r="B10" s="416" t="s">
        <v>757</v>
      </c>
      <c r="C10" s="417"/>
      <c r="D10" s="409">
        <f>'BASE BID'!E9</f>
        <v>2682768.7114621694</v>
      </c>
      <c r="E10" s="326"/>
      <c r="F10" s="325"/>
      <c r="G10" s="325"/>
      <c r="H10" s="325"/>
      <c r="I10" s="325"/>
      <c r="J10" s="326"/>
      <c r="K10" s="325"/>
      <c r="L10" s="326"/>
      <c r="M10" s="326"/>
      <c r="N10" s="326"/>
      <c r="O10" s="326"/>
      <c r="P10" s="128"/>
      <c r="Q10" s="129"/>
      <c r="R10" s="1"/>
      <c r="S10" s="1"/>
      <c r="T10" s="1"/>
    </row>
    <row r="11" spans="1:20" s="30" customFormat="1" ht="24.75" customHeight="1" thickBot="1" x14ac:dyDescent="0.25">
      <c r="A11" s="125"/>
      <c r="B11" s="432" t="s">
        <v>309</v>
      </c>
      <c r="C11" s="432"/>
      <c r="D11" s="293"/>
      <c r="E11" s="294"/>
      <c r="F11" s="294"/>
      <c r="G11" s="130"/>
      <c r="H11" s="126"/>
      <c r="I11" s="126"/>
      <c r="J11" s="127"/>
      <c r="K11" s="126"/>
      <c r="L11" s="128"/>
      <c r="M11" s="128"/>
      <c r="N11" s="128"/>
      <c r="O11" s="128"/>
      <c r="P11" s="128"/>
      <c r="Q11" s="129"/>
      <c r="R11" s="1"/>
      <c r="S11" s="1"/>
      <c r="T11" s="1"/>
    </row>
    <row r="12" spans="1:20" s="30" customFormat="1" ht="24.75" customHeight="1" thickBot="1" x14ac:dyDescent="0.25">
      <c r="A12" s="125"/>
      <c r="B12" s="433" t="s">
        <v>320</v>
      </c>
      <c r="C12" s="434"/>
      <c r="D12" s="435"/>
      <c r="E12" s="17"/>
      <c r="F12" s="294"/>
      <c r="G12" s="130"/>
      <c r="H12" s="126"/>
      <c r="I12" s="126"/>
      <c r="J12" s="127"/>
      <c r="K12" s="126"/>
      <c r="L12" s="128"/>
      <c r="M12" s="128"/>
      <c r="N12" s="128"/>
      <c r="O12" s="128"/>
      <c r="P12" s="128"/>
      <c r="Q12" s="129"/>
      <c r="R12" s="1"/>
      <c r="S12" s="1"/>
      <c r="T12" s="1"/>
    </row>
    <row r="13" spans="1:20" ht="15.75" customHeight="1" x14ac:dyDescent="0.2">
      <c r="A13" s="118"/>
      <c r="B13" s="17"/>
      <c r="C13" s="1"/>
      <c r="D13" s="18"/>
      <c r="E13" s="17"/>
      <c r="F13" s="16"/>
      <c r="G13" s="16"/>
      <c r="H13" s="17"/>
      <c r="I13" s="17"/>
      <c r="J13" s="424" t="s">
        <v>249</v>
      </c>
      <c r="K13" s="424"/>
      <c r="L13" s="424"/>
      <c r="M13" s="110"/>
      <c r="N13" s="110"/>
      <c r="O13" s="110"/>
      <c r="P13" s="110"/>
      <c r="Q13" s="111"/>
      <c r="R13" s="1"/>
      <c r="S13" s="1"/>
    </row>
    <row r="14" spans="1:20" ht="16.5" customHeight="1" thickBot="1" x14ac:dyDescent="0.25">
      <c r="A14" s="118"/>
      <c r="B14" s="17"/>
      <c r="C14" s="17"/>
      <c r="D14" s="18"/>
      <c r="E14" s="17"/>
      <c r="F14" s="16"/>
      <c r="G14" s="16"/>
      <c r="H14" s="17"/>
      <c r="I14" s="17"/>
      <c r="J14" s="425"/>
      <c r="K14" s="425"/>
      <c r="L14" s="425"/>
      <c r="M14" s="110"/>
      <c r="N14" s="110"/>
      <c r="O14" s="110"/>
      <c r="P14" s="110"/>
      <c r="Q14" s="111"/>
      <c r="R14" s="1"/>
      <c r="S14" s="1"/>
    </row>
    <row r="15" spans="1:20" ht="24" customHeight="1" x14ac:dyDescent="0.2">
      <c r="A15" s="118"/>
      <c r="B15" s="418" t="s">
        <v>285</v>
      </c>
      <c r="C15" s="419"/>
      <c r="D15" s="419"/>
      <c r="E15" s="419"/>
      <c r="F15" s="419"/>
      <c r="G15" s="420"/>
      <c r="H15" s="17"/>
      <c r="I15" s="17"/>
      <c r="J15" s="426" t="s">
        <v>245</v>
      </c>
      <c r="K15" s="427"/>
      <c r="L15" s="428"/>
      <c r="M15" s="110"/>
      <c r="N15" s="110"/>
      <c r="O15" s="110"/>
      <c r="P15" s="110"/>
      <c r="Q15" s="111"/>
      <c r="R15" s="1"/>
      <c r="S15" s="1"/>
    </row>
    <row r="16" spans="1:20" ht="25.5" customHeight="1" thickBot="1" x14ac:dyDescent="0.25">
      <c r="A16" s="118"/>
      <c r="B16" s="421"/>
      <c r="C16" s="422"/>
      <c r="D16" s="422"/>
      <c r="E16" s="422"/>
      <c r="F16" s="422"/>
      <c r="G16" s="423"/>
      <c r="H16" s="17"/>
      <c r="I16" s="17"/>
      <c r="J16" s="429"/>
      <c r="K16" s="430"/>
      <c r="L16" s="431"/>
      <c r="M16" s="110"/>
      <c r="N16" s="110"/>
      <c r="O16" s="110"/>
      <c r="P16" s="110"/>
      <c r="Q16" s="111"/>
      <c r="R16" s="1"/>
      <c r="S16" s="1"/>
    </row>
    <row r="17" spans="1:19" ht="36.75" customHeight="1" thickBot="1" x14ac:dyDescent="0.25">
      <c r="A17" s="118"/>
      <c r="B17" s="157" t="s">
        <v>246</v>
      </c>
      <c r="C17" s="158" t="s">
        <v>243</v>
      </c>
      <c r="D17" s="159" t="s">
        <v>235</v>
      </c>
      <c r="E17" s="160" t="s">
        <v>236</v>
      </c>
      <c r="F17" s="159" t="s">
        <v>237</v>
      </c>
      <c r="G17" s="161" t="s">
        <v>248</v>
      </c>
      <c r="H17" s="17"/>
      <c r="I17" s="17"/>
      <c r="J17" s="347" t="s">
        <v>328</v>
      </c>
      <c r="K17" s="348" t="s">
        <v>329</v>
      </c>
      <c r="L17" s="348" t="s">
        <v>330</v>
      </c>
      <c r="M17" s="362" t="s">
        <v>331</v>
      </c>
      <c r="N17" s="436" t="s">
        <v>332</v>
      </c>
      <c r="O17" s="437"/>
      <c r="P17" s="437"/>
      <c r="Q17" s="111"/>
      <c r="R17" s="1"/>
      <c r="S17" s="1"/>
    </row>
    <row r="18" spans="1:19" x14ac:dyDescent="0.2">
      <c r="A18" s="118"/>
      <c r="B18" s="60" t="s">
        <v>20</v>
      </c>
      <c r="C18" s="59" t="s">
        <v>238</v>
      </c>
      <c r="D18" s="57">
        <f>SUMIF('BASE BID'!D:D,B18,'BASE BID'!N:N)</f>
        <v>208326.43562101811</v>
      </c>
      <c r="E18" s="57">
        <f>SUMIF('BASE BID'!D:D,B18,'BASE BID'!P:P)</f>
        <v>0</v>
      </c>
      <c r="F18" s="81">
        <f>SUMIF('BASE BID'!D:D,B18,'BASE BID'!Q:Q)</f>
        <v>208326.43562101811</v>
      </c>
      <c r="G18" s="140">
        <f t="shared" ref="G18:G29" si="0">F18/F$30</f>
        <v>9.0433663839111333E-2</v>
      </c>
      <c r="H18" s="17"/>
      <c r="I18" s="17"/>
      <c r="J18" s="349">
        <f t="shared" ref="J18:J29" si="1">((D18*(1+$H$33))+(E18*(1+$H$31+$H$32)))*(1+$H$34)</f>
        <v>243169.03197863334</v>
      </c>
      <c r="K18" s="354"/>
      <c r="L18" s="350">
        <f>J18-K18</f>
        <v>243169.03197863334</v>
      </c>
      <c r="M18" s="355"/>
      <c r="N18" s="295"/>
      <c r="O18" s="295"/>
      <c r="P18" s="295"/>
      <c r="Q18" s="111"/>
      <c r="R18" s="1"/>
      <c r="S18" s="1"/>
    </row>
    <row r="19" spans="1:19" x14ac:dyDescent="0.2">
      <c r="A19" s="118"/>
      <c r="B19" s="58" t="s">
        <v>45</v>
      </c>
      <c r="C19" s="56" t="s">
        <v>46</v>
      </c>
      <c r="D19" s="57">
        <f>SUMIF('BASE BID'!D:D,B19,'BASE BID'!N:N)</f>
        <v>73667.784397459967</v>
      </c>
      <c r="E19" s="57">
        <f>SUMIF('BASE BID'!D:D,B19,'BASE BID'!P:P)</f>
        <v>80137.604543922469</v>
      </c>
      <c r="F19" s="81">
        <f>SUMIF('BASE BID'!D:D,B19,'BASE BID'!Q:Q)</f>
        <v>153805.38894138247</v>
      </c>
      <c r="G19" s="141">
        <f t="shared" si="0"/>
        <v>6.6766297799439961E-2</v>
      </c>
      <c r="H19" s="17"/>
      <c r="I19" s="17"/>
      <c r="J19" s="356">
        <f t="shared" si="1"/>
        <v>179122.64189876823</v>
      </c>
      <c r="K19" s="357"/>
      <c r="L19" s="358">
        <f t="shared" ref="L19:L29" si="2">J19-K19</f>
        <v>179122.64189876823</v>
      </c>
      <c r="M19" s="355"/>
      <c r="N19" s="295"/>
      <c r="O19" s="295"/>
      <c r="P19" s="295"/>
      <c r="Q19" s="111"/>
      <c r="R19" s="1"/>
      <c r="S19" s="1"/>
    </row>
    <row r="20" spans="1:19" x14ac:dyDescent="0.2">
      <c r="A20" s="118"/>
      <c r="B20" s="58" t="s">
        <v>83</v>
      </c>
      <c r="C20" s="56" t="s">
        <v>239</v>
      </c>
      <c r="D20" s="57">
        <f>SUMIF('BASE BID'!D:D,B20,'BASE BID'!N:N)</f>
        <v>35535.719771343749</v>
      </c>
      <c r="E20" s="57">
        <f>SUMIF('BASE BID'!D:D,B20,'BASE BID'!P:P)</f>
        <v>25907.870675000006</v>
      </c>
      <c r="F20" s="81">
        <f>SUMIF('BASE BID'!D:D,B20,'BASE BID'!Q:Q)</f>
        <v>61443.590446343747</v>
      </c>
      <c r="G20" s="141">
        <f t="shared" si="0"/>
        <v>2.6672414314240198E-2</v>
      </c>
      <c r="H20" s="17"/>
      <c r="I20" s="17"/>
      <c r="J20" s="356">
        <f t="shared" si="1"/>
        <v>71588.548504819104</v>
      </c>
      <c r="K20" s="357"/>
      <c r="L20" s="358">
        <f t="shared" si="2"/>
        <v>71588.548504819104</v>
      </c>
      <c r="M20" s="355"/>
      <c r="N20" s="295"/>
      <c r="O20" s="295"/>
      <c r="P20" s="295"/>
      <c r="Q20" s="111"/>
      <c r="R20" s="1"/>
      <c r="S20" s="1"/>
    </row>
    <row r="21" spans="1:19" x14ac:dyDescent="0.2">
      <c r="A21" s="118"/>
      <c r="B21" s="58" t="s">
        <v>84</v>
      </c>
      <c r="C21" s="56" t="s">
        <v>216</v>
      </c>
      <c r="D21" s="57">
        <f>SUMIF('BASE BID'!D:D,B21,'BASE BID'!N:N)</f>
        <v>142949.2266476423</v>
      </c>
      <c r="E21" s="57">
        <f>SUMIF('BASE BID'!D:D,B21,'BASE BID'!P:P)</f>
        <v>229978.71168094591</v>
      </c>
      <c r="F21" s="81">
        <f>SUMIF('BASE BID'!D:D,B21,'BASE BID'!Q:Q)</f>
        <v>372927.93832858821</v>
      </c>
      <c r="G21" s="141">
        <f t="shared" si="0"/>
        <v>0.16188651099648457</v>
      </c>
      <c r="H21" s="17"/>
      <c r="I21" s="17"/>
      <c r="J21" s="356">
        <f t="shared" si="1"/>
        <v>434132.99405226373</v>
      </c>
      <c r="K21" s="357"/>
      <c r="L21" s="358">
        <f t="shared" si="2"/>
        <v>434132.99405226373</v>
      </c>
      <c r="M21" s="355"/>
      <c r="N21" s="295"/>
      <c r="O21" s="295"/>
      <c r="P21" s="295"/>
      <c r="Q21" s="111"/>
      <c r="R21" s="1"/>
      <c r="S21" s="1"/>
    </row>
    <row r="22" spans="1:19" x14ac:dyDescent="0.2">
      <c r="A22" s="118"/>
      <c r="B22" s="58" t="s">
        <v>35</v>
      </c>
      <c r="C22" s="56" t="s">
        <v>240</v>
      </c>
      <c r="D22" s="57">
        <f>SUMIF('BASE BID'!D:D,B22,'BASE BID'!N:N)</f>
        <v>4501.4044117208623</v>
      </c>
      <c r="E22" s="57">
        <f>SUMIF('BASE BID'!D:D,B22,'BASE BID'!P:P)</f>
        <v>3638.4799612500005</v>
      </c>
      <c r="F22" s="81">
        <f>SUMIF('BASE BID'!D:D,B22,'BASE BID'!Q:Q)</f>
        <v>8139.8843729708615</v>
      </c>
      <c r="G22" s="141">
        <f t="shared" si="0"/>
        <v>3.5334909123756692E-3</v>
      </c>
      <c r="H22" s="17"/>
      <c r="I22" s="17"/>
      <c r="J22" s="356">
        <f t="shared" si="1"/>
        <v>9482.8147485468962</v>
      </c>
      <c r="K22" s="357"/>
      <c r="L22" s="358">
        <f t="shared" si="2"/>
        <v>9482.8147485468962</v>
      </c>
      <c r="M22" s="355"/>
      <c r="N22" s="295"/>
      <c r="O22" s="295"/>
      <c r="P22" s="295"/>
      <c r="Q22" s="111"/>
      <c r="R22" s="1"/>
      <c r="S22" s="1"/>
    </row>
    <row r="23" spans="1:19" x14ac:dyDescent="0.2">
      <c r="A23" s="118"/>
      <c r="B23" s="58" t="s">
        <v>48</v>
      </c>
      <c r="C23" s="56" t="s">
        <v>241</v>
      </c>
      <c r="D23" s="57">
        <f>SUMIF('BASE BID'!D:D,B23,'BASE BID'!N:N)</f>
        <v>96653.787062343647</v>
      </c>
      <c r="E23" s="57">
        <f>SUMIF('BASE BID'!D:D,B23,'BASE BID'!P:P)</f>
        <v>152720.38271137374</v>
      </c>
      <c r="F23" s="81">
        <f>SUMIF('BASE BID'!D:D,B23,'BASE BID'!Q:Q)</f>
        <v>249374.16977371741</v>
      </c>
      <c r="G23" s="141">
        <f t="shared" si="0"/>
        <v>0.10825231935758506</v>
      </c>
      <c r="H23" s="17"/>
      <c r="I23" s="17"/>
      <c r="J23" s="356">
        <f t="shared" si="1"/>
        <v>290306.94372611138</v>
      </c>
      <c r="K23" s="357"/>
      <c r="L23" s="358">
        <f t="shared" si="2"/>
        <v>290306.94372611138</v>
      </c>
      <c r="M23" s="355"/>
      <c r="N23" s="295"/>
      <c r="O23" s="295"/>
      <c r="P23" s="295"/>
      <c r="Q23" s="111"/>
      <c r="R23" s="1"/>
      <c r="S23" s="1"/>
    </row>
    <row r="24" spans="1:19" x14ac:dyDescent="0.2">
      <c r="A24" s="118"/>
      <c r="B24" s="58" t="s">
        <v>26</v>
      </c>
      <c r="C24" s="56" t="s">
        <v>29</v>
      </c>
      <c r="D24" s="57">
        <f>SUMIF('BASE BID'!D:D,B24,'BASE BID'!N:N)</f>
        <v>84608.634838723752</v>
      </c>
      <c r="E24" s="57">
        <f>SUMIF('BASE BID'!D:D,B24,'BASE BID'!P:P)</f>
        <v>215653.36933999998</v>
      </c>
      <c r="F24" s="81">
        <f>SUMIF('BASE BID'!D:D,B24,'BASE BID'!Q:Q)</f>
        <v>300262.00417872379</v>
      </c>
      <c r="G24" s="141">
        <f t="shared" si="0"/>
        <v>0.13034252263094445</v>
      </c>
      <c r="H24" s="17"/>
      <c r="I24" s="17"/>
      <c r="J24" s="356">
        <f t="shared" si="1"/>
        <v>349386.3835282147</v>
      </c>
      <c r="K24" s="357"/>
      <c r="L24" s="358">
        <f t="shared" si="2"/>
        <v>349386.3835282147</v>
      </c>
      <c r="M24" s="355"/>
      <c r="N24" s="295"/>
      <c r="O24" s="295"/>
      <c r="P24" s="295"/>
      <c r="Q24" s="111"/>
      <c r="R24" s="1"/>
      <c r="S24" s="1"/>
    </row>
    <row r="25" spans="1:19" x14ac:dyDescent="0.2">
      <c r="A25" s="118"/>
      <c r="B25" s="58" t="s">
        <v>21</v>
      </c>
      <c r="C25" s="56" t="s">
        <v>30</v>
      </c>
      <c r="D25" s="57">
        <f>SUMIF('BASE BID'!D:D,B25,'BASE BID'!N:N)</f>
        <v>332904.57337558432</v>
      </c>
      <c r="E25" s="57">
        <f>SUMIF('BASE BID'!D:D,B25,'BASE BID'!P:P)</f>
        <v>284852.35708652972</v>
      </c>
      <c r="F25" s="81">
        <f>SUMIF('BASE BID'!D:D,B25,'BASE BID'!Q:Q)</f>
        <v>617756.93046211312</v>
      </c>
      <c r="G25" s="141">
        <f t="shared" si="0"/>
        <v>0.26816578710789246</v>
      </c>
      <c r="H25" s="17"/>
      <c r="I25" s="17"/>
      <c r="J25" s="356">
        <f t="shared" si="1"/>
        <v>719631.15136968833</v>
      </c>
      <c r="K25" s="357"/>
      <c r="L25" s="358">
        <f t="shared" si="2"/>
        <v>719631.15136968833</v>
      </c>
      <c r="M25" s="355"/>
      <c r="N25" s="295"/>
      <c r="O25" s="295"/>
      <c r="P25" s="295"/>
      <c r="Q25" s="111"/>
      <c r="R25" s="1"/>
      <c r="S25" s="1"/>
    </row>
    <row r="26" spans="1:19" x14ac:dyDescent="0.2">
      <c r="A26" s="118"/>
      <c r="B26" s="58" t="s">
        <v>53</v>
      </c>
      <c r="C26" s="56" t="s">
        <v>224</v>
      </c>
      <c r="D26" s="57">
        <f>SUMIF('BASE BID'!D:D,B26,'BASE BID'!N:N)</f>
        <v>22596.514472388746</v>
      </c>
      <c r="E26" s="57">
        <f>SUMIF('BASE BID'!D:D,B26,'BASE BID'!P:P)</f>
        <v>71628.954493097408</v>
      </c>
      <c r="F26" s="81">
        <f>SUMIF('BASE BID'!D:D,B26,'BASE BID'!Q:Q)</f>
        <v>94225.468965486187</v>
      </c>
      <c r="G26" s="141">
        <f t="shared" si="0"/>
        <v>4.0902895305177933E-2</v>
      </c>
      <c r="H26" s="17"/>
      <c r="I26" s="17"/>
      <c r="J26" s="356">
        <f t="shared" si="1"/>
        <v>109621.16170591123</v>
      </c>
      <c r="K26" s="357"/>
      <c r="L26" s="358">
        <f t="shared" si="2"/>
        <v>109621.16170591123</v>
      </c>
      <c r="M26" s="355"/>
      <c r="N26" s="295"/>
      <c r="O26" s="295"/>
      <c r="P26" s="295"/>
      <c r="Q26" s="111"/>
      <c r="R26" s="1"/>
      <c r="S26" s="1"/>
    </row>
    <row r="27" spans="1:19" x14ac:dyDescent="0.2">
      <c r="A27" s="118"/>
      <c r="B27" s="58" t="s">
        <v>38</v>
      </c>
      <c r="C27" s="56" t="s">
        <v>217</v>
      </c>
      <c r="D27" s="57">
        <f>SUMIF('BASE BID'!D:D,B27,'BASE BID'!N:N)</f>
        <v>3469.2975187500001</v>
      </c>
      <c r="E27" s="57">
        <f>SUMIF('BASE BID'!D:D,B27,'BASE BID'!P:P)</f>
        <v>0</v>
      </c>
      <c r="F27" s="81">
        <f>SUMIF('BASE BID'!D:D,B27,'BASE BID'!Q:Q)</f>
        <v>3469.2975187500001</v>
      </c>
      <c r="G27" s="141">
        <f t="shared" si="0"/>
        <v>1.5060080331775574E-3</v>
      </c>
      <c r="H27" s="17"/>
      <c r="I27" s="17"/>
      <c r="J27" s="356">
        <f t="shared" si="1"/>
        <v>4049.5375287609368</v>
      </c>
      <c r="K27" s="357"/>
      <c r="L27" s="358">
        <f t="shared" si="2"/>
        <v>4049.5375287609368</v>
      </c>
      <c r="M27" s="355"/>
      <c r="N27" s="295"/>
      <c r="O27" s="295"/>
      <c r="P27" s="295"/>
      <c r="Q27" s="111"/>
      <c r="R27" s="1"/>
      <c r="S27" s="1"/>
    </row>
    <row r="28" spans="1:19" x14ac:dyDescent="0.2">
      <c r="A28" s="118"/>
      <c r="B28" s="58" t="s">
        <v>39</v>
      </c>
      <c r="C28" s="56" t="s">
        <v>242</v>
      </c>
      <c r="D28" s="57">
        <f>SUMIF('BASE BID'!D:D,B28,'BASE BID'!N:N)</f>
        <v>73685.418314035705</v>
      </c>
      <c r="E28" s="57">
        <f>SUMIF('BASE BID'!D:D,B28,'BASE BID'!P:P)</f>
        <v>147873.91334550001</v>
      </c>
      <c r="F28" s="81">
        <f>SUMIF('BASE BID'!D:D,B28,'BASE BID'!Q:Q)</f>
        <v>221559.33165953582</v>
      </c>
      <c r="G28" s="141">
        <f t="shared" si="0"/>
        <v>9.6178010534228892E-2</v>
      </c>
      <c r="H28" s="17"/>
      <c r="I28" s="17"/>
      <c r="J28" s="356">
        <f t="shared" si="1"/>
        <v>257864.66976936461</v>
      </c>
      <c r="K28" s="357"/>
      <c r="L28" s="358">
        <f t="shared" si="2"/>
        <v>257864.66976936461</v>
      </c>
      <c r="M28" s="355"/>
      <c r="N28" s="295"/>
      <c r="O28" s="295"/>
      <c r="P28" s="295"/>
      <c r="Q28" s="111"/>
      <c r="R28" s="1"/>
      <c r="S28" s="1"/>
    </row>
    <row r="29" spans="1:19" ht="16.5" thickBot="1" x14ac:dyDescent="0.25">
      <c r="A29" s="118"/>
      <c r="B29" s="58" t="s">
        <v>54</v>
      </c>
      <c r="C29" s="56" t="s">
        <v>202</v>
      </c>
      <c r="D29" s="57">
        <f>SUMIF('BASE BID'!D:D,B29,'BASE BID'!N:N)</f>
        <v>12347.682716715804</v>
      </c>
      <c r="E29" s="57">
        <f>SUMIF('BASE BID'!D:D,B29,'BASE BID'!P:P)</f>
        <v>0</v>
      </c>
      <c r="F29" s="81">
        <f>SUMIF('BASE BID'!D:D,B29,'BASE BID'!Q:Q)</f>
        <v>12347.682716715804</v>
      </c>
      <c r="G29" s="141">
        <f t="shared" si="0"/>
        <v>5.3600791693419782E-3</v>
      </c>
      <c r="H29" s="17"/>
      <c r="I29" s="17"/>
      <c r="J29" s="356">
        <f t="shared" si="1"/>
        <v>14412.832651086521</v>
      </c>
      <c r="K29" s="357"/>
      <c r="L29" s="358">
        <f t="shared" si="2"/>
        <v>14412.832651086521</v>
      </c>
      <c r="M29" s="363"/>
      <c r="N29" s="364"/>
      <c r="O29" s="364"/>
      <c r="P29" s="364"/>
      <c r="Q29" s="111"/>
      <c r="R29" s="1"/>
      <c r="S29" s="1"/>
    </row>
    <row r="30" spans="1:19" ht="16.5" thickBot="1" x14ac:dyDescent="0.25">
      <c r="A30" s="118"/>
      <c r="B30" s="173"/>
      <c r="C30" s="150" t="s">
        <v>4</v>
      </c>
      <c r="D30" s="66">
        <f>SUM(D18:D29)</f>
        <v>1091246.4791477269</v>
      </c>
      <c r="E30" s="66">
        <f>SUM(E18:E29)</f>
        <v>1212391.6438376191</v>
      </c>
      <c r="F30" s="66">
        <f>SUM(F18:F29)</f>
        <v>2303638.1229853453</v>
      </c>
      <c r="G30" s="151"/>
      <c r="I30" s="17"/>
      <c r="J30" s="351">
        <f>SUM(J18:J29)</f>
        <v>2682768.7114621685</v>
      </c>
      <c r="K30" s="352"/>
      <c r="L30" s="353">
        <f>J30-K30</f>
        <v>2682768.7114621685</v>
      </c>
      <c r="M30" s="355">
        <f>SUM(M18:M29)</f>
        <v>0</v>
      </c>
      <c r="N30" s="295"/>
      <c r="O30" s="295"/>
      <c r="P30" s="295"/>
      <c r="Q30" s="111"/>
      <c r="R30" s="1"/>
      <c r="S30" s="1"/>
    </row>
    <row r="31" spans="1:19" x14ac:dyDescent="0.2">
      <c r="A31" s="118"/>
      <c r="B31" s="333"/>
      <c r="C31" s="334" t="s">
        <v>171</v>
      </c>
      <c r="D31" s="335">
        <v>0</v>
      </c>
      <c r="E31" s="336">
        <f>E30*H31</f>
        <v>115177.20616457381</v>
      </c>
      <c r="F31" s="336">
        <f>D31+E31</f>
        <v>115177.20616457381</v>
      </c>
      <c r="G31" s="131"/>
      <c r="H31" s="132">
        <f>'BASE BID'!D5</f>
        <v>9.5000000000000001E-2</v>
      </c>
      <c r="I31" s="17"/>
      <c r="J31" s="110"/>
      <c r="K31" s="110"/>
      <c r="L31" s="110"/>
      <c r="M31" s="110"/>
      <c r="N31" s="110"/>
      <c r="O31" s="110"/>
      <c r="P31" s="110"/>
      <c r="Q31" s="111"/>
      <c r="R31" s="1"/>
      <c r="S31" s="1"/>
    </row>
    <row r="32" spans="1:19" x14ac:dyDescent="0.2">
      <c r="A32" s="118"/>
      <c r="B32" s="174"/>
      <c r="C32" s="68" t="s">
        <v>325</v>
      </c>
      <c r="D32" s="69">
        <v>0</v>
      </c>
      <c r="E32" s="70">
        <f>E30*H32</f>
        <v>60619.58219188096</v>
      </c>
      <c r="F32" s="70">
        <f>D32+E32</f>
        <v>60619.58219188096</v>
      </c>
      <c r="G32" s="332"/>
      <c r="H32" s="132">
        <f>'BASE BID'!D6</f>
        <v>0.05</v>
      </c>
      <c r="I32" s="17"/>
      <c r="J32" s="110"/>
      <c r="K32" s="110"/>
      <c r="L32" s="110"/>
      <c r="M32" s="110"/>
      <c r="N32" s="110"/>
      <c r="O32" s="110"/>
      <c r="P32" s="110"/>
      <c r="Q32" s="111"/>
      <c r="R32" s="1"/>
      <c r="S32" s="1"/>
    </row>
    <row r="33" spans="1:19" ht="16.5" thickBot="1" x14ac:dyDescent="0.25">
      <c r="A33" s="118"/>
      <c r="B33" s="175"/>
      <c r="C33" s="72" t="s">
        <v>333</v>
      </c>
      <c r="D33" s="337">
        <f>D30*H33</f>
        <v>163686.97187215902</v>
      </c>
      <c r="E33" s="73">
        <v>0</v>
      </c>
      <c r="F33" s="73">
        <f>D33+E33</f>
        <v>163686.97187215902</v>
      </c>
      <c r="G33" s="61"/>
      <c r="H33" s="132">
        <f>'BASE BID'!D7</f>
        <v>0.15</v>
      </c>
      <c r="I33" s="17"/>
      <c r="J33" s="110"/>
      <c r="K33" s="110"/>
      <c r="L33" s="110"/>
      <c r="M33" s="110"/>
      <c r="N33" s="110"/>
      <c r="O33" s="110"/>
      <c r="P33" s="110"/>
      <c r="Q33" s="111"/>
      <c r="R33" s="1"/>
      <c r="S33" s="1"/>
    </row>
    <row r="34" spans="1:19" ht="17.25" thickTop="1" thickBot="1" x14ac:dyDescent="0.25">
      <c r="A34" s="118"/>
      <c r="B34" s="176"/>
      <c r="C34" s="75" t="s">
        <v>230</v>
      </c>
      <c r="D34" s="76"/>
      <c r="E34" s="77"/>
      <c r="F34" s="77">
        <f>SUM(F30:F33)*H34</f>
        <v>39646.828248209378</v>
      </c>
      <c r="G34" s="62"/>
      <c r="H34" s="132">
        <f>'BASE BID'!D8</f>
        <v>1.4999999999999999E-2</v>
      </c>
      <c r="I34" s="17"/>
      <c r="J34" s="110"/>
      <c r="K34" s="110"/>
      <c r="L34" s="110"/>
      <c r="M34" s="110"/>
      <c r="N34" s="110"/>
      <c r="O34" s="110"/>
      <c r="P34" s="110"/>
      <c r="Q34" s="111"/>
      <c r="R34" s="1"/>
      <c r="S34" s="1"/>
    </row>
    <row r="35" spans="1:19" ht="16.5" thickBot="1" x14ac:dyDescent="0.25">
      <c r="A35" s="118"/>
      <c r="B35" s="176"/>
      <c r="C35" s="78" t="s">
        <v>96</v>
      </c>
      <c r="D35" s="79"/>
      <c r="E35" s="80"/>
      <c r="F35" s="80">
        <f>F30+F31+F32+F33+F34</f>
        <v>2682768.711462168</v>
      </c>
      <c r="G35" s="62"/>
      <c r="I35" s="17"/>
      <c r="J35" s="110"/>
      <c r="K35" s="110"/>
      <c r="L35" s="110"/>
      <c r="M35" s="110"/>
      <c r="N35" s="110"/>
      <c r="O35" s="110"/>
      <c r="P35" s="110"/>
      <c r="Q35" s="111"/>
      <c r="R35" s="1"/>
      <c r="S35" s="1"/>
    </row>
    <row r="36" spans="1:19" x14ac:dyDescent="0.2">
      <c r="A36" s="19"/>
      <c r="B36" s="17"/>
      <c r="C36" s="17"/>
      <c r="D36" s="18"/>
      <c r="E36" s="17"/>
      <c r="F36" s="16"/>
      <c r="G36" s="16"/>
      <c r="H36" s="17"/>
      <c r="I36" s="17"/>
      <c r="J36" s="110"/>
      <c r="K36" s="110"/>
      <c r="L36" s="110"/>
      <c r="M36" s="110"/>
      <c r="N36" s="110"/>
      <c r="O36" s="110"/>
      <c r="P36" s="110"/>
      <c r="Q36" s="111"/>
      <c r="R36" s="1"/>
      <c r="S36" s="1"/>
    </row>
    <row r="37" spans="1:19" x14ac:dyDescent="0.2">
      <c r="A37" s="118"/>
      <c r="B37" s="17"/>
      <c r="C37" s="17"/>
      <c r="D37" s="18"/>
      <c r="E37" s="17"/>
      <c r="F37" s="16"/>
      <c r="G37" s="16"/>
      <c r="H37" s="17"/>
      <c r="I37" s="17"/>
      <c r="J37" s="110"/>
      <c r="K37" s="110"/>
      <c r="L37" s="110"/>
      <c r="M37" s="110"/>
      <c r="N37" s="110"/>
      <c r="O37" s="110"/>
      <c r="P37" s="110"/>
      <c r="Q37" s="111"/>
      <c r="R37" s="1"/>
      <c r="S37" s="1"/>
    </row>
    <row r="38" spans="1:19" x14ac:dyDescent="0.2">
      <c r="A38" s="118"/>
      <c r="B38" s="17"/>
      <c r="C38" s="17"/>
      <c r="D38" s="18"/>
      <c r="E38" s="17"/>
      <c r="F38" s="16"/>
      <c r="G38" s="16"/>
      <c r="H38" s="17"/>
      <c r="I38" s="17"/>
      <c r="J38" s="110"/>
      <c r="K38" s="110"/>
      <c r="L38" s="110"/>
      <c r="M38" s="110"/>
      <c r="N38" s="110"/>
      <c r="O38" s="110"/>
      <c r="P38" s="110"/>
      <c r="Q38" s="111"/>
      <c r="R38" s="1"/>
      <c r="S38" s="1"/>
    </row>
    <row r="39" spans="1:19" ht="15.75" customHeight="1" x14ac:dyDescent="0.2">
      <c r="A39" s="118"/>
      <c r="B39" s="17"/>
      <c r="C39" s="17"/>
      <c r="D39" s="18"/>
      <c r="E39" s="17"/>
      <c r="F39" s="16"/>
      <c r="G39" s="16"/>
      <c r="H39" s="17"/>
      <c r="I39" s="17"/>
      <c r="J39" s="424" t="s">
        <v>249</v>
      </c>
      <c r="K39" s="424"/>
      <c r="L39" s="424"/>
      <c r="M39" s="110"/>
      <c r="N39" s="110"/>
      <c r="O39" s="110"/>
      <c r="P39" s="110"/>
      <c r="Q39" s="111"/>
      <c r="R39" s="1"/>
      <c r="S39" s="1"/>
    </row>
    <row r="40" spans="1:19" ht="16.5" customHeight="1" thickBot="1" x14ac:dyDescent="0.25">
      <c r="A40" s="118"/>
      <c r="B40" s="17"/>
      <c r="C40" s="17"/>
      <c r="D40" s="18"/>
      <c r="E40" s="17"/>
      <c r="F40" s="16"/>
      <c r="G40" s="16"/>
      <c r="H40" s="17"/>
      <c r="I40" s="17"/>
      <c r="J40" s="425"/>
      <c r="K40" s="425"/>
      <c r="L40" s="425"/>
      <c r="M40" s="110"/>
      <c r="N40" s="110"/>
      <c r="O40" s="110"/>
      <c r="P40" s="110"/>
      <c r="Q40" s="111"/>
      <c r="R40" s="1"/>
      <c r="S40" s="1"/>
    </row>
    <row r="41" spans="1:19" ht="24" customHeight="1" x14ac:dyDescent="0.2">
      <c r="A41" s="118"/>
      <c r="B41" s="17"/>
      <c r="C41" s="438" t="s">
        <v>287</v>
      </c>
      <c r="D41" s="439"/>
      <c r="E41" s="439"/>
      <c r="F41" s="439"/>
      <c r="G41" s="440"/>
      <c r="H41" s="17"/>
      <c r="I41" s="17"/>
      <c r="J41" s="426" t="s">
        <v>245</v>
      </c>
      <c r="K41" s="427"/>
      <c r="L41" s="428"/>
      <c r="M41" s="110"/>
      <c r="N41" s="110"/>
      <c r="O41" s="110"/>
      <c r="P41" s="110"/>
      <c r="Q41" s="111"/>
      <c r="R41" s="1"/>
      <c r="S41" s="1"/>
    </row>
    <row r="42" spans="1:19" ht="23.25" customHeight="1" thickBot="1" x14ac:dyDescent="0.25">
      <c r="A42" s="118"/>
      <c r="B42" s="17"/>
      <c r="C42" s="441"/>
      <c r="D42" s="442"/>
      <c r="E42" s="442"/>
      <c r="F42" s="442"/>
      <c r="G42" s="443"/>
      <c r="H42" s="17"/>
      <c r="I42" s="17"/>
      <c r="J42" s="429"/>
      <c r="K42" s="430"/>
      <c r="L42" s="431"/>
      <c r="M42" s="110"/>
      <c r="N42" s="110"/>
      <c r="O42" s="110"/>
      <c r="P42" s="110"/>
      <c r="Q42" s="111"/>
      <c r="R42" s="1"/>
      <c r="S42" s="1"/>
    </row>
    <row r="43" spans="1:19" ht="38.25" customHeight="1" thickBot="1" x14ac:dyDescent="0.25">
      <c r="A43" s="118"/>
      <c r="B43" s="17"/>
      <c r="C43" s="168" t="s">
        <v>57</v>
      </c>
      <c r="D43" s="169" t="s">
        <v>235</v>
      </c>
      <c r="E43" s="170" t="s">
        <v>236</v>
      </c>
      <c r="F43" s="169" t="s">
        <v>237</v>
      </c>
      <c r="G43" s="171" t="s">
        <v>244</v>
      </c>
      <c r="H43" s="172"/>
      <c r="I43" s="172"/>
      <c r="J43" s="347" t="s">
        <v>334</v>
      </c>
      <c r="K43" s="348" t="s">
        <v>329</v>
      </c>
      <c r="L43" s="348" t="s">
        <v>330</v>
      </c>
      <c r="M43" s="362" t="s">
        <v>331</v>
      </c>
      <c r="N43" s="436" t="s">
        <v>332</v>
      </c>
      <c r="O43" s="437"/>
      <c r="P43" s="437"/>
      <c r="Q43" s="111"/>
      <c r="R43" s="1"/>
      <c r="S43" s="1"/>
    </row>
    <row r="44" spans="1:19" x14ac:dyDescent="0.2">
      <c r="A44" s="118"/>
      <c r="B44" s="17"/>
      <c r="C44" s="305" t="s">
        <v>238</v>
      </c>
      <c r="D44" s="154">
        <f>SUMIF('BASE BID'!E:E,C44,'BASE BID'!N:N)</f>
        <v>208326.43562101811</v>
      </c>
      <c r="E44" s="154">
        <f>SUMIF('BASE BID'!E:E,C44,'BASE BID'!P:P)</f>
        <v>0</v>
      </c>
      <c r="F44" s="155">
        <f>SUMIF('BASE BID'!E:E,C44,'BASE BID'!Q:Q)</f>
        <v>208326.43562101811</v>
      </c>
      <c r="G44" s="140">
        <f t="shared" ref="G44" si="3">F44/F$30</f>
        <v>9.0433663839111333E-2</v>
      </c>
      <c r="H44" s="17"/>
      <c r="I44" s="17"/>
      <c r="J44" s="349">
        <f t="shared" ref="J44:J76" si="4">((D44*(1+$H$80))+(E44*(1+$H$79+$H$78)))*(1+$H$81)</f>
        <v>243169.03197863334</v>
      </c>
      <c r="K44" s="354"/>
      <c r="L44" s="350">
        <f>J44-K44</f>
        <v>243169.03197863334</v>
      </c>
      <c r="M44" s="355"/>
      <c r="N44" s="295"/>
      <c r="O44" s="295"/>
      <c r="P44" s="295"/>
      <c r="Q44" s="111"/>
      <c r="R44" s="1"/>
      <c r="S44" s="1"/>
    </row>
    <row r="45" spans="1:19" x14ac:dyDescent="0.25">
      <c r="A45" s="118"/>
      <c r="B45" s="17"/>
      <c r="C45" s="306" t="s">
        <v>299</v>
      </c>
      <c r="D45" s="154">
        <f>SUMIF('BASE BID'!E:E,C45,'BASE BID'!N:N)</f>
        <v>8182.8694613262523</v>
      </c>
      <c r="E45" s="154">
        <f>SUMIF('BASE BID'!E:E,C45,'BASE BID'!P:P)</f>
        <v>23235.793600000001</v>
      </c>
      <c r="F45" s="155">
        <f>SUMIF('BASE BID'!E:E,C45,'BASE BID'!Q:Q)</f>
        <v>31418.663061326253</v>
      </c>
      <c r="G45" s="140">
        <f t="shared" ref="G45:G66" si="5">F45/F$30</f>
        <v>1.363871466956363E-2</v>
      </c>
      <c r="H45" s="17"/>
      <c r="I45" s="17"/>
      <c r="J45" s="356">
        <f t="shared" si="4"/>
        <v>36555.512805813065</v>
      </c>
      <c r="K45" s="357"/>
      <c r="L45" s="358">
        <f t="shared" ref="L45:L67" si="6">J45-K45</f>
        <v>36555.512805813065</v>
      </c>
      <c r="M45" s="355"/>
      <c r="N45" s="295"/>
      <c r="O45" s="295"/>
      <c r="P45" s="295"/>
      <c r="Q45" s="111"/>
      <c r="R45" s="1"/>
      <c r="S45" s="1"/>
    </row>
    <row r="46" spans="1:19" x14ac:dyDescent="0.25">
      <c r="A46" s="118"/>
      <c r="B46" s="17"/>
      <c r="C46" s="306" t="s">
        <v>300</v>
      </c>
      <c r="D46" s="154">
        <f>SUMIF('BASE BID'!E:E,C46,'BASE BID'!N:N)</f>
        <v>25069.663912663127</v>
      </c>
      <c r="E46" s="154">
        <f>SUMIF('BASE BID'!E:E,C46,'BASE BID'!P:P)</f>
        <v>25184.395320000003</v>
      </c>
      <c r="F46" s="155">
        <f>SUMIF('BASE BID'!E:E,C46,'BASE BID'!Q:Q)</f>
        <v>50254.05923266313</v>
      </c>
      <c r="G46" s="140">
        <f t="shared" si="5"/>
        <v>2.1815084032181919E-2</v>
      </c>
      <c r="H46" s="17"/>
      <c r="I46" s="17"/>
      <c r="J46" s="356">
        <f t="shared" si="4"/>
        <v>58531.23983307703</v>
      </c>
      <c r="K46" s="357"/>
      <c r="L46" s="358">
        <f t="shared" si="6"/>
        <v>58531.23983307703</v>
      </c>
      <c r="M46" s="355"/>
      <c r="N46" s="295"/>
      <c r="O46" s="295"/>
      <c r="P46" s="295"/>
      <c r="Q46" s="111"/>
      <c r="R46" s="1"/>
      <c r="S46" s="1"/>
    </row>
    <row r="47" spans="1:19" x14ac:dyDescent="0.25">
      <c r="A47" s="118"/>
      <c r="B47" s="17"/>
      <c r="C47" s="306" t="s">
        <v>135</v>
      </c>
      <c r="D47" s="154">
        <f>SUMIF('BASE BID'!E:E,C47,'BASE BID'!N:N)</f>
        <v>3469.2975187500001</v>
      </c>
      <c r="E47" s="154">
        <f>SUMIF('BASE BID'!E:E,C47,'BASE BID'!P:P)</f>
        <v>0</v>
      </c>
      <c r="F47" s="155">
        <f>SUMIF('BASE BID'!E:E,C47,'BASE BID'!Q:Q)</f>
        <v>3469.2975187500001</v>
      </c>
      <c r="G47" s="140">
        <f t="shared" si="5"/>
        <v>1.5060080331775574E-3</v>
      </c>
      <c r="H47" s="17"/>
      <c r="I47" s="17"/>
      <c r="J47" s="356">
        <f t="shared" si="4"/>
        <v>4049.5375287609368</v>
      </c>
      <c r="K47" s="357"/>
      <c r="L47" s="358">
        <f t="shared" si="6"/>
        <v>4049.5375287609368</v>
      </c>
      <c r="M47" s="355"/>
      <c r="N47" s="295"/>
      <c r="O47" s="295"/>
      <c r="P47" s="295"/>
      <c r="Q47" s="111"/>
      <c r="R47" s="1"/>
      <c r="S47" s="1"/>
    </row>
    <row r="48" spans="1:19" x14ac:dyDescent="0.25">
      <c r="A48" s="118"/>
      <c r="B48" s="17"/>
      <c r="C48" s="306" t="s">
        <v>150</v>
      </c>
      <c r="D48" s="154">
        <f>SUMIF('BASE BID'!E:E,C48,'BASE BID'!N:N)</f>
        <v>7027.084539562501</v>
      </c>
      <c r="E48" s="154">
        <f>SUMIF('BASE BID'!E:E,C48,'BASE BID'!P:P)</f>
        <v>27666.333450000002</v>
      </c>
      <c r="F48" s="155">
        <f>SUMIF('BASE BID'!E:E,C48,'BASE BID'!Q:Q)</f>
        <v>34693.417989562506</v>
      </c>
      <c r="G48" s="140">
        <f t="shared" si="5"/>
        <v>1.5060272550361509E-2</v>
      </c>
      <c r="H48" s="17"/>
      <c r="I48" s="17"/>
      <c r="J48" s="356">
        <f t="shared" si="4"/>
        <v>40355.485506058081</v>
      </c>
      <c r="K48" s="357"/>
      <c r="L48" s="358">
        <f t="shared" si="6"/>
        <v>40355.485506058081</v>
      </c>
      <c r="M48" s="355"/>
      <c r="N48" s="295"/>
      <c r="O48" s="295"/>
      <c r="P48" s="295"/>
      <c r="Q48" s="111"/>
      <c r="R48" s="1"/>
      <c r="S48" s="1"/>
    </row>
    <row r="49" spans="1:19" x14ac:dyDescent="0.25">
      <c r="A49" s="118"/>
      <c r="B49" s="17"/>
      <c r="C49" s="306" t="s">
        <v>67</v>
      </c>
      <c r="D49" s="154">
        <f>SUMIF('BASE BID'!E:E,C49,'BASE BID'!N:N)</f>
        <v>46849.640595887584</v>
      </c>
      <c r="E49" s="154">
        <f>SUMIF('BASE BID'!E:E,C49,'BASE BID'!P:P)</f>
        <v>51488.502895500023</v>
      </c>
      <c r="F49" s="155">
        <f>SUMIF('BASE BID'!E:E,C49,'BASE BID'!Q:Q)</f>
        <v>98338.143491387571</v>
      </c>
      <c r="G49" s="140">
        <f t="shared" si="5"/>
        <v>4.2688190697221393E-2</v>
      </c>
      <c r="H49" s="17"/>
      <c r="I49" s="17"/>
      <c r="J49" s="356">
        <f t="shared" si="4"/>
        <v>114523.89383812751</v>
      </c>
      <c r="K49" s="357"/>
      <c r="L49" s="358">
        <f t="shared" si="6"/>
        <v>114523.89383812751</v>
      </c>
      <c r="M49" s="355"/>
      <c r="N49" s="295"/>
      <c r="O49" s="295"/>
      <c r="P49" s="295"/>
      <c r="Q49" s="111"/>
      <c r="R49" s="1"/>
      <c r="S49" s="1"/>
    </row>
    <row r="50" spans="1:19" x14ac:dyDescent="0.25">
      <c r="A50" s="118"/>
      <c r="B50" s="17"/>
      <c r="C50" s="306" t="s">
        <v>273</v>
      </c>
      <c r="D50" s="154">
        <f>SUMIF('BASE BID'!E:E,C50,'BASE BID'!N:N)</f>
        <v>55309.34369926517</v>
      </c>
      <c r="E50" s="154">
        <f>SUMIF('BASE BID'!E:E,C50,'BASE BID'!P:P)</f>
        <v>76857.222515922476</v>
      </c>
      <c r="F50" s="155">
        <f>SUMIF('BASE BID'!E:E,C50,'BASE BID'!Q:Q)</f>
        <v>132166.56621518763</v>
      </c>
      <c r="G50" s="140">
        <f t="shared" si="5"/>
        <v>5.737297229823124E-2</v>
      </c>
      <c r="H50" s="17"/>
      <c r="I50" s="17"/>
      <c r="J50" s="356">
        <f t="shared" si="4"/>
        <v>153881.37401040946</v>
      </c>
      <c r="K50" s="357"/>
      <c r="L50" s="358">
        <f t="shared" si="6"/>
        <v>153881.37401040946</v>
      </c>
      <c r="M50" s="355"/>
      <c r="N50" s="295"/>
      <c r="O50" s="295"/>
      <c r="P50" s="295"/>
      <c r="Q50" s="111"/>
      <c r="R50" s="1"/>
      <c r="S50" s="1"/>
    </row>
    <row r="51" spans="1:19" x14ac:dyDescent="0.25">
      <c r="A51" s="118"/>
      <c r="B51" s="17"/>
      <c r="C51" s="306" t="s">
        <v>152</v>
      </c>
      <c r="D51" s="154">
        <f>SUMIF('BASE BID'!E:E,C51,'BASE BID'!N:N)</f>
        <v>26835.777718148147</v>
      </c>
      <c r="E51" s="154">
        <f>SUMIF('BASE BID'!E:E,C51,'BASE BID'!P:P)</f>
        <v>96385.41045000001</v>
      </c>
      <c r="F51" s="155">
        <f>SUMIF('BASE BID'!E:E,C51,'BASE BID'!Q:Q)</f>
        <v>123221.18816814818</v>
      </c>
      <c r="G51" s="140">
        <f t="shared" si="5"/>
        <v>5.3489819837007471E-2</v>
      </c>
      <c r="H51" s="17"/>
      <c r="I51" s="17"/>
      <c r="J51" s="356">
        <f t="shared" si="4"/>
        <v>143340.77593123715</v>
      </c>
      <c r="K51" s="357"/>
      <c r="L51" s="358">
        <f t="shared" si="6"/>
        <v>143340.77593123715</v>
      </c>
      <c r="M51" s="355"/>
      <c r="N51" s="295"/>
      <c r="O51" s="295"/>
      <c r="P51" s="295"/>
      <c r="Q51" s="111"/>
      <c r="R51" s="1"/>
      <c r="S51" s="1"/>
    </row>
    <row r="52" spans="1:19" x14ac:dyDescent="0.25">
      <c r="A52" s="118"/>
      <c r="B52" s="17"/>
      <c r="C52" s="306" t="s">
        <v>148</v>
      </c>
      <c r="D52" s="154">
        <f>SUMIF('BASE BID'!E:E,C52,'BASE BID'!N:N)</f>
        <v>24063.395389300003</v>
      </c>
      <c r="E52" s="154">
        <f>SUMIF('BASE BID'!E:E,C52,'BASE BID'!P:P)</f>
        <v>92160.150399999999</v>
      </c>
      <c r="F52" s="155">
        <f>SUMIF('BASE BID'!E:E,C52,'BASE BID'!Q:Q)</f>
        <v>116223.54578930001</v>
      </c>
      <c r="G52" s="140">
        <f t="shared" si="5"/>
        <v>5.0452171558388201E-2</v>
      </c>
      <c r="H52" s="17"/>
      <c r="I52" s="17"/>
      <c r="J52" s="356">
        <f t="shared" si="4"/>
        <v>135194.22105928042</v>
      </c>
      <c r="K52" s="357"/>
      <c r="L52" s="358">
        <f t="shared" si="6"/>
        <v>135194.22105928042</v>
      </c>
      <c r="M52" s="355"/>
      <c r="N52" s="295"/>
      <c r="O52" s="295"/>
      <c r="P52" s="295"/>
      <c r="Q52" s="111"/>
      <c r="R52" s="1"/>
      <c r="S52" s="1"/>
    </row>
    <row r="53" spans="1:19" x14ac:dyDescent="0.25">
      <c r="A53" s="118"/>
      <c r="B53" s="17"/>
      <c r="C53" s="306" t="s">
        <v>133</v>
      </c>
      <c r="D53" s="154">
        <f>SUMIF('BASE BID'!E:E,C53,'BASE BID'!N:N)</f>
        <v>74805.499645470132</v>
      </c>
      <c r="E53" s="154">
        <f>SUMIF('BASE BID'!E:E,C53,'BASE BID'!P:P)</f>
        <v>19727.727554074991</v>
      </c>
      <c r="F53" s="155">
        <f>SUMIF('BASE BID'!E:E,C53,'BASE BID'!Q:Q)</f>
        <v>94533.227199545174</v>
      </c>
      <c r="G53" s="140">
        <f t="shared" si="5"/>
        <v>4.1036491910907032E-2</v>
      </c>
      <c r="H53" s="17"/>
      <c r="I53" s="17"/>
      <c r="J53" s="356">
        <f t="shared" si="4"/>
        <v>110243.7912313321</v>
      </c>
      <c r="K53" s="357"/>
      <c r="L53" s="358">
        <f t="shared" si="6"/>
        <v>110243.7912313321</v>
      </c>
      <c r="M53" s="355"/>
      <c r="N53" s="295"/>
      <c r="O53" s="295"/>
      <c r="P53" s="295"/>
      <c r="Q53" s="111"/>
      <c r="R53" s="1"/>
      <c r="S53" s="1"/>
    </row>
    <row r="54" spans="1:19" x14ac:dyDescent="0.25">
      <c r="A54" s="118"/>
      <c r="B54" s="17"/>
      <c r="C54" s="306" t="s">
        <v>134</v>
      </c>
      <c r="D54" s="154">
        <f>SUMIF('BASE BID'!E:E,C54,'BASE BID'!N:N)</f>
        <v>12347.682716715804</v>
      </c>
      <c r="E54" s="154">
        <f>SUMIF('BASE BID'!E:E,C54,'BASE BID'!P:P)</f>
        <v>0</v>
      </c>
      <c r="F54" s="155">
        <f>SUMIF('BASE BID'!E:E,C54,'BASE BID'!Q:Q)</f>
        <v>12347.682716715804</v>
      </c>
      <c r="G54" s="140">
        <f t="shared" si="5"/>
        <v>5.3600791693419782E-3</v>
      </c>
      <c r="H54" s="17"/>
      <c r="I54" s="17"/>
      <c r="J54" s="356">
        <f t="shared" si="4"/>
        <v>14412.832651086521</v>
      </c>
      <c r="K54" s="357"/>
      <c r="L54" s="358">
        <f t="shared" si="6"/>
        <v>14412.832651086521</v>
      </c>
      <c r="M54" s="355"/>
      <c r="N54" s="295"/>
      <c r="O54" s="295"/>
      <c r="P54" s="295"/>
      <c r="Q54" s="111"/>
      <c r="R54" s="1"/>
      <c r="S54" s="1"/>
    </row>
    <row r="55" spans="1:19" x14ac:dyDescent="0.25">
      <c r="A55" s="118"/>
      <c r="B55" s="17"/>
      <c r="C55" s="306" t="s">
        <v>275</v>
      </c>
      <c r="D55" s="154">
        <f>SUMIF('BASE BID'!E:E,C55,'BASE BID'!N:N)</f>
        <v>1851.706949941406</v>
      </c>
      <c r="E55" s="154">
        <f>SUMIF('BASE BID'!E:E,C55,'BASE BID'!P:P)</f>
        <v>1118.6240625</v>
      </c>
      <c r="F55" s="155">
        <f>SUMIF('BASE BID'!E:E,C55,'BASE BID'!Q:Q)</f>
        <v>2970.3310124414061</v>
      </c>
      <c r="G55" s="140">
        <f t="shared" si="5"/>
        <v>1.2894086891529976E-3</v>
      </c>
      <c r="H55" s="17"/>
      <c r="I55" s="17"/>
      <c r="J55" s="356">
        <f t="shared" si="4"/>
        <v>3461.4418571550432</v>
      </c>
      <c r="K55" s="357"/>
      <c r="L55" s="358">
        <f t="shared" si="6"/>
        <v>3461.4418571550432</v>
      </c>
      <c r="M55" s="355"/>
      <c r="N55" s="295"/>
      <c r="O55" s="295"/>
      <c r="P55" s="295"/>
      <c r="Q55" s="111"/>
      <c r="R55" s="1"/>
      <c r="S55" s="1"/>
    </row>
    <row r="56" spans="1:19" x14ac:dyDescent="0.25">
      <c r="A56" s="118"/>
      <c r="B56" s="17"/>
      <c r="C56" s="306" t="s">
        <v>76</v>
      </c>
      <c r="D56" s="154">
        <f>SUMIF('BASE BID'!E:E,C56,'BASE BID'!N:N)</f>
        <v>14821.21989244864</v>
      </c>
      <c r="E56" s="154">
        <f>SUMIF('BASE BID'!E:E,C56,'BASE BID'!P:P)</f>
        <v>31454.24035</v>
      </c>
      <c r="F56" s="155">
        <f>SUMIF('BASE BID'!E:E,C56,'BASE BID'!Q:Q)</f>
        <v>46275.460242448644</v>
      </c>
      <c r="G56" s="140">
        <f t="shared" si="5"/>
        <v>2.0087990288370057E-2</v>
      </c>
      <c r="H56" s="17"/>
      <c r="I56" s="17"/>
      <c r="J56" s="356">
        <f t="shared" si="4"/>
        <v>53855.400698221922</v>
      </c>
      <c r="K56" s="357"/>
      <c r="L56" s="358">
        <f t="shared" si="6"/>
        <v>53855.400698221922</v>
      </c>
      <c r="M56" s="355"/>
      <c r="N56" s="295"/>
      <c r="O56" s="295"/>
      <c r="P56" s="295"/>
      <c r="Q56" s="111"/>
      <c r="R56" s="1"/>
      <c r="S56" s="1"/>
    </row>
    <row r="57" spans="1:19" x14ac:dyDescent="0.25">
      <c r="A57" s="118"/>
      <c r="B57" s="17"/>
      <c r="C57" s="306" t="s">
        <v>66</v>
      </c>
      <c r="D57" s="154">
        <f>SUMIF('BASE BID'!E:E,C57,'BASE BID'!N:N)</f>
        <v>34896.882781728462</v>
      </c>
      <c r="E57" s="154">
        <f>SUMIF('BASE BID'!E:E,C57,'BASE BID'!P:P)</f>
        <v>55025.88252180838</v>
      </c>
      <c r="F57" s="155">
        <f>SUMIF('BASE BID'!E:E,C57,'BASE BID'!Q:Q)</f>
        <v>89922.765303536828</v>
      </c>
      <c r="G57" s="140">
        <f t="shared" si="5"/>
        <v>3.9035109033099154E-2</v>
      </c>
      <c r="H57" s="17"/>
      <c r="I57" s="17"/>
      <c r="J57" s="356">
        <f t="shared" si="4"/>
        <v>104683.09144675519</v>
      </c>
      <c r="K57" s="357"/>
      <c r="L57" s="358">
        <f t="shared" si="6"/>
        <v>104683.09144675519</v>
      </c>
      <c r="M57" s="355"/>
      <c r="N57" s="295"/>
      <c r="O57" s="295"/>
      <c r="P57" s="295"/>
      <c r="Q57" s="111"/>
      <c r="R57" s="1"/>
      <c r="S57" s="1"/>
    </row>
    <row r="58" spans="1:19" x14ac:dyDescent="0.25">
      <c r="A58" s="118"/>
      <c r="B58" s="17"/>
      <c r="C58" s="306" t="s">
        <v>146</v>
      </c>
      <c r="D58" s="154">
        <f>SUMIF('BASE BID'!E:E,C58,'BASE BID'!N:N)</f>
        <v>119666.86091429394</v>
      </c>
      <c r="E58" s="154">
        <f>SUMIF('BASE BID'!E:E,C58,'BASE BID'!P:P)</f>
        <v>84382.611190680254</v>
      </c>
      <c r="F58" s="155">
        <f>SUMIF('BASE BID'!E:E,C58,'BASE BID'!Q:Q)</f>
        <v>204049.47210497421</v>
      </c>
      <c r="G58" s="140">
        <f t="shared" si="5"/>
        <v>8.8577051260352091E-2</v>
      </c>
      <c r="H58" s="17"/>
      <c r="I58" s="17"/>
      <c r="J58" s="356">
        <f t="shared" si="4"/>
        <v>237748.50456273835</v>
      </c>
      <c r="K58" s="357"/>
      <c r="L58" s="358">
        <f t="shared" si="6"/>
        <v>237748.50456273835</v>
      </c>
      <c r="M58" s="355"/>
      <c r="N58" s="295"/>
      <c r="O58" s="295"/>
      <c r="P58" s="295"/>
      <c r="Q58" s="111"/>
      <c r="R58" s="1"/>
      <c r="S58" s="1"/>
    </row>
    <row r="59" spans="1:19" x14ac:dyDescent="0.25">
      <c r="A59" s="118"/>
      <c r="B59" s="17"/>
      <c r="C59" s="306" t="s">
        <v>72</v>
      </c>
      <c r="D59" s="154">
        <f>SUMIF('BASE BID'!E:E,C59,'BASE BID'!N:N)</f>
        <v>4580.21527532852</v>
      </c>
      <c r="E59" s="154">
        <f>SUMIF('BASE BID'!E:E,C59,'BASE BID'!P:P)</f>
        <v>2997.9755228320805</v>
      </c>
      <c r="F59" s="155">
        <f>SUMIF('BASE BID'!E:E,C59,'BASE BID'!Q:Q)</f>
        <v>7578.1907981606</v>
      </c>
      <c r="G59" s="140">
        <f t="shared" si="5"/>
        <v>3.2896620013996916E-3</v>
      </c>
      <c r="H59" s="17"/>
      <c r="I59" s="17"/>
      <c r="J59" s="356">
        <f t="shared" si="4"/>
        <v>8830.4284833745878</v>
      </c>
      <c r="K59" s="357"/>
      <c r="L59" s="358">
        <f t="shared" si="6"/>
        <v>8830.4284833745878</v>
      </c>
      <c r="M59" s="355"/>
      <c r="N59" s="295"/>
      <c r="O59" s="295"/>
      <c r="P59" s="295"/>
      <c r="Q59" s="111"/>
      <c r="R59" s="1"/>
      <c r="S59" s="1"/>
    </row>
    <row r="60" spans="1:19" x14ac:dyDescent="0.25">
      <c r="A60" s="118"/>
      <c r="B60" s="17"/>
      <c r="C60" s="306" t="s">
        <v>212</v>
      </c>
      <c r="D60" s="154">
        <f>SUMIF('BASE BID'!E:E,C60,'BASE BID'!N:N)</f>
        <v>5567.0260373437495</v>
      </c>
      <c r="E60" s="154">
        <f>SUMIF('BASE BID'!E:E,C60,'BASE BID'!P:P)</f>
        <v>9951.3829800000021</v>
      </c>
      <c r="F60" s="155">
        <f>SUMIF('BASE BID'!E:E,C60,'BASE BID'!Q:Q)</f>
        <v>15518.409017343751</v>
      </c>
      <c r="G60" s="140">
        <f t="shared" si="5"/>
        <v>6.7364786432831886E-3</v>
      </c>
      <c r="H60" s="17"/>
      <c r="I60" s="17"/>
      <c r="J60" s="356">
        <f t="shared" si="4"/>
        <v>18063.359656870991</v>
      </c>
      <c r="K60" s="357"/>
      <c r="L60" s="358">
        <f t="shared" si="6"/>
        <v>18063.359656870991</v>
      </c>
      <c r="M60" s="355"/>
      <c r="N60" s="295"/>
      <c r="O60" s="295"/>
      <c r="P60" s="295"/>
      <c r="Q60" s="111"/>
      <c r="R60" s="1"/>
      <c r="S60" s="1"/>
    </row>
    <row r="61" spans="1:19" x14ac:dyDescent="0.25">
      <c r="A61" s="118"/>
      <c r="B61" s="17"/>
      <c r="C61" s="306" t="s">
        <v>63</v>
      </c>
      <c r="D61" s="154">
        <f>SUMIF('BASE BID'!E:E,C61,'BASE BID'!N:N)</f>
        <v>10870.239577879074</v>
      </c>
      <c r="E61" s="154">
        <f>SUMIF('BASE BID'!E:E,C61,'BASE BID'!P:P)</f>
        <v>32977.395922762502</v>
      </c>
      <c r="F61" s="155">
        <f>SUMIF('BASE BID'!E:E,C61,'BASE BID'!Q:Q)</f>
        <v>43847.635500641583</v>
      </c>
      <c r="G61" s="140">
        <f t="shared" si="5"/>
        <v>1.9034081378987721E-2</v>
      </c>
      <c r="H61" s="17"/>
      <c r="I61" s="17"/>
      <c r="J61" s="356">
        <f t="shared" si="4"/>
        <v>51013.792253815853</v>
      </c>
      <c r="K61" s="357"/>
      <c r="L61" s="358">
        <f t="shared" si="6"/>
        <v>51013.792253815853</v>
      </c>
      <c r="M61" s="355"/>
      <c r="N61" s="295"/>
      <c r="O61" s="295"/>
      <c r="P61" s="295"/>
      <c r="Q61" s="111"/>
      <c r="R61" s="1"/>
      <c r="S61" s="1"/>
    </row>
    <row r="62" spans="1:19" x14ac:dyDescent="0.25">
      <c r="A62" s="118"/>
      <c r="B62" s="17"/>
      <c r="C62" s="306" t="s">
        <v>64</v>
      </c>
      <c r="D62" s="154">
        <f>SUMIF('BASE BID'!E:E,C62,'BASE BID'!N:N)</f>
        <v>33500.984768190894</v>
      </c>
      <c r="E62" s="154">
        <f>SUMIF('BASE BID'!E:E,C62,'BASE BID'!P:P)</f>
        <v>16701.799680147054</v>
      </c>
      <c r="F62" s="155">
        <f>SUMIF('BASE BID'!E:E,C62,'BASE BID'!Q:Q)</f>
        <v>50202.784448337952</v>
      </c>
      <c r="G62" s="140">
        <f t="shared" si="5"/>
        <v>2.1792825855511906E-2</v>
      </c>
      <c r="H62" s="17"/>
      <c r="I62" s="17"/>
      <c r="J62" s="356">
        <f t="shared" si="4"/>
        <v>58514.438513945715</v>
      </c>
      <c r="K62" s="357"/>
      <c r="L62" s="358">
        <f t="shared" si="6"/>
        <v>58514.438513945715</v>
      </c>
      <c r="M62" s="355"/>
      <c r="N62" s="295"/>
      <c r="O62" s="295"/>
      <c r="P62" s="295"/>
      <c r="Q62" s="111"/>
      <c r="R62" s="1"/>
      <c r="S62" s="1"/>
    </row>
    <row r="63" spans="1:19" x14ac:dyDescent="0.25">
      <c r="A63" s="118"/>
      <c r="B63" s="17"/>
      <c r="C63" s="306" t="s">
        <v>155</v>
      </c>
      <c r="D63" s="154">
        <f>SUMIF('BASE BID'!E:E,C63,'BASE BID'!N:N)</f>
        <v>7386.5604715000018</v>
      </c>
      <c r="E63" s="154">
        <f>SUMIF('BASE BID'!E:E,C63,'BASE BID'!P:P)</f>
        <v>20726.827443097405</v>
      </c>
      <c r="F63" s="155">
        <f>SUMIF('BASE BID'!E:E,C63,'BASE BID'!Q:Q)</f>
        <v>28113.387914597402</v>
      </c>
      <c r="G63" s="140">
        <f t="shared" si="5"/>
        <v>1.2203908085252783E-2</v>
      </c>
      <c r="H63" s="17"/>
      <c r="I63" s="17"/>
      <c r="J63" s="356">
        <f t="shared" si="4"/>
        <v>32710.163394040101</v>
      </c>
      <c r="K63" s="357"/>
      <c r="L63" s="358">
        <f t="shared" si="6"/>
        <v>32710.163394040101</v>
      </c>
      <c r="M63" s="355"/>
      <c r="N63" s="295"/>
      <c r="O63" s="295"/>
      <c r="P63" s="295"/>
      <c r="Q63" s="111"/>
      <c r="R63" s="1"/>
      <c r="S63" s="1"/>
    </row>
    <row r="64" spans="1:19" x14ac:dyDescent="0.25">
      <c r="A64" s="118"/>
      <c r="B64" s="17"/>
      <c r="C64" s="306" t="s">
        <v>270</v>
      </c>
      <c r="D64" s="154">
        <f>SUMIF('BASE BID'!E:E,C64,'BASE BID'!N:N)</f>
        <v>24719.011537830222</v>
      </c>
      <c r="E64" s="154">
        <f>SUMIF('BASE BID'!E:E,C64,'BASE BID'!P:P)</f>
        <v>744.29497800000013</v>
      </c>
      <c r="F64" s="155">
        <f>SUMIF('BASE BID'!E:E,C64,'BASE BID'!Q:Q)</f>
        <v>25463.306515830227</v>
      </c>
      <c r="G64" s="140">
        <f t="shared" si="5"/>
        <v>1.1053518459241183E-2</v>
      </c>
      <c r="H64" s="17"/>
      <c r="I64" s="17"/>
      <c r="J64" s="356">
        <f t="shared" si="4"/>
        <v>29718.267233589471</v>
      </c>
      <c r="K64" s="357"/>
      <c r="L64" s="358">
        <f t="shared" si="6"/>
        <v>29718.267233589471</v>
      </c>
      <c r="M64" s="355"/>
      <c r="N64" s="295"/>
      <c r="O64" s="295"/>
      <c r="P64" s="295"/>
      <c r="Q64" s="111"/>
      <c r="R64" s="1"/>
      <c r="S64" s="1"/>
    </row>
    <row r="65" spans="1:19" x14ac:dyDescent="0.25">
      <c r="A65" s="118"/>
      <c r="B65" s="17"/>
      <c r="C65" s="306" t="s">
        <v>289</v>
      </c>
      <c r="D65" s="154">
        <f>SUMIF('BASE BID'!E:E,C65,'BASE BID'!N:N)</f>
        <v>31129.0383068175</v>
      </c>
      <c r="E65" s="154">
        <f>SUMIF('BASE BID'!E:E,C65,'BASE BID'!P:P)</f>
        <v>22445.674008333335</v>
      </c>
      <c r="F65" s="155">
        <f>SUMIF('BASE BID'!E:E,C65,'BASE BID'!Q:Q)</f>
        <v>53574.712315150828</v>
      </c>
      <c r="G65" s="140">
        <f t="shared" si="5"/>
        <v>2.3256566116262197E-2</v>
      </c>
      <c r="H65" s="17"/>
      <c r="I65" s="17"/>
      <c r="J65" s="356">
        <f t="shared" si="4"/>
        <v>62421.171154267511</v>
      </c>
      <c r="K65" s="357"/>
      <c r="L65" s="358">
        <f t="shared" si="6"/>
        <v>62421.171154267511</v>
      </c>
      <c r="M65" s="355"/>
      <c r="N65" s="295"/>
      <c r="O65" s="295"/>
      <c r="P65" s="295"/>
      <c r="Q65" s="111"/>
      <c r="R65" s="1"/>
      <c r="S65" s="1"/>
    </row>
    <row r="66" spans="1:19" x14ac:dyDescent="0.25">
      <c r="A66" s="118"/>
      <c r="B66" s="17"/>
      <c r="C66" s="306" t="s">
        <v>277</v>
      </c>
      <c r="D66" s="154">
        <f>SUMIF('BASE BID'!E:E,C66,'BASE BID'!N:N)</f>
        <v>4406.6814645262493</v>
      </c>
      <c r="E66" s="154">
        <f>SUMIF('BASE BID'!E:E,C66,'BASE BID'!P:P)</f>
        <v>3462.1966666666672</v>
      </c>
      <c r="F66" s="155">
        <f>SUMIF('BASE BID'!E:E,C66,'BASE BID'!Q:Q)</f>
        <v>7868.878131192916</v>
      </c>
      <c r="G66" s="140">
        <f t="shared" si="5"/>
        <v>3.4158481979780007E-3</v>
      </c>
      <c r="H66" s="17"/>
      <c r="I66" s="17"/>
      <c r="J66" s="356">
        <f t="shared" si="4"/>
        <v>9167.3773505515983</v>
      </c>
      <c r="K66" s="357"/>
      <c r="L66" s="358">
        <f t="shared" si="6"/>
        <v>9167.3773505515983</v>
      </c>
      <c r="M66" s="355"/>
      <c r="N66" s="295"/>
      <c r="O66" s="295"/>
      <c r="P66" s="295"/>
      <c r="Q66" s="111"/>
      <c r="R66" s="1"/>
      <c r="S66" s="1"/>
    </row>
    <row r="67" spans="1:19" x14ac:dyDescent="0.25">
      <c r="A67" s="118"/>
      <c r="B67" s="17"/>
      <c r="C67" s="306" t="s">
        <v>293</v>
      </c>
      <c r="D67" s="154">
        <f>SUMIF('BASE BID'!E:E,C67,'BASE BID'!N:N)</f>
        <v>27909.933809567458</v>
      </c>
      <c r="E67" s="154">
        <f>SUMIF('BASE BID'!E:E,C67,'BASE BID'!P:P)</f>
        <v>49082.8594725</v>
      </c>
      <c r="F67" s="155">
        <f>SUMIF('BASE BID'!E:E,C67,'BASE BID'!Q:Q)</f>
        <v>76992.793282067461</v>
      </c>
      <c r="G67" s="140">
        <f t="shared" ref="G67:G76" si="7">F67/F$30</f>
        <v>3.3422260429641817E-2</v>
      </c>
      <c r="H67" s="17"/>
      <c r="I67" s="17"/>
      <c r="J67" s="356">
        <f t="shared" si="4"/>
        <v>89620.742446670294</v>
      </c>
      <c r="K67" s="357"/>
      <c r="L67" s="358">
        <f t="shared" si="6"/>
        <v>89620.742446670294</v>
      </c>
      <c r="M67" s="355"/>
      <c r="N67" s="295"/>
      <c r="O67" s="295"/>
      <c r="P67" s="295"/>
      <c r="Q67" s="111"/>
      <c r="R67" s="1"/>
      <c r="S67" s="1"/>
    </row>
    <row r="68" spans="1:19" x14ac:dyDescent="0.25">
      <c r="A68" s="118"/>
      <c r="B68" s="17"/>
      <c r="C68" s="306" t="s">
        <v>62</v>
      </c>
      <c r="D68" s="154">
        <f>SUMIF('BASE BID'!E:E,C68,'BASE BID'!N:N)</f>
        <v>34162.424760546084</v>
      </c>
      <c r="E68" s="154">
        <f>SUMIF('BASE BID'!E:E,C68,'BASE BID'!P:P)</f>
        <v>41603.095470665423</v>
      </c>
      <c r="F68" s="155">
        <f>SUMIF('BASE BID'!E:E,C68,'BASE BID'!Q:Q)</f>
        <v>75765.520231211514</v>
      </c>
      <c r="G68" s="140">
        <f t="shared" si="7"/>
        <v>3.2889506157774896E-2</v>
      </c>
      <c r="H68" s="17"/>
      <c r="I68" s="17"/>
      <c r="J68" s="356">
        <f t="shared" si="4"/>
        <v>88226.167780367992</v>
      </c>
      <c r="K68" s="357"/>
      <c r="L68" s="358">
        <f t="shared" ref="L68:L76" si="8">J68-K68</f>
        <v>88226.167780367992</v>
      </c>
      <c r="M68" s="355"/>
      <c r="N68" s="295"/>
      <c r="O68" s="295"/>
      <c r="P68" s="295"/>
      <c r="Q68" s="111"/>
      <c r="R68" s="1"/>
      <c r="S68" s="1"/>
    </row>
    <row r="69" spans="1:19" x14ac:dyDescent="0.25">
      <c r="A69" s="118"/>
      <c r="B69" s="17"/>
      <c r="C69" s="306" t="s">
        <v>43</v>
      </c>
      <c r="D69" s="154">
        <f>SUMIF('BASE BID'!E:E,C69,'BASE BID'!N:N)</f>
        <v>9326.5358620487841</v>
      </c>
      <c r="E69" s="154">
        <f>SUMIF('BASE BID'!E:E,C69,'BASE BID'!P:P)</f>
        <v>13083.068060156249</v>
      </c>
      <c r="F69" s="155">
        <f>SUMIF('BASE BID'!E:E,C69,'BASE BID'!Q:Q)</f>
        <v>22409.603922205039</v>
      </c>
      <c r="G69" s="140">
        <f t="shared" si="7"/>
        <v>9.7279185036076073E-3</v>
      </c>
      <c r="H69" s="17"/>
      <c r="I69" s="17"/>
      <c r="J69" s="356">
        <f t="shared" si="4"/>
        <v>26091.21360778853</v>
      </c>
      <c r="K69" s="357"/>
      <c r="L69" s="358">
        <f t="shared" si="8"/>
        <v>26091.21360778853</v>
      </c>
      <c r="M69" s="355"/>
      <c r="N69" s="295"/>
      <c r="O69" s="295"/>
      <c r="P69" s="295"/>
      <c r="Q69" s="111"/>
      <c r="R69" s="1"/>
      <c r="S69" s="1"/>
    </row>
    <row r="70" spans="1:19" x14ac:dyDescent="0.25">
      <c r="A70" s="118"/>
      <c r="B70" s="17"/>
      <c r="C70" s="306" t="s">
        <v>61</v>
      </c>
      <c r="D70" s="154">
        <f>SUMIF('BASE BID'!E:E,C70,'BASE BID'!N:N)</f>
        <v>7153.7281214312816</v>
      </c>
      <c r="E70" s="154">
        <f>SUMIF('BASE BID'!E:E,C70,'BASE BID'!P:P)</f>
        <v>5231.8335075000005</v>
      </c>
      <c r="F70" s="155">
        <f>SUMIF('BASE BID'!E:E,C70,'BASE BID'!Q:Q)</f>
        <v>12385.561628931284</v>
      </c>
      <c r="G70" s="140">
        <f t="shared" si="7"/>
        <v>5.3765222520629711E-3</v>
      </c>
      <c r="H70" s="17"/>
      <c r="I70" s="17"/>
      <c r="J70" s="356">
        <f t="shared" si="4"/>
        <v>14430.495256319475</v>
      </c>
      <c r="K70" s="357"/>
      <c r="L70" s="358">
        <f t="shared" si="8"/>
        <v>14430.495256319475</v>
      </c>
      <c r="M70" s="355"/>
      <c r="N70" s="295"/>
      <c r="O70" s="295"/>
      <c r="P70" s="295"/>
      <c r="Q70" s="111"/>
      <c r="R70" s="1"/>
      <c r="S70" s="1"/>
    </row>
    <row r="71" spans="1:19" x14ac:dyDescent="0.25">
      <c r="A71" s="118"/>
      <c r="B71" s="17"/>
      <c r="C71" s="306" t="s">
        <v>251</v>
      </c>
      <c r="D71" s="154">
        <f>SUMIF('BASE BID'!E:E,C71,'BASE BID'!N:N)</f>
        <v>236.58348577499999</v>
      </c>
      <c r="E71" s="154">
        <f>SUMIF('BASE BID'!E:E,C71,'BASE BID'!P:P)</f>
        <v>715.79577858496521</v>
      </c>
      <c r="F71" s="155">
        <f>SUMIF('BASE BID'!E:E,C71,'BASE BID'!Q:Q)</f>
        <v>952.37926435996519</v>
      </c>
      <c r="G71" s="140">
        <f t="shared" si="7"/>
        <v>4.134239900170396E-4</v>
      </c>
      <c r="H71" s="17"/>
      <c r="I71" s="17"/>
      <c r="J71" s="356">
        <f t="shared" si="4"/>
        <v>1108.0320327478505</v>
      </c>
      <c r="K71" s="357"/>
      <c r="L71" s="358">
        <f t="shared" si="8"/>
        <v>1108.0320327478505</v>
      </c>
      <c r="M71" s="355"/>
      <c r="N71" s="295"/>
      <c r="O71" s="295"/>
      <c r="P71" s="295"/>
      <c r="Q71" s="111"/>
      <c r="R71" s="1"/>
      <c r="S71" s="1"/>
    </row>
    <row r="72" spans="1:19" x14ac:dyDescent="0.25">
      <c r="A72" s="118"/>
      <c r="B72" s="17"/>
      <c r="C72" s="306" t="s">
        <v>58</v>
      </c>
      <c r="D72" s="154">
        <f>SUMIF('BASE BID'!E:E,C72,'BASE BID'!N:N)</f>
        <v>138018.89480728804</v>
      </c>
      <c r="E72" s="154">
        <f>SUMIF('BASE BID'!E:E,C72,'BASE BID'!P:P)</f>
        <v>224355.32869336096</v>
      </c>
      <c r="F72" s="155">
        <f>SUMIF('BASE BID'!E:E,C72,'BASE BID'!Q:Q)</f>
        <v>362374.22350064898</v>
      </c>
      <c r="G72" s="140">
        <f t="shared" si="7"/>
        <v>0.15730518603809121</v>
      </c>
      <c r="H72" s="17"/>
      <c r="I72" s="17"/>
      <c r="J72" s="356">
        <f t="shared" si="4"/>
        <v>421842.70908801368</v>
      </c>
      <c r="K72" s="357"/>
      <c r="L72" s="358">
        <f t="shared" si="8"/>
        <v>421842.70908801368</v>
      </c>
      <c r="M72" s="355"/>
      <c r="N72" s="295"/>
      <c r="O72" s="295"/>
      <c r="P72" s="295"/>
      <c r="Q72" s="111"/>
      <c r="R72" s="1"/>
      <c r="S72" s="1"/>
    </row>
    <row r="73" spans="1:19" x14ac:dyDescent="0.25">
      <c r="A73" s="118"/>
      <c r="B73" s="17"/>
      <c r="C73" s="306" t="s">
        <v>68</v>
      </c>
      <c r="D73" s="154">
        <f>SUMIF('BASE BID'!E:E,C73,'BASE BID'!N:N)</f>
        <v>7056.8234788555337</v>
      </c>
      <c r="E73" s="154">
        <f>SUMIF('BASE BID'!E:E,C73,'BASE BID'!P:P)</f>
        <v>14210.866739999999</v>
      </c>
      <c r="F73" s="155">
        <f>SUMIF('BASE BID'!E:E,C73,'BASE BID'!Q:Q)</f>
        <v>21267.690218855536</v>
      </c>
      <c r="G73" s="140">
        <f t="shared" si="7"/>
        <v>9.2322183795492049E-3</v>
      </c>
      <c r="H73" s="17"/>
      <c r="I73" s="17"/>
      <c r="J73" s="356">
        <f t="shared" si="4"/>
        <v>24752.591259253619</v>
      </c>
      <c r="K73" s="357"/>
      <c r="L73" s="358">
        <f t="shared" si="8"/>
        <v>24752.591259253619</v>
      </c>
      <c r="M73" s="355"/>
      <c r="N73" s="295"/>
      <c r="O73" s="295"/>
      <c r="P73" s="295"/>
      <c r="Q73" s="111"/>
      <c r="R73" s="1"/>
      <c r="S73" s="1"/>
    </row>
    <row r="74" spans="1:19" x14ac:dyDescent="0.25">
      <c r="A74" s="118"/>
      <c r="B74" s="17"/>
      <c r="C74" s="306" t="s">
        <v>77</v>
      </c>
      <c r="D74" s="154">
        <f>SUMIF('BASE BID'!E:E,C74,'BASE BID'!N:N)</f>
        <v>272.05138258593757</v>
      </c>
      <c r="E74" s="154">
        <f>SUMIF('BASE BID'!E:E,C74,'BASE BID'!P:P)</f>
        <v>220.20568181818183</v>
      </c>
      <c r="F74" s="155">
        <f>SUMIF('BASE BID'!E:E,C74,'BASE BID'!Q:Q)</f>
        <v>492.25706440411943</v>
      </c>
      <c r="G74" s="140">
        <f t="shared" si="7"/>
        <v>2.1368680240722469E-4</v>
      </c>
      <c r="H74" s="17"/>
      <c r="I74" s="17"/>
      <c r="J74" s="356">
        <f t="shared" si="4"/>
        <v>573.46951459048103</v>
      </c>
      <c r="K74" s="357"/>
      <c r="L74" s="358">
        <f t="shared" si="8"/>
        <v>573.46951459048103</v>
      </c>
      <c r="M74" s="355"/>
      <c r="N74" s="295"/>
      <c r="O74" s="295"/>
      <c r="P74" s="295"/>
      <c r="Q74" s="111"/>
      <c r="R74" s="1"/>
      <c r="S74" s="1"/>
    </row>
    <row r="75" spans="1:19" x14ac:dyDescent="0.25">
      <c r="A75" s="118"/>
      <c r="B75" s="17"/>
      <c r="C75" s="306" t="s">
        <v>294</v>
      </c>
      <c r="D75" s="154">
        <f>SUMIF('BASE BID'!E:E,C75,'BASE BID'!N:N)</f>
        <v>26448.171231613174</v>
      </c>
      <c r="E75" s="154">
        <f>SUMIF('BASE BID'!E:E,C75,'BASE BID'!P:P)</f>
        <v>55652.312960708339</v>
      </c>
      <c r="F75" s="155">
        <f>SUMIF('BASE BID'!E:E,C75,'BASE BID'!Q:Q)</f>
        <v>82100.484192321514</v>
      </c>
      <c r="G75" s="140">
        <f t="shared" si="7"/>
        <v>3.5639488413191103E-2</v>
      </c>
      <c r="H75" s="17"/>
      <c r="I75" s="17"/>
      <c r="J75" s="356">
        <f t="shared" si="4"/>
        <v>95549.354685211685</v>
      </c>
      <c r="K75" s="357"/>
      <c r="L75" s="358">
        <f t="shared" si="8"/>
        <v>95549.354685211685</v>
      </c>
      <c r="M75" s="410"/>
      <c r="N75" s="411"/>
      <c r="O75" s="411"/>
      <c r="P75" s="411"/>
      <c r="Q75" s="111"/>
      <c r="R75" s="1"/>
      <c r="S75" s="1"/>
    </row>
    <row r="76" spans="1:19" ht="16.5" thickBot="1" x14ac:dyDescent="0.3">
      <c r="A76" s="118"/>
      <c r="B76" s="17"/>
      <c r="C76" s="306" t="s">
        <v>60</v>
      </c>
      <c r="D76" s="154">
        <f>SUMIF('BASE BID'!E:E,C76,'BASE BID'!N:N)</f>
        <v>54978.213412080004</v>
      </c>
      <c r="E76" s="154">
        <f>SUMIF('BASE BID'!E:E,C76,'BASE BID'!P:P)</f>
        <v>113541.83596000001</v>
      </c>
      <c r="F76" s="155">
        <f>SUMIF('BASE BID'!E:E,C76,'BASE BID'!Q:Q)</f>
        <v>168520.04937208004</v>
      </c>
      <c r="G76" s="140">
        <f t="shared" si="7"/>
        <v>7.3153872429273084E-2</v>
      </c>
      <c r="H76" s="17"/>
      <c r="I76" s="17"/>
      <c r="J76" s="356">
        <f t="shared" si="4"/>
        <v>196128.80281206337</v>
      </c>
      <c r="K76" s="357"/>
      <c r="L76" s="358">
        <f t="shared" si="8"/>
        <v>196128.80281206337</v>
      </c>
      <c r="M76" s="412"/>
      <c r="N76" s="413"/>
      <c r="O76" s="413"/>
      <c r="P76" s="413"/>
      <c r="Q76" s="111"/>
      <c r="R76" s="1"/>
      <c r="S76" s="1"/>
    </row>
    <row r="77" spans="1:19" ht="16.5" thickBot="1" x14ac:dyDescent="0.25">
      <c r="A77" s="118"/>
      <c r="B77" s="17"/>
      <c r="C77" s="65" t="s">
        <v>4</v>
      </c>
      <c r="D77" s="66">
        <f>SUM(D44:D76)</f>
        <v>1091246.4791477267</v>
      </c>
      <c r="E77" s="66">
        <f>SUM(E44:E76)</f>
        <v>1212391.6438376196</v>
      </c>
      <c r="F77" s="66">
        <f>SUM(F44:F76)</f>
        <v>2303638.1229853462</v>
      </c>
      <c r="G77" s="151"/>
      <c r="I77" s="17"/>
      <c r="J77" s="351">
        <f>SUM(J44:J76)</f>
        <v>2682768.711462169</v>
      </c>
      <c r="K77" s="352"/>
      <c r="L77" s="353">
        <f>J77-K77</f>
        <v>2682768.711462169</v>
      </c>
      <c r="M77" s="355">
        <f>SUM(M44:M76)</f>
        <v>0</v>
      </c>
      <c r="N77" s="295"/>
      <c r="O77" s="295"/>
      <c r="P77" s="295"/>
      <c r="Q77" s="111"/>
      <c r="R77" s="1"/>
      <c r="S77" s="1"/>
    </row>
    <row r="78" spans="1:19" x14ac:dyDescent="0.2">
      <c r="A78" s="118"/>
      <c r="B78" s="17"/>
      <c r="C78" s="338" t="s">
        <v>171</v>
      </c>
      <c r="D78" s="69">
        <v>0</v>
      </c>
      <c r="E78" s="70">
        <f>E77*H78</f>
        <v>115177.20616457386</v>
      </c>
      <c r="F78" s="70">
        <f>D78+E78</f>
        <v>115177.20616457386</v>
      </c>
      <c r="G78" s="131"/>
      <c r="H78" s="132">
        <f>H31</f>
        <v>9.5000000000000001E-2</v>
      </c>
      <c r="I78" s="17"/>
      <c r="J78" s="110"/>
      <c r="K78" s="110"/>
      <c r="L78" s="110"/>
      <c r="M78" s="110"/>
      <c r="N78" s="110"/>
      <c r="O78" s="110"/>
      <c r="P78" s="110"/>
      <c r="Q78" s="111"/>
      <c r="R78" s="1"/>
      <c r="S78" s="1"/>
    </row>
    <row r="79" spans="1:19" x14ac:dyDescent="0.2">
      <c r="A79" s="118"/>
      <c r="B79" s="17"/>
      <c r="C79" s="67" t="s">
        <v>325</v>
      </c>
      <c r="D79" s="335">
        <v>0</v>
      </c>
      <c r="E79" s="336">
        <f>E77*H79</f>
        <v>60619.582191880982</v>
      </c>
      <c r="F79" s="336">
        <f>D79+E79</f>
        <v>60619.582191880982</v>
      </c>
      <c r="G79" s="131"/>
      <c r="H79" s="132">
        <f t="shared" ref="H79:H81" si="9">H32</f>
        <v>0.05</v>
      </c>
      <c r="I79" s="17"/>
      <c r="J79" s="110"/>
      <c r="K79" s="110"/>
      <c r="L79" s="110"/>
      <c r="M79" s="110"/>
      <c r="N79" s="110"/>
      <c r="O79" s="110"/>
      <c r="P79" s="110"/>
      <c r="Q79" s="111"/>
      <c r="R79" s="1"/>
      <c r="S79" s="1"/>
    </row>
    <row r="80" spans="1:19" ht="16.5" thickBot="1" x14ac:dyDescent="0.25">
      <c r="A80" s="118"/>
      <c r="B80" s="17"/>
      <c r="C80" s="71" t="s">
        <v>333</v>
      </c>
      <c r="D80" s="341">
        <f>D77*H80</f>
        <v>163686.97187215899</v>
      </c>
      <c r="E80" s="339">
        <v>0</v>
      </c>
      <c r="F80" s="339">
        <f>D80+E80</f>
        <v>163686.97187215899</v>
      </c>
      <c r="G80" s="340"/>
      <c r="H80" s="132">
        <f t="shared" si="9"/>
        <v>0.15</v>
      </c>
      <c r="I80" s="17"/>
      <c r="J80" s="110"/>
      <c r="K80" s="110"/>
      <c r="L80" s="110"/>
      <c r="M80" s="110"/>
      <c r="N80" s="110"/>
      <c r="O80" s="110"/>
      <c r="P80" s="110"/>
      <c r="Q80" s="111"/>
      <c r="R80" s="1"/>
      <c r="S80" s="1"/>
    </row>
    <row r="81" spans="1:19" ht="17.25" thickTop="1" thickBot="1" x14ac:dyDescent="0.25">
      <c r="A81" s="118"/>
      <c r="B81" s="17"/>
      <c r="C81" s="83" t="s">
        <v>230</v>
      </c>
      <c r="D81" s="76"/>
      <c r="E81" s="77"/>
      <c r="F81" s="77">
        <f>SUM(F77:F80)*H81</f>
        <v>39646.828248209393</v>
      </c>
      <c r="G81" s="63"/>
      <c r="H81" s="132">
        <f t="shared" si="9"/>
        <v>1.4999999999999999E-2</v>
      </c>
      <c r="I81" s="17"/>
      <c r="J81" s="110"/>
      <c r="K81" s="110"/>
      <c r="L81" s="110"/>
      <c r="M81" s="110"/>
      <c r="N81" s="110"/>
      <c r="O81" s="110"/>
      <c r="P81" s="110"/>
      <c r="Q81" s="111"/>
      <c r="R81" s="1"/>
      <c r="S81" s="1"/>
    </row>
    <row r="82" spans="1:19" ht="16.5" thickBot="1" x14ac:dyDescent="0.25">
      <c r="A82" s="118"/>
      <c r="B82" s="17"/>
      <c r="C82" s="74" t="s">
        <v>96</v>
      </c>
      <c r="D82" s="79"/>
      <c r="E82" s="80"/>
      <c r="F82" s="80">
        <f>F77+F78+F79+F80+F81</f>
        <v>2682768.711462169</v>
      </c>
      <c r="G82" s="64"/>
      <c r="I82" s="17"/>
      <c r="J82" s="110"/>
      <c r="K82" s="110"/>
      <c r="L82" s="110"/>
      <c r="M82" s="110"/>
      <c r="N82" s="110"/>
      <c r="O82" s="110"/>
      <c r="P82" s="110"/>
      <c r="Q82" s="111"/>
      <c r="R82" s="1"/>
      <c r="S82" s="1"/>
    </row>
    <row r="83" spans="1:19" x14ac:dyDescent="0.2">
      <c r="A83" s="133"/>
      <c r="B83" s="17"/>
      <c r="C83" s="17"/>
      <c r="D83" s="18"/>
      <c r="E83" s="16"/>
      <c r="F83" s="16"/>
      <c r="G83" s="16"/>
      <c r="H83" s="17"/>
      <c r="I83" s="17"/>
      <c r="J83" s="110"/>
      <c r="K83" s="110"/>
      <c r="L83" s="110"/>
      <c r="M83" s="110"/>
      <c r="N83" s="110"/>
      <c r="O83" s="110"/>
      <c r="P83" s="110"/>
      <c r="Q83" s="111"/>
      <c r="R83" s="1"/>
      <c r="S83" s="1"/>
    </row>
    <row r="84" spans="1:19" x14ac:dyDescent="0.2">
      <c r="A84" s="133"/>
      <c r="B84" s="17"/>
      <c r="C84" s="17"/>
      <c r="D84" s="18"/>
      <c r="E84" s="16"/>
      <c r="F84" s="16"/>
      <c r="G84" s="16"/>
      <c r="H84" s="17"/>
      <c r="I84" s="17"/>
      <c r="J84" s="110"/>
      <c r="K84" s="110"/>
      <c r="L84" s="110"/>
      <c r="M84" s="110"/>
      <c r="N84" s="110"/>
      <c r="O84" s="110"/>
      <c r="P84" s="110"/>
      <c r="Q84" s="111"/>
      <c r="R84" s="1"/>
      <c r="S84" s="1"/>
    </row>
    <row r="85" spans="1:19" x14ac:dyDescent="0.2">
      <c r="A85" s="134"/>
      <c r="B85" s="135"/>
      <c r="C85" s="135"/>
      <c r="D85" s="136"/>
      <c r="E85" s="137"/>
      <c r="F85" s="137"/>
      <c r="G85" s="137"/>
      <c r="H85" s="135"/>
      <c r="I85" s="135"/>
      <c r="J85" s="138"/>
      <c r="K85" s="138"/>
      <c r="L85" s="138"/>
      <c r="M85" s="138"/>
      <c r="N85" s="138"/>
      <c r="O85" s="138"/>
      <c r="P85" s="138"/>
      <c r="Q85" s="139"/>
      <c r="R85" s="1"/>
      <c r="S85" s="1"/>
    </row>
    <row r="86" spans="1:19" x14ac:dyDescent="0.2">
      <c r="R86" s="1"/>
      <c r="S86" s="1"/>
    </row>
    <row r="87" spans="1:19" x14ac:dyDescent="0.2">
      <c r="R87" s="1"/>
      <c r="S87" s="1"/>
    </row>
  </sheetData>
  <sortState ref="B38:C129">
    <sortCondition ref="B38:B129"/>
  </sortState>
  <mergeCells count="13">
    <mergeCell ref="N43:P43"/>
    <mergeCell ref="N17:P17"/>
    <mergeCell ref="J41:L42"/>
    <mergeCell ref="J39:L40"/>
    <mergeCell ref="C41:G42"/>
    <mergeCell ref="A2:Q2"/>
    <mergeCell ref="B9:C9"/>
    <mergeCell ref="B10:C10"/>
    <mergeCell ref="B15:G16"/>
    <mergeCell ref="J13:L14"/>
    <mergeCell ref="J15:L16"/>
    <mergeCell ref="B11:C11"/>
    <mergeCell ref="B12:D12"/>
  </mergeCells>
  <phoneticPr fontId="57" type="noConversion"/>
  <conditionalFormatting sqref="D10">
    <cfRule type="expression" dxfId="1" priority="6" stopIfTrue="1">
      <formula>$D$10&lt;&gt;SUM(#REF!)</formula>
    </cfRule>
  </conditionalFormatting>
  <conditionalFormatting sqref="D11">
    <cfRule type="expression" dxfId="0" priority="1" stopIfTrue="1">
      <formula>$D$10&lt;&gt;SUM(#REF!)</formula>
    </cfRule>
  </conditionalFormatting>
  <hyperlinks>
    <hyperlink ref="B10:C10" location="'BASE BID'!A1" display="Base bid"/>
    <hyperlink ref="B11" location="'HOURLY RATES'!A1" display="Hourly Rates"/>
  </hyperlinks>
  <printOptions horizontalCentered="1"/>
  <pageMargins left="0.43307086614173201" right="0.43307086614173201" top="0.39370078740157499" bottom="0.39370078740157499" header="0.196850393700787" footer="0.196850393700787"/>
  <pageSetup paperSize="9" scale="36" orientation="portrait" r:id="rId1"/>
  <headerFooter>
    <oddFooter>&amp;C&amp;P of &amp;N</oddFooter>
  </headerFooter>
  <rowBreaks count="1" manualBreakCount="1">
    <brk id="37" max="14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0"/>
  </sheetPr>
  <dimension ref="A1:Y838"/>
  <sheetViews>
    <sheetView tabSelected="1" zoomScale="60" zoomScaleNormal="60" zoomScaleSheetLayoutView="40" workbookViewId="0">
      <pane ySplit="1" topLeftCell="A803" activePane="bottomLeft" state="frozen"/>
      <selection pane="bottomLeft" activeCell="F809" sqref="F809"/>
    </sheetView>
  </sheetViews>
  <sheetFormatPr defaultColWidth="8.88671875" defaultRowHeight="15.75" x14ac:dyDescent="0.2"/>
  <cols>
    <col min="1" max="1" width="5.33203125" style="6" customWidth="1"/>
    <col min="2" max="2" width="16.77734375" style="6" customWidth="1"/>
    <col min="3" max="3" width="15" style="6" customWidth="1"/>
    <col min="4" max="4" width="7.77734375" style="6" customWidth="1"/>
    <col min="5" max="5" width="21.33203125" style="6" customWidth="1"/>
    <col min="6" max="6" width="67.88671875" style="8" customWidth="1"/>
    <col min="7" max="7" width="10.77734375" style="7" customWidth="1"/>
    <col min="8" max="8" width="10.21875" style="7" customWidth="1"/>
    <col min="9" max="9" width="13.44140625" style="7" customWidth="1"/>
    <col min="10" max="10" width="10" style="6" customWidth="1"/>
    <col min="11" max="11" width="12.109375" style="6" customWidth="1"/>
    <col min="12" max="12" width="13.21875" style="6" customWidth="1"/>
    <col min="13" max="13" width="12.109375" style="8" customWidth="1"/>
    <col min="14" max="14" width="11.44140625" style="8" customWidth="1"/>
    <col min="15" max="15" width="12.109375" style="8" customWidth="1"/>
    <col min="16" max="16" width="14" style="8" customWidth="1"/>
    <col min="17" max="17" width="15" style="8" customWidth="1"/>
    <col min="18" max="18" width="15.88671875" style="1" customWidth="1"/>
    <col min="19" max="19" width="13.6640625" style="1" customWidth="1"/>
    <col min="20" max="23" width="8.88671875" style="1"/>
    <col min="24" max="24" width="8.88671875" style="324"/>
    <col min="25" max="16384" width="8.88671875" style="1"/>
  </cols>
  <sheetData>
    <row r="1" spans="1:25" s="5" customFormat="1" ht="48" thickBot="1" x14ac:dyDescent="0.25">
      <c r="A1" s="467" t="s">
        <v>2</v>
      </c>
      <c r="B1" s="468" t="s">
        <v>10</v>
      </c>
      <c r="C1" s="468" t="s">
        <v>15</v>
      </c>
      <c r="D1" s="468" t="s">
        <v>11</v>
      </c>
      <c r="E1" s="468" t="s">
        <v>57</v>
      </c>
      <c r="F1" s="469" t="s">
        <v>1</v>
      </c>
      <c r="G1" s="469" t="s">
        <v>3</v>
      </c>
      <c r="H1" s="469" t="s">
        <v>13</v>
      </c>
      <c r="I1" s="469" t="s">
        <v>12</v>
      </c>
      <c r="J1" s="468" t="s">
        <v>0</v>
      </c>
      <c r="K1" s="468" t="s">
        <v>31</v>
      </c>
      <c r="L1" s="468" t="s">
        <v>32</v>
      </c>
      <c r="M1" s="468" t="s">
        <v>56</v>
      </c>
      <c r="N1" s="468" t="s">
        <v>23</v>
      </c>
      <c r="O1" s="468" t="s">
        <v>14</v>
      </c>
      <c r="P1" s="468" t="s">
        <v>22</v>
      </c>
      <c r="Q1" s="468" t="s">
        <v>5</v>
      </c>
      <c r="R1" s="470" t="s">
        <v>97</v>
      </c>
      <c r="S1" s="4"/>
      <c r="T1" s="4"/>
      <c r="U1" s="4"/>
      <c r="V1" s="4"/>
      <c r="W1" s="4"/>
      <c r="X1" s="322"/>
      <c r="Y1" s="4"/>
    </row>
    <row r="2" spans="1:25" s="3" customFormat="1" ht="26.25" thickBot="1" x14ac:dyDescent="0.4">
      <c r="A2" s="471" t="s">
        <v>6</v>
      </c>
      <c r="B2" s="472"/>
      <c r="C2" s="472"/>
      <c r="D2" s="472"/>
      <c r="E2" s="472"/>
      <c r="F2" s="472"/>
      <c r="G2" s="472"/>
      <c r="H2" s="472"/>
      <c r="I2" s="472"/>
      <c r="J2" s="472"/>
      <c r="K2" s="472"/>
      <c r="L2" s="472"/>
      <c r="M2" s="472"/>
      <c r="N2" s="472"/>
      <c r="O2" s="472"/>
      <c r="P2" s="472"/>
      <c r="Q2" s="472"/>
      <c r="R2" s="473"/>
      <c r="X2" s="323"/>
    </row>
    <row r="3" spans="1:25" ht="21" thickBot="1" x14ac:dyDescent="0.35">
      <c r="A3" s="181"/>
      <c r="B3" s="451" t="s">
        <v>308</v>
      </c>
      <c r="C3" s="451"/>
      <c r="D3" s="451"/>
      <c r="E3" s="451"/>
      <c r="F3" s="121"/>
      <c r="G3" s="16"/>
      <c r="H3" s="16"/>
      <c r="I3" s="16"/>
      <c r="J3" s="16"/>
      <c r="K3" s="16"/>
      <c r="L3" s="16"/>
      <c r="M3" s="16"/>
      <c r="N3" s="110"/>
      <c r="O3" s="110"/>
      <c r="P3" s="110"/>
      <c r="Q3" s="110"/>
      <c r="R3" s="182"/>
    </row>
    <row r="4" spans="1:25" ht="23.25" x14ac:dyDescent="0.3">
      <c r="A4" s="181"/>
      <c r="B4" s="96"/>
      <c r="C4" s="38"/>
      <c r="D4" s="143" t="s">
        <v>94</v>
      </c>
      <c r="E4" s="144">
        <f>Q814</f>
        <v>2303638.1229853467</v>
      </c>
      <c r="F4" s="104"/>
      <c r="G4" s="54"/>
      <c r="H4" s="96"/>
      <c r="I4" s="107"/>
      <c r="J4" s="31" t="s">
        <v>7</v>
      </c>
      <c r="K4" s="90">
        <v>44841</v>
      </c>
      <c r="L4" s="108"/>
      <c r="M4" s="97"/>
      <c r="N4" s="97"/>
      <c r="O4" s="97"/>
      <c r="P4" s="97"/>
      <c r="Q4" s="104"/>
      <c r="R4" s="183"/>
    </row>
    <row r="5" spans="1:25" ht="20.25" x14ac:dyDescent="0.3">
      <c r="A5" s="181"/>
      <c r="B5" s="98"/>
      <c r="C5" s="39" t="s">
        <v>95</v>
      </c>
      <c r="D5" s="40">
        <v>9.5000000000000001E-2</v>
      </c>
      <c r="E5" s="41">
        <f>P814*D5</f>
        <v>115177.20616457376</v>
      </c>
      <c r="F5" s="42" t="s">
        <v>278</v>
      </c>
      <c r="G5" s="54"/>
      <c r="H5" s="98"/>
      <c r="I5" s="102"/>
      <c r="J5" s="33" t="s">
        <v>8</v>
      </c>
      <c r="K5" s="91"/>
      <c r="L5" s="32"/>
      <c r="M5" s="95"/>
      <c r="N5" s="95"/>
      <c r="O5" s="95"/>
      <c r="P5" s="95"/>
      <c r="Q5" s="105"/>
      <c r="R5" s="183"/>
    </row>
    <row r="6" spans="1:25" ht="20.25" x14ac:dyDescent="0.3">
      <c r="A6" s="181"/>
      <c r="B6" s="98"/>
      <c r="C6" s="39" t="s">
        <v>324</v>
      </c>
      <c r="D6" s="327">
        <v>0.05</v>
      </c>
      <c r="E6" s="41">
        <f>P814*D6</f>
        <v>60619.582191880923</v>
      </c>
      <c r="F6" s="42" t="s">
        <v>93</v>
      </c>
      <c r="G6" s="54"/>
      <c r="H6" s="98"/>
      <c r="I6" s="102"/>
      <c r="J6" s="33" t="s">
        <v>9</v>
      </c>
      <c r="K6" s="92"/>
      <c r="L6" s="32"/>
      <c r="M6" s="95"/>
      <c r="N6" s="95"/>
      <c r="O6" s="95"/>
      <c r="P6" s="95"/>
      <c r="Q6" s="105"/>
      <c r="R6" s="183"/>
    </row>
    <row r="7" spans="1:25" ht="20.25" x14ac:dyDescent="0.3">
      <c r="A7" s="181"/>
      <c r="B7" s="98"/>
      <c r="C7" s="39" t="s">
        <v>323</v>
      </c>
      <c r="D7" s="43">
        <v>0.15</v>
      </c>
      <c r="E7" s="44">
        <f>N814*D7</f>
        <v>163686.97187215899</v>
      </c>
      <c r="F7" s="42" t="s">
        <v>93</v>
      </c>
      <c r="G7" s="54"/>
      <c r="H7" s="98"/>
      <c r="I7" s="102"/>
      <c r="J7" s="33" t="s">
        <v>71</v>
      </c>
      <c r="K7" s="93"/>
      <c r="L7" s="32"/>
      <c r="M7" s="95"/>
      <c r="N7" s="95"/>
      <c r="O7" s="95"/>
      <c r="P7" s="95"/>
      <c r="Q7" s="105"/>
      <c r="R7" s="183"/>
    </row>
    <row r="8" spans="1:25" ht="21" thickBot="1" x14ac:dyDescent="0.35">
      <c r="A8" s="181"/>
      <c r="B8" s="98"/>
      <c r="C8" s="52" t="s">
        <v>230</v>
      </c>
      <c r="D8" s="45">
        <v>1.4999999999999999E-2</v>
      </c>
      <c r="E8" s="46">
        <f>(E4+E5+E6+E7)*D8</f>
        <v>39646.8282482094</v>
      </c>
      <c r="F8" s="42" t="s">
        <v>231</v>
      </c>
      <c r="G8" s="54"/>
      <c r="H8" s="98"/>
      <c r="I8" s="102"/>
      <c r="J8" s="33"/>
      <c r="K8" s="93"/>
      <c r="L8" s="32"/>
      <c r="M8" s="95"/>
      <c r="N8" s="95"/>
      <c r="O8" s="95"/>
      <c r="P8" s="95"/>
      <c r="Q8" s="105"/>
      <c r="R8" s="183"/>
    </row>
    <row r="9" spans="1:25" ht="27.75" thickTop="1" thickBot="1" x14ac:dyDescent="0.35">
      <c r="A9" s="181"/>
      <c r="B9" s="99"/>
      <c r="C9" s="47"/>
      <c r="D9" s="48" t="s">
        <v>90</v>
      </c>
      <c r="E9" s="49">
        <f>E4+E5+E6+E7+E8</f>
        <v>2682768.7114621694</v>
      </c>
      <c r="F9" s="106"/>
      <c r="G9" s="54"/>
      <c r="H9" s="98"/>
      <c r="I9" s="102"/>
      <c r="J9" s="34" t="s">
        <v>160</v>
      </c>
      <c r="K9" s="360">
        <v>10659</v>
      </c>
      <c r="L9" s="32"/>
      <c r="M9" s="95"/>
      <c r="N9" s="95"/>
      <c r="O9" s="95"/>
      <c r="P9" s="95"/>
      <c r="Q9" s="105"/>
      <c r="R9" s="183"/>
    </row>
    <row r="10" spans="1:25" ht="19.5" thickBot="1" x14ac:dyDescent="0.35">
      <c r="A10" s="181"/>
      <c r="B10" s="16"/>
      <c r="C10" s="16"/>
      <c r="D10" s="16"/>
      <c r="E10" s="16"/>
      <c r="F10" s="16"/>
      <c r="G10" s="54"/>
      <c r="H10" s="98"/>
      <c r="I10" s="102"/>
      <c r="J10" s="34" t="s">
        <v>161</v>
      </c>
      <c r="K10" s="361">
        <v>10659</v>
      </c>
      <c r="L10" s="32"/>
      <c r="M10" s="95"/>
      <c r="N10" s="95"/>
      <c r="O10" s="95"/>
      <c r="P10" s="95"/>
      <c r="Q10" s="105"/>
      <c r="R10" s="183"/>
    </row>
    <row r="11" spans="1:25" ht="18.75" x14ac:dyDescent="0.3">
      <c r="A11" s="181"/>
      <c r="B11" s="96"/>
      <c r="C11" s="51" t="s">
        <v>88</v>
      </c>
      <c r="D11" s="145">
        <v>0</v>
      </c>
      <c r="E11" s="148" t="s">
        <v>122</v>
      </c>
      <c r="F11" s="104"/>
      <c r="G11" s="54"/>
      <c r="H11" s="98"/>
      <c r="I11" s="102"/>
      <c r="J11" s="35" t="s">
        <v>86</v>
      </c>
      <c r="K11" s="361"/>
      <c r="L11" s="32"/>
      <c r="M11" s="95"/>
      <c r="N11" s="95"/>
      <c r="O11" s="95"/>
      <c r="P11" s="95"/>
      <c r="Q11" s="105"/>
      <c r="R11" s="183"/>
    </row>
    <row r="12" spans="1:25" ht="18.75" x14ac:dyDescent="0.3">
      <c r="A12" s="181"/>
      <c r="B12" s="98"/>
      <c r="C12" s="50" t="s">
        <v>89</v>
      </c>
      <c r="D12" s="146">
        <v>0.05</v>
      </c>
      <c r="E12" s="149" t="s">
        <v>283</v>
      </c>
      <c r="F12" s="105"/>
      <c r="G12" s="54"/>
      <c r="H12" s="98"/>
      <c r="I12" s="102"/>
      <c r="J12" s="35" t="s">
        <v>87</v>
      </c>
      <c r="K12" s="361">
        <v>1</v>
      </c>
      <c r="L12" s="32"/>
      <c r="M12" s="95"/>
      <c r="N12" s="95"/>
      <c r="O12" s="95"/>
      <c r="P12" s="95"/>
      <c r="Q12" s="105"/>
      <c r="R12" s="183"/>
    </row>
    <row r="13" spans="1:25" ht="19.5" thickBot="1" x14ac:dyDescent="0.35">
      <c r="A13" s="181"/>
      <c r="B13" s="53" t="s">
        <v>279</v>
      </c>
      <c r="C13" s="101"/>
      <c r="D13" s="101"/>
      <c r="E13" s="103"/>
      <c r="F13" s="106"/>
      <c r="G13" s="54"/>
      <c r="H13" s="98"/>
      <c r="I13" s="102"/>
      <c r="J13" s="34" t="s">
        <v>163</v>
      </c>
      <c r="K13" s="361"/>
      <c r="L13" s="32"/>
      <c r="M13" s="95"/>
      <c r="N13" s="95"/>
      <c r="O13" s="95"/>
      <c r="P13" s="95"/>
      <c r="Q13" s="105"/>
      <c r="R13" s="183"/>
    </row>
    <row r="14" spans="1:25" ht="21" thickBot="1" x14ac:dyDescent="0.35">
      <c r="A14" s="181"/>
      <c r="B14" s="14"/>
      <c r="C14" s="14"/>
      <c r="D14" s="17"/>
      <c r="E14" s="17"/>
      <c r="F14" s="121"/>
      <c r="G14" s="54"/>
      <c r="H14" s="98"/>
      <c r="I14" s="102"/>
      <c r="J14" s="34" t="s">
        <v>164</v>
      </c>
      <c r="K14" s="361"/>
      <c r="L14" s="32"/>
      <c r="M14" s="95"/>
      <c r="N14" s="95"/>
      <c r="O14" s="95"/>
      <c r="P14" s="95"/>
      <c r="Q14" s="105"/>
      <c r="R14" s="183"/>
    </row>
    <row r="15" spans="1:25" ht="21" thickBot="1" x14ac:dyDescent="0.35">
      <c r="A15" s="181"/>
      <c r="B15" s="116" t="s">
        <v>263</v>
      </c>
      <c r="C15" s="113"/>
      <c r="D15" s="114"/>
      <c r="E15" s="114"/>
      <c r="F15" s="115"/>
      <c r="G15" s="54"/>
      <c r="H15" s="99"/>
      <c r="I15" s="109"/>
      <c r="J15" s="37"/>
      <c r="K15" s="94"/>
      <c r="L15" s="36"/>
      <c r="M15" s="100"/>
      <c r="N15" s="100"/>
      <c r="O15" s="100"/>
      <c r="P15" s="100"/>
      <c r="Q15" s="106"/>
      <c r="R15" s="183"/>
    </row>
    <row r="16" spans="1:25" ht="16.5" customHeight="1" thickBot="1" x14ac:dyDescent="0.25">
      <c r="A16" s="181"/>
      <c r="B16" s="17"/>
      <c r="C16" s="17"/>
      <c r="D16" s="17"/>
      <c r="E16" s="450"/>
      <c r="F16" s="450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84"/>
    </row>
    <row r="17" spans="1:25" s="5" customFormat="1" ht="48" thickBot="1" x14ac:dyDescent="0.25">
      <c r="A17" s="467" t="s">
        <v>2</v>
      </c>
      <c r="B17" s="468" t="s">
        <v>10</v>
      </c>
      <c r="C17" s="468" t="s">
        <v>15</v>
      </c>
      <c r="D17" s="468" t="s">
        <v>11</v>
      </c>
      <c r="E17" s="468" t="s">
        <v>57</v>
      </c>
      <c r="F17" s="469" t="s">
        <v>1</v>
      </c>
      <c r="G17" s="469" t="s">
        <v>3</v>
      </c>
      <c r="H17" s="469" t="s">
        <v>13</v>
      </c>
      <c r="I17" s="469" t="s">
        <v>12</v>
      </c>
      <c r="J17" s="468" t="s">
        <v>0</v>
      </c>
      <c r="K17" s="468" t="s">
        <v>31</v>
      </c>
      <c r="L17" s="468" t="s">
        <v>32</v>
      </c>
      <c r="M17" s="468" t="s">
        <v>56</v>
      </c>
      <c r="N17" s="468" t="s">
        <v>23</v>
      </c>
      <c r="O17" s="468" t="s">
        <v>14</v>
      </c>
      <c r="P17" s="468" t="s">
        <v>22</v>
      </c>
      <c r="Q17" s="469" t="s">
        <v>5</v>
      </c>
      <c r="R17" s="474" t="s">
        <v>97</v>
      </c>
      <c r="S17" s="1"/>
      <c r="T17" s="4"/>
      <c r="U17" s="4"/>
      <c r="V17" s="4"/>
      <c r="W17" s="4"/>
      <c r="X17" s="322"/>
      <c r="Y17" s="4"/>
    </row>
    <row r="18" spans="1:25" s="12" customFormat="1" ht="20.100000000000001" customHeight="1" x14ac:dyDescent="0.2">
      <c r="A18" s="475"/>
      <c r="B18" s="476"/>
      <c r="C18" s="476"/>
      <c r="D18" s="476" t="s">
        <v>20</v>
      </c>
      <c r="E18" s="476"/>
      <c r="F18" s="477" t="s">
        <v>162</v>
      </c>
      <c r="G18" s="478"/>
      <c r="H18" s="479"/>
      <c r="I18" s="479"/>
      <c r="J18" s="479"/>
      <c r="K18" s="479"/>
      <c r="L18" s="479"/>
      <c r="M18" s="479"/>
      <c r="N18" s="479"/>
      <c r="O18" s="479"/>
      <c r="P18" s="479"/>
      <c r="Q18" s="479"/>
      <c r="R18" s="480">
        <f>SUM(Q19:Q65)</f>
        <v>208326.43562101811</v>
      </c>
      <c r="S18" s="1"/>
      <c r="X18" s="257"/>
    </row>
    <row r="19" spans="1:25" s="12" customFormat="1" x14ac:dyDescent="0.2">
      <c r="A19" s="187"/>
      <c r="B19" s="142"/>
      <c r="C19" s="142"/>
      <c r="D19" s="142"/>
      <c r="E19" s="142"/>
      <c r="F19" s="188"/>
      <c r="G19" s="189"/>
      <c r="H19" s="190"/>
      <c r="I19" s="191"/>
      <c r="J19" s="192"/>
      <c r="K19" s="193"/>
      <c r="L19" s="192"/>
      <c r="M19" s="194"/>
      <c r="N19" s="195"/>
      <c r="O19" s="196"/>
      <c r="P19" s="197"/>
      <c r="Q19" s="198"/>
      <c r="R19" s="199"/>
      <c r="S19" s="1"/>
      <c r="X19" s="257"/>
    </row>
    <row r="20" spans="1:25" s="12" customFormat="1" x14ac:dyDescent="0.2">
      <c r="A20" s="200"/>
      <c r="B20" s="201"/>
      <c r="C20" s="201"/>
      <c r="D20" s="201"/>
      <c r="E20" s="201"/>
      <c r="F20" s="202" t="s">
        <v>101</v>
      </c>
      <c r="G20" s="189"/>
      <c r="H20" s="190"/>
      <c r="I20" s="317"/>
      <c r="J20" s="192"/>
      <c r="K20" s="193"/>
      <c r="L20" s="203"/>
      <c r="M20" s="194"/>
      <c r="N20" s="195"/>
      <c r="O20" s="196"/>
      <c r="P20" s="197"/>
      <c r="Q20" s="198"/>
      <c r="R20" s="199"/>
      <c r="S20" s="1"/>
      <c r="X20" s="257"/>
    </row>
    <row r="21" spans="1:25" s="12" customFormat="1" x14ac:dyDescent="0.2">
      <c r="A21" s="204">
        <f>IF(J21&lt;&gt;"",1+MAX($A$18:A19),"")</f>
        <v>1</v>
      </c>
      <c r="B21" s="201"/>
      <c r="C21" s="201"/>
      <c r="D21" s="201" t="s">
        <v>20</v>
      </c>
      <c r="E21" s="201" t="s">
        <v>238</v>
      </c>
      <c r="F21" s="188" t="s">
        <v>303</v>
      </c>
      <c r="G21" s="310">
        <v>1</v>
      </c>
      <c r="H21" s="205">
        <f>IF(VLOOKUP(J21,'HOURLY RATES'!B$116:C$124,2,0)=0,$J$3,VLOOKUP(J21,'HOURLY RATES'!B$116:C$124,2,0))</f>
        <v>0</v>
      </c>
      <c r="I21" s="317">
        <f>(G21*(1+H21))</f>
        <v>1</v>
      </c>
      <c r="J21" s="192" t="s">
        <v>18</v>
      </c>
      <c r="K21" s="193"/>
      <c r="L21" s="203">
        <f>K21*I21</f>
        <v>0</v>
      </c>
      <c r="M21" s="194">
        <f>IF(VLOOKUP(E21,'HOURLY RATES'!C$6:D$105,2,0)=0,$E$3,VLOOKUP(E21,'HOURLY RATES'!C$6:D$105,2,0))</f>
        <v>60</v>
      </c>
      <c r="N21" s="206">
        <f>M21*L21</f>
        <v>0</v>
      </c>
      <c r="O21" s="196"/>
      <c r="P21" s="223"/>
      <c r="Q21" s="198">
        <f>P21+N21</f>
        <v>0</v>
      </c>
      <c r="R21" s="199"/>
      <c r="S21" s="1"/>
      <c r="X21" s="257"/>
    </row>
    <row r="22" spans="1:25" s="12" customFormat="1" x14ac:dyDescent="0.2">
      <c r="A22" s="204">
        <f>IF(J22&lt;&gt;"",1+MAX($A$18:A21),"")</f>
        <v>2</v>
      </c>
      <c r="B22" s="201"/>
      <c r="C22" s="201"/>
      <c r="D22" s="201" t="s">
        <v>20</v>
      </c>
      <c r="E22" s="201" t="s">
        <v>238</v>
      </c>
      <c r="F22" s="188" t="s">
        <v>157</v>
      </c>
      <c r="G22" s="310">
        <v>1</v>
      </c>
      <c r="H22" s="205">
        <f>IF(VLOOKUP(J22,'HOURLY RATES'!B$116:C$124,2,0)=0,$J$3,VLOOKUP(J22,'HOURLY RATES'!B$116:C$124,2,0))</f>
        <v>0</v>
      </c>
      <c r="I22" s="317">
        <f t="shared" ref="I22:I31" si="0">(G22*(1+H22))</f>
        <v>1</v>
      </c>
      <c r="J22" s="192" t="s">
        <v>18</v>
      </c>
      <c r="K22" s="193"/>
      <c r="L22" s="203">
        <f t="shared" ref="L22:L65" si="1">K22*I22</f>
        <v>0</v>
      </c>
      <c r="M22" s="194">
        <f>IF(VLOOKUP(E22,'HOURLY RATES'!C$6:D$105,2,0)=0,$E$3,VLOOKUP(E22,'HOURLY RATES'!C$6:D$105,2,0))</f>
        <v>60</v>
      </c>
      <c r="N22" s="206">
        <f t="shared" ref="N22:N65" si="2">M22*L22</f>
        <v>0</v>
      </c>
      <c r="O22" s="196"/>
      <c r="P22" s="197"/>
      <c r="Q22" s="198">
        <f t="shared" ref="Q22:Q65" si="3">P22+N22</f>
        <v>0</v>
      </c>
      <c r="R22" s="199"/>
      <c r="S22" s="1"/>
      <c r="X22" s="257"/>
    </row>
    <row r="23" spans="1:25" s="12" customFormat="1" x14ac:dyDescent="0.2">
      <c r="A23" s="204">
        <f>IF(J23&lt;&gt;"",1+MAX($A$18:A22),"")</f>
        <v>3</v>
      </c>
      <c r="B23" s="201"/>
      <c r="C23" s="201"/>
      <c r="D23" s="201" t="s">
        <v>20</v>
      </c>
      <c r="E23" s="201" t="s">
        <v>238</v>
      </c>
      <c r="F23" s="188" t="s">
        <v>98</v>
      </c>
      <c r="G23" s="310">
        <v>1</v>
      </c>
      <c r="H23" s="205">
        <f>IF(VLOOKUP(J23,'HOURLY RATES'!B$116:C$124,2,0)=0,$J$3,VLOOKUP(J23,'HOURLY RATES'!B$116:C$124,2,0))</f>
        <v>0</v>
      </c>
      <c r="I23" s="317">
        <f t="shared" si="0"/>
        <v>1</v>
      </c>
      <c r="J23" s="192" t="s">
        <v>18</v>
      </c>
      <c r="K23" s="193"/>
      <c r="L23" s="203">
        <f t="shared" si="1"/>
        <v>0</v>
      </c>
      <c r="M23" s="194">
        <f>IF(VLOOKUP(E23,'HOURLY RATES'!C$6:D$105,2,0)=0,$E$3,VLOOKUP(E23,'HOURLY RATES'!C$6:D$105,2,0))</f>
        <v>60</v>
      </c>
      <c r="N23" s="206">
        <f t="shared" si="2"/>
        <v>0</v>
      </c>
      <c r="O23" s="207"/>
      <c r="P23" s="197"/>
      <c r="Q23" s="198">
        <f t="shared" si="3"/>
        <v>0</v>
      </c>
      <c r="R23" s="199"/>
      <c r="S23" s="1"/>
      <c r="X23" s="257"/>
    </row>
    <row r="24" spans="1:25" s="12" customFormat="1" x14ac:dyDescent="0.2">
      <c r="A24" s="204">
        <f>IF(J24&lt;&gt;"",1+MAX($A$18:A23),"")</f>
        <v>4</v>
      </c>
      <c r="B24" s="201"/>
      <c r="C24" s="201"/>
      <c r="D24" s="201" t="s">
        <v>20</v>
      </c>
      <c r="E24" s="255" t="s">
        <v>238</v>
      </c>
      <c r="F24" s="188" t="s">
        <v>158</v>
      </c>
      <c r="G24" s="310">
        <v>1</v>
      </c>
      <c r="H24" s="205">
        <f>IF(VLOOKUP(J24,'HOURLY RATES'!B$116:C$124,2,0)=0,$J$3,VLOOKUP(J24,'HOURLY RATES'!B$116:C$124,2,0))</f>
        <v>0</v>
      </c>
      <c r="I24" s="317">
        <f t="shared" si="0"/>
        <v>1</v>
      </c>
      <c r="J24" s="192" t="s">
        <v>18</v>
      </c>
      <c r="K24" s="193"/>
      <c r="L24" s="203">
        <f t="shared" si="1"/>
        <v>0</v>
      </c>
      <c r="M24" s="194">
        <f>IF(VLOOKUP(E24,'HOURLY RATES'!C$6:D$105,2,0)=0,$E$3,VLOOKUP(E24,'HOURLY RATES'!C$6:D$105,2,0))</f>
        <v>60</v>
      </c>
      <c r="N24" s="206">
        <f t="shared" si="2"/>
        <v>0</v>
      </c>
      <c r="O24" s="196"/>
      <c r="P24" s="197"/>
      <c r="Q24" s="198">
        <f t="shared" si="3"/>
        <v>0</v>
      </c>
      <c r="R24" s="199"/>
      <c r="S24" s="1"/>
      <c r="X24" s="257"/>
    </row>
    <row r="25" spans="1:25" s="12" customFormat="1" x14ac:dyDescent="0.2">
      <c r="A25" s="204">
        <f>IF(J25&lt;&gt;"",1+MAX($A$18:A24),"")</f>
        <v>5</v>
      </c>
      <c r="B25" s="201"/>
      <c r="C25" s="201"/>
      <c r="D25" s="201" t="s">
        <v>20</v>
      </c>
      <c r="E25" s="255" t="s">
        <v>238</v>
      </c>
      <c r="F25" s="188" t="s">
        <v>284</v>
      </c>
      <c r="G25" s="310">
        <v>1</v>
      </c>
      <c r="H25" s="205">
        <f>IF(VLOOKUP(J25,'HOURLY RATES'!B$116:C$124,2,0)=0,$J$3,VLOOKUP(J25,'HOURLY RATES'!B$116:C$124,2,0))</f>
        <v>0</v>
      </c>
      <c r="I25" s="317">
        <f t="shared" si="0"/>
        <v>1</v>
      </c>
      <c r="J25" s="192" t="s">
        <v>18</v>
      </c>
      <c r="K25" s="193"/>
      <c r="L25" s="203">
        <f t="shared" si="1"/>
        <v>0</v>
      </c>
      <c r="M25" s="194">
        <f>IF(VLOOKUP(E25,'HOURLY RATES'!C$6:D$105,2,0)=0,$E$3,VLOOKUP(E25,'HOURLY RATES'!C$6:D$105,2,0))</f>
        <v>60</v>
      </c>
      <c r="N25" s="206">
        <f t="shared" si="2"/>
        <v>0</v>
      </c>
      <c r="O25" s="196"/>
      <c r="P25" s="197"/>
      <c r="Q25" s="198">
        <f t="shared" si="3"/>
        <v>0</v>
      </c>
      <c r="R25" s="199"/>
      <c r="X25" s="257"/>
    </row>
    <row r="26" spans="1:25" s="12" customFormat="1" x14ac:dyDescent="0.2">
      <c r="A26" s="204">
        <f>IF(J26&lt;&gt;"",1+MAX($A$18:A25),"")</f>
        <v>6</v>
      </c>
      <c r="B26" s="201"/>
      <c r="C26" s="201"/>
      <c r="D26" s="201" t="s">
        <v>20</v>
      </c>
      <c r="E26" s="255" t="s">
        <v>238</v>
      </c>
      <c r="F26" s="188" t="s">
        <v>99</v>
      </c>
      <c r="G26" s="310">
        <v>1</v>
      </c>
      <c r="H26" s="205">
        <f>IF(VLOOKUP(J26,'HOURLY RATES'!B$116:C$124,2,0)=0,$J$3,VLOOKUP(J26,'HOURLY RATES'!B$116:C$124,2,0))</f>
        <v>0</v>
      </c>
      <c r="I26" s="317">
        <f t="shared" si="0"/>
        <v>1</v>
      </c>
      <c r="J26" s="192" t="s">
        <v>18</v>
      </c>
      <c r="K26" s="193"/>
      <c r="L26" s="203">
        <f t="shared" si="1"/>
        <v>0</v>
      </c>
      <c r="M26" s="194">
        <f>IF(VLOOKUP(E26,'HOURLY RATES'!C$6:D$105,2,0)=0,$E$3,VLOOKUP(E26,'HOURLY RATES'!C$6:D$105,2,0))</f>
        <v>60</v>
      </c>
      <c r="N26" s="206">
        <f t="shared" si="2"/>
        <v>0</v>
      </c>
      <c r="O26" s="196"/>
      <c r="P26" s="197"/>
      <c r="Q26" s="198">
        <f t="shared" si="3"/>
        <v>0</v>
      </c>
      <c r="R26" s="199"/>
      <c r="X26" s="257"/>
    </row>
    <row r="27" spans="1:25" s="12" customFormat="1" x14ac:dyDescent="0.2">
      <c r="A27" s="204">
        <f>IF(J27&lt;&gt;"",1+MAX($A$18:A26),"")</f>
        <v>7</v>
      </c>
      <c r="B27" s="201"/>
      <c r="C27" s="201"/>
      <c r="D27" s="201" t="s">
        <v>20</v>
      </c>
      <c r="E27" s="255" t="s">
        <v>238</v>
      </c>
      <c r="F27" s="188" t="s">
        <v>310</v>
      </c>
      <c r="G27" s="310">
        <v>1</v>
      </c>
      <c r="H27" s="205">
        <f>IF(VLOOKUP(J27,'HOURLY RATES'!B$116:C$124,2,0)=0,$J$3,VLOOKUP(J27,'HOURLY RATES'!B$116:C$124,2,0))</f>
        <v>0</v>
      </c>
      <c r="I27" s="317">
        <f t="shared" si="0"/>
        <v>1</v>
      </c>
      <c r="J27" s="192" t="s">
        <v>18</v>
      </c>
      <c r="K27" s="398">
        <v>261.913960920541</v>
      </c>
      <c r="L27" s="203">
        <f t="shared" si="1"/>
        <v>261.913960920541</v>
      </c>
      <c r="M27" s="194">
        <f>IF(VLOOKUP(E27,'HOURLY RATES'!C$6:D$105,2,0)=0,$E$3,VLOOKUP(E27,'HOURLY RATES'!C$6:D$105,2,0))</f>
        <v>60</v>
      </c>
      <c r="N27" s="206">
        <f t="shared" si="2"/>
        <v>15714.837655232461</v>
      </c>
      <c r="O27" s="196"/>
      <c r="P27" s="197"/>
      <c r="Q27" s="198">
        <f t="shared" si="3"/>
        <v>15714.837655232461</v>
      </c>
      <c r="R27" s="199"/>
      <c r="X27" s="257"/>
    </row>
    <row r="28" spans="1:25" s="12" customFormat="1" x14ac:dyDescent="0.2">
      <c r="A28" s="204">
        <f>IF(J28&lt;&gt;"",1+MAX($A$18:A27),"")</f>
        <v>8</v>
      </c>
      <c r="B28" s="201"/>
      <c r="C28" s="201"/>
      <c r="D28" s="201" t="s">
        <v>20</v>
      </c>
      <c r="E28" s="255" t="s">
        <v>238</v>
      </c>
      <c r="F28" s="188" t="s">
        <v>140</v>
      </c>
      <c r="G28" s="310">
        <v>1</v>
      </c>
      <c r="H28" s="205">
        <f>IF(VLOOKUP(J28,'HOURLY RATES'!B$116:C$124,2,0)=0,$J$3,VLOOKUP(J28,'HOURLY RATES'!B$116:C$124,2,0))</f>
        <v>0</v>
      </c>
      <c r="I28" s="317">
        <f t="shared" si="0"/>
        <v>1</v>
      </c>
      <c r="J28" s="192" t="s">
        <v>18</v>
      </c>
      <c r="K28" s="399"/>
      <c r="L28" s="203">
        <f t="shared" si="1"/>
        <v>0</v>
      </c>
      <c r="M28" s="194">
        <f>IF(VLOOKUP(E28,'HOURLY RATES'!C$6:D$105,2,0)=0,$E$3,VLOOKUP(E28,'HOURLY RATES'!C$6:D$105,2,0))</f>
        <v>60</v>
      </c>
      <c r="N28" s="206">
        <f t="shared" si="2"/>
        <v>0</v>
      </c>
      <c r="O28" s="207"/>
      <c r="P28" s="197"/>
      <c r="Q28" s="198">
        <f t="shared" si="3"/>
        <v>0</v>
      </c>
      <c r="R28" s="199"/>
      <c r="X28" s="257"/>
    </row>
    <row r="29" spans="1:25" s="12" customFormat="1" x14ac:dyDescent="0.2">
      <c r="A29" s="204">
        <f>IF(J29&lt;&gt;"",1+MAX($A$18:A28),"")</f>
        <v>9</v>
      </c>
      <c r="B29" s="201"/>
      <c r="C29" s="201"/>
      <c r="D29" s="201" t="s">
        <v>20</v>
      </c>
      <c r="E29" s="255" t="s">
        <v>238</v>
      </c>
      <c r="F29" s="188" t="s">
        <v>100</v>
      </c>
      <c r="G29" s="310">
        <v>1</v>
      </c>
      <c r="H29" s="205">
        <f>IF(VLOOKUP(J29,'HOURLY RATES'!B$116:C$124,2,0)=0,$J$3,VLOOKUP(J29,'HOURLY RATES'!B$116:C$124,2,0))</f>
        <v>0</v>
      </c>
      <c r="I29" s="317">
        <f t="shared" si="0"/>
        <v>1</v>
      </c>
      <c r="J29" s="192" t="s">
        <v>18</v>
      </c>
      <c r="K29" s="399"/>
      <c r="L29" s="203">
        <f t="shared" si="1"/>
        <v>0</v>
      </c>
      <c r="M29" s="194">
        <f>IF(VLOOKUP(E29,'HOURLY RATES'!C$6:D$105,2,0)=0,$E$3,VLOOKUP(E29,'HOURLY RATES'!C$6:D$105,2,0))</f>
        <v>60</v>
      </c>
      <c r="N29" s="206">
        <f t="shared" si="2"/>
        <v>0</v>
      </c>
      <c r="O29" s="196"/>
      <c r="P29" s="197"/>
      <c r="Q29" s="198">
        <f t="shared" si="3"/>
        <v>0</v>
      </c>
      <c r="R29" s="199"/>
      <c r="X29" s="257"/>
    </row>
    <row r="30" spans="1:25" s="12" customFormat="1" x14ac:dyDescent="0.2">
      <c r="A30" s="204">
        <f>IF(J30&lt;&gt;"",1+MAX($A$18:A29),"")</f>
        <v>10</v>
      </c>
      <c r="B30" s="201"/>
      <c r="C30" s="201"/>
      <c r="D30" s="201" t="s">
        <v>20</v>
      </c>
      <c r="E30" s="255" t="s">
        <v>238</v>
      </c>
      <c r="F30" s="188" t="s">
        <v>159</v>
      </c>
      <c r="G30" s="310">
        <v>1</v>
      </c>
      <c r="H30" s="205">
        <f>IF(VLOOKUP(J30,'HOURLY RATES'!B$116:C$124,2,0)=0,$J$3,VLOOKUP(J30,'HOURLY RATES'!B$116:C$124,2,0))</f>
        <v>0</v>
      </c>
      <c r="I30" s="317">
        <f t="shared" si="0"/>
        <v>1</v>
      </c>
      <c r="J30" s="192" t="s">
        <v>18</v>
      </c>
      <c r="K30" s="398"/>
      <c r="L30" s="203">
        <f t="shared" si="1"/>
        <v>0</v>
      </c>
      <c r="M30" s="194">
        <f>IF(VLOOKUP(E30,'HOURLY RATES'!C$6:D$105,2,0)=0,$E$3,VLOOKUP(E30,'HOURLY RATES'!C$6:D$105,2,0))</f>
        <v>60</v>
      </c>
      <c r="N30" s="206">
        <f t="shared" si="2"/>
        <v>0</v>
      </c>
      <c r="O30" s="207"/>
      <c r="P30" s="197"/>
      <c r="Q30" s="198">
        <f t="shared" si="3"/>
        <v>0</v>
      </c>
      <c r="R30" s="199"/>
      <c r="X30" s="257"/>
    </row>
    <row r="31" spans="1:25" s="12" customFormat="1" x14ac:dyDescent="0.2">
      <c r="A31" s="204">
        <f>IF(J31&lt;&gt;"",1+MAX($A$18:A30),"")</f>
        <v>11</v>
      </c>
      <c r="B31" s="201"/>
      <c r="C31" s="201"/>
      <c r="D31" s="201" t="s">
        <v>20</v>
      </c>
      <c r="E31" s="255" t="s">
        <v>238</v>
      </c>
      <c r="F31" s="188" t="s">
        <v>774</v>
      </c>
      <c r="G31" s="310">
        <v>1</v>
      </c>
      <c r="H31" s="205">
        <f>IF(VLOOKUP(J31,'HOURLY RATES'!B$116:C$124,2,0)=0,$J$3,VLOOKUP(J31,'HOURLY RATES'!B$116:C$124,2,0))</f>
        <v>0</v>
      </c>
      <c r="I31" s="317">
        <f t="shared" si="0"/>
        <v>1</v>
      </c>
      <c r="J31" s="192" t="s">
        <v>18</v>
      </c>
      <c r="K31" s="398">
        <v>34.049999999999997</v>
      </c>
      <c r="L31" s="203">
        <f>K31*I31</f>
        <v>34.049999999999997</v>
      </c>
      <c r="M31" s="194">
        <f>IF(VLOOKUP(E31,'HOURLY RATES'!C$6:D$105,2,0)=0,$E$3,VLOOKUP(E31,'HOURLY RATES'!C$6:D$105,2,0))</f>
        <v>60</v>
      </c>
      <c r="N31" s="206">
        <f t="shared" si="2"/>
        <v>2042.9999999999998</v>
      </c>
      <c r="O31" s="207"/>
      <c r="P31" s="197"/>
      <c r="Q31" s="198">
        <f t="shared" si="3"/>
        <v>2042.9999999999998</v>
      </c>
      <c r="R31" s="199"/>
      <c r="X31" s="257"/>
    </row>
    <row r="32" spans="1:25" s="12" customFormat="1" x14ac:dyDescent="0.2">
      <c r="A32" s="204" t="str">
        <f>IF(J32&lt;&gt;"",1+MAX($A$18:A31),"")</f>
        <v/>
      </c>
      <c r="B32" s="201"/>
      <c r="C32" s="201"/>
      <c r="D32" s="201"/>
      <c r="E32" s="255"/>
      <c r="F32" s="188"/>
      <c r="G32" s="310"/>
      <c r="H32" s="205"/>
      <c r="I32" s="317"/>
      <c r="J32" s="192"/>
      <c r="K32" s="398"/>
      <c r="L32" s="192"/>
      <c r="M32" s="194"/>
      <c r="N32" s="195"/>
      <c r="O32" s="207"/>
      <c r="P32" s="197"/>
      <c r="Q32" s="198"/>
      <c r="R32" s="199"/>
      <c r="X32" s="257"/>
    </row>
    <row r="33" spans="1:24" s="12" customFormat="1" x14ac:dyDescent="0.2">
      <c r="A33" s="204" t="str">
        <f>IF(J33&lt;&gt;"",1+MAX($A$18:A32),"")</f>
        <v/>
      </c>
      <c r="B33" s="201"/>
      <c r="C33" s="201"/>
      <c r="D33" s="201"/>
      <c r="E33" s="255"/>
      <c r="F33" s="202" t="s">
        <v>130</v>
      </c>
      <c r="G33" s="310"/>
      <c r="H33" s="205"/>
      <c r="I33" s="317"/>
      <c r="J33" s="192"/>
      <c r="K33" s="398"/>
      <c r="L33" s="192"/>
      <c r="M33" s="194"/>
      <c r="N33" s="195"/>
      <c r="O33" s="207"/>
      <c r="P33" s="197"/>
      <c r="Q33" s="198"/>
      <c r="R33" s="199"/>
      <c r="X33" s="257"/>
    </row>
    <row r="34" spans="1:24" s="12" customFormat="1" x14ac:dyDescent="0.2">
      <c r="A34" s="204">
        <f>IF(J34&lt;&gt;"",1+MAX($A$18:A33),"")</f>
        <v>12</v>
      </c>
      <c r="B34" s="201"/>
      <c r="C34" s="201"/>
      <c r="D34" s="201" t="s">
        <v>20</v>
      </c>
      <c r="E34" s="255" t="s">
        <v>238</v>
      </c>
      <c r="F34" s="188" t="s">
        <v>142</v>
      </c>
      <c r="G34" s="310">
        <v>1</v>
      </c>
      <c r="H34" s="205">
        <f>IF(VLOOKUP(J34,'HOURLY RATES'!B$116:C$124,2,0)=0,$J$3,VLOOKUP(J34,'HOURLY RATES'!B$116:C$124,2,0))</f>
        <v>0</v>
      </c>
      <c r="I34" s="317">
        <f t="shared" ref="I34:I36" si="4">(G34*(1+H34))</f>
        <v>1</v>
      </c>
      <c r="J34" s="192" t="s">
        <v>18</v>
      </c>
      <c r="K34" s="398">
        <v>100.57496099348775</v>
      </c>
      <c r="L34" s="203">
        <f t="shared" si="1"/>
        <v>100.57496099348775</v>
      </c>
      <c r="M34" s="194">
        <f>IF(VLOOKUP(E34,'HOURLY RATES'!C$6:D$105,2,0)=0,$E$3,VLOOKUP(E34,'HOURLY RATES'!C$6:D$105,2,0))</f>
        <v>60</v>
      </c>
      <c r="N34" s="206">
        <f t="shared" si="2"/>
        <v>6034.4976596092647</v>
      </c>
      <c r="O34" s="207"/>
      <c r="P34" s="197"/>
      <c r="Q34" s="198">
        <f t="shared" si="3"/>
        <v>6034.4976596092647</v>
      </c>
      <c r="R34" s="199"/>
      <c r="X34" s="257"/>
    </row>
    <row r="35" spans="1:24" s="12" customFormat="1" x14ac:dyDescent="0.2">
      <c r="A35" s="204">
        <f>IF(J35&lt;&gt;"",1+MAX($A$18:A34),"")</f>
        <v>13</v>
      </c>
      <c r="B35" s="201"/>
      <c r="C35" s="201"/>
      <c r="D35" s="201" t="s">
        <v>20</v>
      </c>
      <c r="E35" s="255" t="s">
        <v>238</v>
      </c>
      <c r="F35" s="188" t="s">
        <v>143</v>
      </c>
      <c r="G35" s="310">
        <v>1</v>
      </c>
      <c r="H35" s="205">
        <f>IF(VLOOKUP(J35,'HOURLY RATES'!B$116:C$124,2,0)=0,$J$3,VLOOKUP(J35,'HOURLY RATES'!B$116:C$124,2,0))</f>
        <v>0</v>
      </c>
      <c r="I35" s="317">
        <f t="shared" si="4"/>
        <v>1</v>
      </c>
      <c r="J35" s="192" t="s">
        <v>18</v>
      </c>
      <c r="K35" s="398">
        <v>89.749183942105404</v>
      </c>
      <c r="L35" s="203">
        <f t="shared" si="1"/>
        <v>89.749183942105404</v>
      </c>
      <c r="M35" s="194">
        <f>IF(VLOOKUP(E35,'HOURLY RATES'!C$6:D$105,2,0)=0,$E$3,VLOOKUP(E35,'HOURLY RATES'!C$6:D$105,2,0))</f>
        <v>60</v>
      </c>
      <c r="N35" s="206">
        <f t="shared" si="2"/>
        <v>5384.9510365263241</v>
      </c>
      <c r="O35" s="207"/>
      <c r="P35" s="197"/>
      <c r="Q35" s="198">
        <f t="shared" si="3"/>
        <v>5384.9510365263241</v>
      </c>
      <c r="R35" s="199"/>
      <c r="X35" s="257"/>
    </row>
    <row r="36" spans="1:24" s="12" customFormat="1" x14ac:dyDescent="0.2">
      <c r="A36" s="204">
        <f>IF(J36&lt;&gt;"",1+MAX($A$18:A35),"")</f>
        <v>14</v>
      </c>
      <c r="B36" s="201"/>
      <c r="C36" s="201"/>
      <c r="D36" s="201" t="s">
        <v>20</v>
      </c>
      <c r="E36" s="255" t="s">
        <v>238</v>
      </c>
      <c r="F36" s="188" t="s">
        <v>144</v>
      </c>
      <c r="G36" s="310">
        <v>1</v>
      </c>
      <c r="H36" s="205">
        <f>IF(VLOOKUP(J36,'HOURLY RATES'!B$116:C$124,2,0)=0,$J$3,VLOOKUP(J36,'HOURLY RATES'!B$116:C$124,2,0))</f>
        <v>0</v>
      </c>
      <c r="I36" s="317">
        <f t="shared" si="4"/>
        <v>1</v>
      </c>
      <c r="J36" s="192" t="s">
        <v>18</v>
      </c>
      <c r="K36" s="398">
        <v>226.99209946446891</v>
      </c>
      <c r="L36" s="203">
        <f t="shared" si="1"/>
        <v>226.99209946446891</v>
      </c>
      <c r="M36" s="194">
        <f>IF(VLOOKUP(E36,'HOURLY RATES'!C$6:D$105,2,0)=0,$E$3,VLOOKUP(E36,'HOURLY RATES'!C$6:D$105,2,0))</f>
        <v>60</v>
      </c>
      <c r="N36" s="206">
        <f t="shared" si="2"/>
        <v>13619.525967868134</v>
      </c>
      <c r="O36" s="207"/>
      <c r="P36" s="197"/>
      <c r="Q36" s="198">
        <f t="shared" si="3"/>
        <v>13619.525967868134</v>
      </c>
      <c r="R36" s="199"/>
      <c r="X36" s="257"/>
    </row>
    <row r="37" spans="1:24" s="12" customFormat="1" x14ac:dyDescent="0.2">
      <c r="A37" s="204" t="str">
        <f>IF(J37&lt;&gt;"",1+MAX($A$18:A36),"")</f>
        <v/>
      </c>
      <c r="B37" s="201"/>
      <c r="C37" s="201"/>
      <c r="D37" s="201"/>
      <c r="E37" s="255"/>
      <c r="F37" s="188"/>
      <c r="G37" s="310"/>
      <c r="H37" s="205"/>
      <c r="I37" s="317"/>
      <c r="J37" s="192"/>
      <c r="K37" s="398"/>
      <c r="L37" s="203"/>
      <c r="M37" s="194"/>
      <c r="N37" s="206"/>
      <c r="O37" s="207"/>
      <c r="P37" s="197"/>
      <c r="Q37" s="198"/>
      <c r="R37" s="199"/>
      <c r="X37" s="257"/>
    </row>
    <row r="38" spans="1:24" s="12" customFormat="1" x14ac:dyDescent="0.2">
      <c r="A38" s="204" t="str">
        <f>IF(J38&lt;&gt;"",1+MAX($A$18:A37),"")</f>
        <v/>
      </c>
      <c r="B38" s="201"/>
      <c r="C38" s="201"/>
      <c r="D38" s="201"/>
      <c r="E38" s="255"/>
      <c r="F38" s="202" t="s">
        <v>106</v>
      </c>
      <c r="G38" s="310"/>
      <c r="H38" s="205"/>
      <c r="I38" s="317"/>
      <c r="J38" s="192"/>
      <c r="K38" s="398"/>
      <c r="L38" s="192"/>
      <c r="M38" s="194"/>
      <c r="N38" s="195"/>
      <c r="O38" s="207"/>
      <c r="P38" s="197"/>
      <c r="Q38" s="198"/>
      <c r="R38" s="199"/>
      <c r="X38" s="257"/>
    </row>
    <row r="39" spans="1:24" s="12" customFormat="1" x14ac:dyDescent="0.2">
      <c r="A39" s="204">
        <f>IF(J39&lt;&gt;"",1+MAX($A$18:A38),"")</f>
        <v>15</v>
      </c>
      <c r="B39" s="201"/>
      <c r="C39" s="201"/>
      <c r="D39" s="201" t="s">
        <v>20</v>
      </c>
      <c r="E39" s="255" t="s">
        <v>238</v>
      </c>
      <c r="F39" s="188" t="s">
        <v>102</v>
      </c>
      <c r="G39" s="310">
        <v>1</v>
      </c>
      <c r="H39" s="205">
        <f>IF(VLOOKUP(J39,'HOURLY RATES'!B$116:C$124,2,0)=0,$J$3,VLOOKUP(J39,'HOURLY RATES'!B$116:C$124,2,0))</f>
        <v>0</v>
      </c>
      <c r="I39" s="317">
        <f t="shared" ref="I39:I44" si="5">(G39*(1+H39))</f>
        <v>1</v>
      </c>
      <c r="J39" s="192" t="s">
        <v>18</v>
      </c>
      <c r="K39" s="398"/>
      <c r="L39" s="203">
        <f t="shared" si="1"/>
        <v>0</v>
      </c>
      <c r="M39" s="194">
        <f>IF(VLOOKUP(E39,'HOURLY RATES'!C$6:D$105,2,0)=0,$E$3,VLOOKUP(E39,'HOURLY RATES'!C$6:D$105,2,0))</f>
        <v>60</v>
      </c>
      <c r="N39" s="206">
        <f t="shared" si="2"/>
        <v>0</v>
      </c>
      <c r="O39" s="207"/>
      <c r="P39" s="197"/>
      <c r="Q39" s="198">
        <f t="shared" si="3"/>
        <v>0</v>
      </c>
      <c r="R39" s="199"/>
      <c r="X39" s="257"/>
    </row>
    <row r="40" spans="1:24" s="12" customFormat="1" x14ac:dyDescent="0.2">
      <c r="A40" s="204">
        <f>IF(J40&lt;&gt;"",1+MAX($A$18:A39),"")</f>
        <v>16</v>
      </c>
      <c r="B40" s="201"/>
      <c r="C40" s="201"/>
      <c r="D40" s="201" t="s">
        <v>20</v>
      </c>
      <c r="E40" s="255" t="s">
        <v>238</v>
      </c>
      <c r="F40" s="188" t="s">
        <v>103</v>
      </c>
      <c r="G40" s="310">
        <v>1</v>
      </c>
      <c r="H40" s="205">
        <f>IF(VLOOKUP(J40,'HOURLY RATES'!B$116:C$124,2,0)=0,$J$3,VLOOKUP(J40,'HOURLY RATES'!B$116:C$124,2,0))</f>
        <v>0</v>
      </c>
      <c r="I40" s="317">
        <f t="shared" si="5"/>
        <v>1</v>
      </c>
      <c r="J40" s="192" t="s">
        <v>18</v>
      </c>
      <c r="K40" s="398"/>
      <c r="L40" s="203">
        <f t="shared" si="1"/>
        <v>0</v>
      </c>
      <c r="M40" s="194">
        <f>IF(VLOOKUP(E40,'HOURLY RATES'!C$6:D$105,2,0)=0,$E$3,VLOOKUP(E40,'HOURLY RATES'!C$6:D$105,2,0))</f>
        <v>60</v>
      </c>
      <c r="N40" s="206">
        <f t="shared" si="2"/>
        <v>0</v>
      </c>
      <c r="O40" s="207"/>
      <c r="P40" s="197"/>
      <c r="Q40" s="198">
        <f t="shared" si="3"/>
        <v>0</v>
      </c>
      <c r="R40" s="199"/>
      <c r="X40" s="257"/>
    </row>
    <row r="41" spans="1:24" s="12" customFormat="1" x14ac:dyDescent="0.2">
      <c r="A41" s="204">
        <f>IF(J41&lt;&gt;"",1+MAX($A$18:A40),"")</f>
        <v>17</v>
      </c>
      <c r="B41" s="201"/>
      <c r="C41" s="201"/>
      <c r="D41" s="201" t="s">
        <v>20</v>
      </c>
      <c r="E41" s="255" t="s">
        <v>238</v>
      </c>
      <c r="F41" s="188" t="s">
        <v>104</v>
      </c>
      <c r="G41" s="310">
        <v>1</v>
      </c>
      <c r="H41" s="205">
        <f>IF(VLOOKUP(J41,'HOURLY RATES'!B$116:C$124,2,0)=0,$J$3,VLOOKUP(J41,'HOURLY RATES'!B$116:C$124,2,0))</f>
        <v>0</v>
      </c>
      <c r="I41" s="317">
        <f t="shared" si="5"/>
        <v>1</v>
      </c>
      <c r="J41" s="192" t="s">
        <v>18</v>
      </c>
      <c r="K41" s="398"/>
      <c r="L41" s="203">
        <f t="shared" si="1"/>
        <v>0</v>
      </c>
      <c r="M41" s="194">
        <f>IF(VLOOKUP(E41,'HOURLY RATES'!C$6:D$105,2,0)=0,$E$3,VLOOKUP(E41,'HOURLY RATES'!C$6:D$105,2,0))</f>
        <v>60</v>
      </c>
      <c r="N41" s="206">
        <f t="shared" si="2"/>
        <v>0</v>
      </c>
      <c r="O41" s="196"/>
      <c r="P41" s="197"/>
      <c r="Q41" s="198">
        <f t="shared" si="3"/>
        <v>0</v>
      </c>
      <c r="R41" s="199"/>
      <c r="X41" s="257"/>
    </row>
    <row r="42" spans="1:24" s="12" customFormat="1" x14ac:dyDescent="0.2">
      <c r="A42" s="204">
        <f>IF(J42&lt;&gt;"",1+MAX($A$18:A41),"")</f>
        <v>18</v>
      </c>
      <c r="B42" s="201"/>
      <c r="C42" s="201"/>
      <c r="D42" s="201" t="s">
        <v>20</v>
      </c>
      <c r="E42" s="255" t="s">
        <v>238</v>
      </c>
      <c r="F42" s="188" t="s">
        <v>105</v>
      </c>
      <c r="G42" s="310">
        <v>1</v>
      </c>
      <c r="H42" s="205">
        <f>IF(VLOOKUP(J42,'HOURLY RATES'!B$116:C$124,2,0)=0,$J$3,VLOOKUP(J42,'HOURLY RATES'!B$116:C$124,2,0))</f>
        <v>0</v>
      </c>
      <c r="I42" s="317">
        <f t="shared" si="5"/>
        <v>1</v>
      </c>
      <c r="J42" s="192" t="s">
        <v>18</v>
      </c>
      <c r="K42" s="398"/>
      <c r="L42" s="203">
        <f t="shared" si="1"/>
        <v>0</v>
      </c>
      <c r="M42" s="194">
        <f>IF(VLOOKUP(E42,'HOURLY RATES'!C$6:D$105,2,0)=0,$E$3,VLOOKUP(E42,'HOURLY RATES'!C$6:D$105,2,0))</f>
        <v>60</v>
      </c>
      <c r="N42" s="206">
        <f t="shared" si="2"/>
        <v>0</v>
      </c>
      <c r="O42" s="196"/>
      <c r="P42" s="197"/>
      <c r="Q42" s="198">
        <f t="shared" si="3"/>
        <v>0</v>
      </c>
      <c r="R42" s="199"/>
      <c r="X42" s="257"/>
    </row>
    <row r="43" spans="1:24" s="12" customFormat="1" x14ac:dyDescent="0.2">
      <c r="A43" s="204">
        <f>IF(J43&lt;&gt;"",1+MAX($A$18:A42),"")</f>
        <v>19</v>
      </c>
      <c r="B43" s="201"/>
      <c r="C43" s="201"/>
      <c r="D43" s="201" t="s">
        <v>20</v>
      </c>
      <c r="E43" s="255" t="s">
        <v>238</v>
      </c>
      <c r="F43" s="188" t="s">
        <v>280</v>
      </c>
      <c r="G43" s="310">
        <v>1</v>
      </c>
      <c r="H43" s="205">
        <f>IF(VLOOKUP(J43,'HOURLY RATES'!B$116:C$124,2,0)=0,$J$3,VLOOKUP(J43,'HOURLY RATES'!B$116:C$124,2,0))</f>
        <v>0</v>
      </c>
      <c r="I43" s="317">
        <f t="shared" si="5"/>
        <v>1</v>
      </c>
      <c r="J43" s="192" t="s">
        <v>18</v>
      </c>
      <c r="K43" s="398"/>
      <c r="L43" s="203">
        <f t="shared" si="1"/>
        <v>0</v>
      </c>
      <c r="M43" s="194">
        <f>IF(VLOOKUP(E43,'HOURLY RATES'!C$6:D$105,2,0)=0,$E$3,VLOOKUP(E43,'HOURLY RATES'!C$6:D$105,2,0))</f>
        <v>60</v>
      </c>
      <c r="N43" s="206">
        <f t="shared" si="2"/>
        <v>0</v>
      </c>
      <c r="O43" s="196"/>
      <c r="P43" s="197"/>
      <c r="Q43" s="198">
        <f t="shared" si="3"/>
        <v>0</v>
      </c>
      <c r="R43" s="199"/>
      <c r="X43" s="257"/>
    </row>
    <row r="44" spans="1:24" s="12" customFormat="1" x14ac:dyDescent="0.2">
      <c r="A44" s="209">
        <f>IF(J44&lt;&gt;"",1+MAX($A$18:A43),"")</f>
        <v>20</v>
      </c>
      <c r="B44" s="210"/>
      <c r="C44" s="210"/>
      <c r="D44" s="201" t="s">
        <v>20</v>
      </c>
      <c r="E44" s="255" t="s">
        <v>238</v>
      </c>
      <c r="F44" s="188" t="s">
        <v>311</v>
      </c>
      <c r="G44" s="310">
        <v>1</v>
      </c>
      <c r="H44" s="205">
        <f>IF(VLOOKUP(J44,'HOURLY RATES'!B$116:C$124,2,0)=0,$J$3,VLOOKUP(J44,'HOURLY RATES'!B$116:C$124,2,0))</f>
        <v>0</v>
      </c>
      <c r="I44" s="317">
        <f t="shared" si="5"/>
        <v>1</v>
      </c>
      <c r="J44" s="192" t="s">
        <v>18</v>
      </c>
      <c r="K44" s="398">
        <v>960.35119004198373</v>
      </c>
      <c r="L44" s="211">
        <f t="shared" si="1"/>
        <v>960.35119004198373</v>
      </c>
      <c r="M44" s="194">
        <f>IF(VLOOKUP(E44,'HOURLY RATES'!C$6:D$105,2,0)=0,$E$3,VLOOKUP(E44,'HOURLY RATES'!C$6:D$105,2,0))</f>
        <v>60</v>
      </c>
      <c r="N44" s="212">
        <f t="shared" si="2"/>
        <v>57621.071402519025</v>
      </c>
      <c r="O44" s="213"/>
      <c r="P44" s="214"/>
      <c r="Q44" s="215">
        <f t="shared" si="3"/>
        <v>57621.071402519025</v>
      </c>
      <c r="R44" s="199"/>
      <c r="X44" s="257"/>
    </row>
    <row r="45" spans="1:24" s="12" customFormat="1" x14ac:dyDescent="0.2">
      <c r="A45" s="204" t="str">
        <f>IF(J45&lt;&gt;"",1+MAX($A$18:A44),"")</f>
        <v/>
      </c>
      <c r="B45" s="201"/>
      <c r="C45" s="201"/>
      <c r="D45" s="201"/>
      <c r="E45" s="255"/>
      <c r="F45" s="188"/>
      <c r="G45" s="310"/>
      <c r="H45" s="205"/>
      <c r="I45" s="317"/>
      <c r="J45" s="192"/>
      <c r="K45" s="398"/>
      <c r="L45" s="192"/>
      <c r="M45" s="194"/>
      <c r="N45" s="206"/>
      <c r="O45" s="196"/>
      <c r="P45" s="197"/>
      <c r="Q45" s="198"/>
      <c r="R45" s="199"/>
      <c r="X45" s="257"/>
    </row>
    <row r="46" spans="1:24" s="12" customFormat="1" x14ac:dyDescent="0.2">
      <c r="A46" s="204" t="str">
        <f>IF(J46&lt;&gt;"",1+MAX($A$18:A45),"")</f>
        <v/>
      </c>
      <c r="B46" s="201"/>
      <c r="C46" s="201"/>
      <c r="D46" s="201"/>
      <c r="E46" s="255"/>
      <c r="F46" s="202" t="s">
        <v>107</v>
      </c>
      <c r="G46" s="310"/>
      <c r="H46" s="205"/>
      <c r="I46" s="317"/>
      <c r="J46" s="192"/>
      <c r="K46" s="398"/>
      <c r="L46" s="192"/>
      <c r="M46" s="194"/>
      <c r="N46" s="206"/>
      <c r="O46" s="196"/>
      <c r="P46" s="197"/>
      <c r="Q46" s="198"/>
      <c r="R46" s="199"/>
      <c r="X46" s="257"/>
    </row>
    <row r="47" spans="1:24" s="12" customFormat="1" x14ac:dyDescent="0.2">
      <c r="A47" s="204">
        <f>IF(J47&lt;&gt;"",1+MAX($A$18:A46),"")</f>
        <v>21</v>
      </c>
      <c r="B47" s="201"/>
      <c r="C47" s="201"/>
      <c r="D47" s="201" t="s">
        <v>20</v>
      </c>
      <c r="E47" s="255" t="s">
        <v>238</v>
      </c>
      <c r="F47" s="188" t="s">
        <v>108</v>
      </c>
      <c r="G47" s="310">
        <v>1</v>
      </c>
      <c r="H47" s="205">
        <f>IF(VLOOKUP(J47,'HOURLY RATES'!B$116:C$124,2,0)=0,$J$3,VLOOKUP(J47,'HOURLY RATES'!B$116:C$124,2,0))</f>
        <v>0</v>
      </c>
      <c r="I47" s="317">
        <f t="shared" ref="I47:I51" si="6">(G47*(1+H47))</f>
        <v>1</v>
      </c>
      <c r="J47" s="192" t="s">
        <v>18</v>
      </c>
      <c r="K47" s="398"/>
      <c r="L47" s="203">
        <f t="shared" si="1"/>
        <v>0</v>
      </c>
      <c r="M47" s="194">
        <f>IF(VLOOKUP(E47,'HOURLY RATES'!C$6:D$105,2,0)=0,$E$3,VLOOKUP(E47,'HOURLY RATES'!C$6:D$105,2,0))</f>
        <v>60</v>
      </c>
      <c r="N47" s="206">
        <f t="shared" si="2"/>
        <v>0</v>
      </c>
      <c r="O47" s="196"/>
      <c r="P47" s="197"/>
      <c r="Q47" s="198">
        <f t="shared" si="3"/>
        <v>0</v>
      </c>
      <c r="R47" s="199"/>
      <c r="X47" s="257"/>
    </row>
    <row r="48" spans="1:24" s="12" customFormat="1" x14ac:dyDescent="0.2">
      <c r="A48" s="204">
        <f>IF(J48&lt;&gt;"",1+MAX($A$18:A47),"")</f>
        <v>22</v>
      </c>
      <c r="B48" s="201"/>
      <c r="C48" s="201"/>
      <c r="D48" s="201" t="s">
        <v>20</v>
      </c>
      <c r="E48" s="255" t="s">
        <v>238</v>
      </c>
      <c r="F48" s="188" t="s">
        <v>109</v>
      </c>
      <c r="G48" s="310">
        <v>1</v>
      </c>
      <c r="H48" s="205">
        <f>IF(VLOOKUP(J48,'HOURLY RATES'!B$116:C$124,2,0)=0,$J$3,VLOOKUP(J48,'HOURLY RATES'!B$116:C$124,2,0))</f>
        <v>0</v>
      </c>
      <c r="I48" s="317">
        <f t="shared" si="6"/>
        <v>1</v>
      </c>
      <c r="J48" s="192" t="s">
        <v>18</v>
      </c>
      <c r="K48" s="398"/>
      <c r="L48" s="203">
        <f t="shared" si="1"/>
        <v>0</v>
      </c>
      <c r="M48" s="194">
        <f>IF(VLOOKUP(E48,'HOURLY RATES'!C$6:D$105,2,0)=0,$E$3,VLOOKUP(E48,'HOURLY RATES'!C$6:D$105,2,0))</f>
        <v>60</v>
      </c>
      <c r="N48" s="206">
        <f t="shared" si="2"/>
        <v>0</v>
      </c>
      <c r="O48" s="196"/>
      <c r="P48" s="197"/>
      <c r="Q48" s="198">
        <f t="shared" si="3"/>
        <v>0</v>
      </c>
      <c r="R48" s="199"/>
      <c r="X48" s="257"/>
    </row>
    <row r="49" spans="1:24" s="12" customFormat="1" x14ac:dyDescent="0.2">
      <c r="A49" s="204">
        <f>IF(J49&lt;&gt;"",1+MAX($A$18:A48),"")</f>
        <v>23</v>
      </c>
      <c r="B49" s="201"/>
      <c r="C49" s="201"/>
      <c r="D49" s="201" t="s">
        <v>20</v>
      </c>
      <c r="E49" s="255" t="s">
        <v>238</v>
      </c>
      <c r="F49" s="188" t="s">
        <v>145</v>
      </c>
      <c r="G49" s="310">
        <v>1</v>
      </c>
      <c r="H49" s="205">
        <f>IF(VLOOKUP(J49,'HOURLY RATES'!B$116:C$124,2,0)=0,$J$3,VLOOKUP(J49,'HOURLY RATES'!B$116:C$124,2,0))</f>
        <v>0</v>
      </c>
      <c r="I49" s="317">
        <f t="shared" si="6"/>
        <v>1</v>
      </c>
      <c r="J49" s="192" t="s">
        <v>18</v>
      </c>
      <c r="K49" s="398"/>
      <c r="L49" s="203">
        <f t="shared" si="1"/>
        <v>0</v>
      </c>
      <c r="M49" s="194">
        <f>IF(VLOOKUP(E49,'HOURLY RATES'!C$6:D$105,2,0)=0,$E$3,VLOOKUP(E49,'HOURLY RATES'!C$6:D$105,2,0))</f>
        <v>60</v>
      </c>
      <c r="N49" s="206">
        <f t="shared" si="2"/>
        <v>0</v>
      </c>
      <c r="O49" s="196"/>
      <c r="P49" s="197"/>
      <c r="Q49" s="198">
        <f t="shared" si="3"/>
        <v>0</v>
      </c>
      <c r="R49" s="199"/>
      <c r="X49" s="257"/>
    </row>
    <row r="50" spans="1:24" s="12" customFormat="1" x14ac:dyDescent="0.2">
      <c r="A50" s="204">
        <f>IF(J50&lt;&gt;"",1+MAX($A$18:A49),"")</f>
        <v>24</v>
      </c>
      <c r="B50" s="201"/>
      <c r="C50" s="201"/>
      <c r="D50" s="201" t="s">
        <v>20</v>
      </c>
      <c r="E50" s="255" t="s">
        <v>238</v>
      </c>
      <c r="F50" s="188" t="s">
        <v>110</v>
      </c>
      <c r="G50" s="310">
        <v>1</v>
      </c>
      <c r="H50" s="205">
        <f>IF(VLOOKUP(J50,'HOURLY RATES'!B$116:C$124,2,0)=0,$J$3,VLOOKUP(J50,'HOURLY RATES'!B$116:C$124,2,0))</f>
        <v>0</v>
      </c>
      <c r="I50" s="317">
        <f t="shared" si="6"/>
        <v>1</v>
      </c>
      <c r="J50" s="192" t="s">
        <v>18</v>
      </c>
      <c r="K50" s="398"/>
      <c r="L50" s="203">
        <f t="shared" si="1"/>
        <v>0</v>
      </c>
      <c r="M50" s="194">
        <f>IF(VLOOKUP(E50,'HOURLY RATES'!C$6:D$105,2,0)=0,$E$3,VLOOKUP(E50,'HOURLY RATES'!C$6:D$105,2,0))</f>
        <v>60</v>
      </c>
      <c r="N50" s="206">
        <f t="shared" si="2"/>
        <v>0</v>
      </c>
      <c r="O50" s="196"/>
      <c r="P50" s="197"/>
      <c r="Q50" s="198">
        <f t="shared" si="3"/>
        <v>0</v>
      </c>
      <c r="R50" s="199"/>
      <c r="X50" s="257"/>
    </row>
    <row r="51" spans="1:24" s="12" customFormat="1" x14ac:dyDescent="0.2">
      <c r="A51" s="204">
        <f>IF(J51&lt;&gt;"",1+MAX($A$18:A50),"")</f>
        <v>25</v>
      </c>
      <c r="B51" s="201"/>
      <c r="C51" s="201"/>
      <c r="D51" s="201" t="s">
        <v>20</v>
      </c>
      <c r="E51" s="255" t="s">
        <v>238</v>
      </c>
      <c r="F51" s="188" t="s">
        <v>111</v>
      </c>
      <c r="G51" s="310">
        <v>1</v>
      </c>
      <c r="H51" s="205">
        <f>IF(VLOOKUP(J51,'HOURLY RATES'!B$116:C$124,2,0)=0,$J$3,VLOOKUP(J51,'HOURLY RATES'!B$116:C$124,2,0))</f>
        <v>0</v>
      </c>
      <c r="I51" s="317">
        <f t="shared" si="6"/>
        <v>1</v>
      </c>
      <c r="J51" s="192" t="s">
        <v>18</v>
      </c>
      <c r="K51" s="398"/>
      <c r="L51" s="203">
        <f t="shared" si="1"/>
        <v>0</v>
      </c>
      <c r="M51" s="194">
        <f>IF(VLOOKUP(E51,'HOURLY RATES'!C$6:D$105,2,0)=0,$E$3,VLOOKUP(E51,'HOURLY RATES'!C$6:D$105,2,0))</f>
        <v>60</v>
      </c>
      <c r="N51" s="206">
        <f t="shared" si="2"/>
        <v>0</v>
      </c>
      <c r="O51" s="196"/>
      <c r="P51" s="197"/>
      <c r="Q51" s="198">
        <f t="shared" si="3"/>
        <v>0</v>
      </c>
      <c r="R51" s="199"/>
      <c r="X51" s="257"/>
    </row>
    <row r="52" spans="1:24" s="12" customFormat="1" x14ac:dyDescent="0.2">
      <c r="A52" s="204" t="str">
        <f>IF(J52&lt;&gt;"",1+MAX($A$18:A51),"")</f>
        <v/>
      </c>
      <c r="B52" s="201"/>
      <c r="C52" s="201"/>
      <c r="D52" s="201"/>
      <c r="E52" s="255"/>
      <c r="F52" s="188"/>
      <c r="G52" s="310"/>
      <c r="H52" s="205"/>
      <c r="I52" s="317"/>
      <c r="J52" s="192"/>
      <c r="K52" s="398"/>
      <c r="L52" s="192"/>
      <c r="M52" s="194"/>
      <c r="N52" s="206"/>
      <c r="O52" s="196"/>
      <c r="P52" s="197"/>
      <c r="Q52" s="198"/>
      <c r="R52" s="199"/>
      <c r="X52" s="257"/>
    </row>
    <row r="53" spans="1:24" s="12" customFormat="1" x14ac:dyDescent="0.2">
      <c r="A53" s="204" t="str">
        <f>IF(J53&lt;&gt;"",1+MAX($A$18:A52),"")</f>
        <v/>
      </c>
      <c r="B53" s="201"/>
      <c r="C53" s="201"/>
      <c r="D53" s="201"/>
      <c r="E53" s="255"/>
      <c r="F53" s="202" t="s">
        <v>114</v>
      </c>
      <c r="G53" s="311"/>
      <c r="H53" s="205"/>
      <c r="I53" s="317"/>
      <c r="J53" s="192"/>
      <c r="K53" s="398"/>
      <c r="L53" s="192"/>
      <c r="M53" s="194"/>
      <c r="N53" s="206"/>
      <c r="O53" s="196"/>
      <c r="P53" s="197"/>
      <c r="Q53" s="198"/>
      <c r="R53" s="199"/>
      <c r="X53" s="257"/>
    </row>
    <row r="54" spans="1:24" s="12" customFormat="1" x14ac:dyDescent="0.2">
      <c r="A54" s="204">
        <f>IF(J54&lt;&gt;"",1+MAX($A$18:A53),"")</f>
        <v>26</v>
      </c>
      <c r="B54" s="201"/>
      <c r="C54" s="201"/>
      <c r="D54" s="201" t="s">
        <v>20</v>
      </c>
      <c r="E54" s="255" t="s">
        <v>238</v>
      </c>
      <c r="F54" s="188" t="s">
        <v>112</v>
      </c>
      <c r="G54" s="310">
        <v>1</v>
      </c>
      <c r="H54" s="205">
        <f>IF(VLOOKUP(J54,'HOURLY RATES'!B$116:C$124,2,0)=0,$J$3,VLOOKUP(J54,'HOURLY RATES'!B$116:C$124,2,0))</f>
        <v>0</v>
      </c>
      <c r="I54" s="317">
        <f t="shared" ref="I54:I57" si="7">(G54*(1+H54))</f>
        <v>1</v>
      </c>
      <c r="J54" s="192" t="s">
        <v>18</v>
      </c>
      <c r="K54" s="398"/>
      <c r="L54" s="203">
        <f t="shared" si="1"/>
        <v>0</v>
      </c>
      <c r="M54" s="194">
        <f>IF(VLOOKUP(E54,'HOURLY RATES'!C$6:D$105,2,0)=0,$E$3,VLOOKUP(E54,'HOURLY RATES'!C$6:D$105,2,0))</f>
        <v>60</v>
      </c>
      <c r="N54" s="206">
        <f t="shared" si="2"/>
        <v>0</v>
      </c>
      <c r="O54" s="196"/>
      <c r="P54" s="197"/>
      <c r="Q54" s="198">
        <f t="shared" si="3"/>
        <v>0</v>
      </c>
      <c r="R54" s="199"/>
      <c r="X54" s="257"/>
    </row>
    <row r="55" spans="1:24" s="12" customFormat="1" x14ac:dyDescent="0.2">
      <c r="A55" s="204">
        <f>IF(J55&lt;&gt;"",1+MAX($A$18:A54),"")</f>
        <v>27</v>
      </c>
      <c r="B55" s="201"/>
      <c r="C55" s="201"/>
      <c r="D55" s="201" t="s">
        <v>20</v>
      </c>
      <c r="E55" s="255" t="s">
        <v>238</v>
      </c>
      <c r="F55" s="188" t="s">
        <v>80</v>
      </c>
      <c r="G55" s="310">
        <v>1</v>
      </c>
      <c r="H55" s="205">
        <f>IF(VLOOKUP(J55,'HOURLY RATES'!B$116:C$124,2,0)=0,$J$3,VLOOKUP(J55,'HOURLY RATES'!B$116:C$124,2,0))</f>
        <v>0</v>
      </c>
      <c r="I55" s="317">
        <f t="shared" si="7"/>
        <v>1</v>
      </c>
      <c r="J55" s="192" t="s">
        <v>18</v>
      </c>
      <c r="K55" s="398">
        <v>226.99209946446891</v>
      </c>
      <c r="L55" s="203">
        <f t="shared" si="1"/>
        <v>226.99209946446891</v>
      </c>
      <c r="M55" s="194">
        <f>IF(VLOOKUP(E55,'HOURLY RATES'!C$6:D$105,2,0)=0,$E$3,VLOOKUP(E55,'HOURLY RATES'!C$6:D$105,2,0))</f>
        <v>60</v>
      </c>
      <c r="N55" s="206">
        <f t="shared" si="2"/>
        <v>13619.525967868134</v>
      </c>
      <c r="O55" s="196"/>
      <c r="P55" s="197"/>
      <c r="Q55" s="198">
        <f t="shared" si="3"/>
        <v>13619.525967868134</v>
      </c>
      <c r="R55" s="199"/>
      <c r="X55" s="257"/>
    </row>
    <row r="56" spans="1:24" s="12" customFormat="1" x14ac:dyDescent="0.2">
      <c r="A56" s="204">
        <f>IF(J56&lt;&gt;"",1+MAX($A$18:A55),"")</f>
        <v>28</v>
      </c>
      <c r="B56" s="201"/>
      <c r="C56" s="201"/>
      <c r="D56" s="201" t="s">
        <v>20</v>
      </c>
      <c r="E56" s="255" t="s">
        <v>238</v>
      </c>
      <c r="F56" s="188" t="s">
        <v>232</v>
      </c>
      <c r="G56" s="310">
        <v>1</v>
      </c>
      <c r="H56" s="205">
        <f>IF(VLOOKUP(J56,'HOURLY RATES'!B$116:C$124,2,0)=0,$J$3,VLOOKUP(J56,'HOURLY RATES'!B$116:C$124,2,0))</f>
        <v>0</v>
      </c>
      <c r="I56" s="317">
        <f t="shared" si="7"/>
        <v>1</v>
      </c>
      <c r="J56" s="192" t="s">
        <v>18</v>
      </c>
      <c r="K56" s="398"/>
      <c r="L56" s="203">
        <f t="shared" si="1"/>
        <v>0</v>
      </c>
      <c r="M56" s="194">
        <f>IF(VLOOKUP(E56,'HOURLY RATES'!C$6:D$105,2,0)=0,$E$3,VLOOKUP(E56,'HOURLY RATES'!C$6:D$105,2,0))</f>
        <v>60</v>
      </c>
      <c r="N56" s="206">
        <f t="shared" si="2"/>
        <v>0</v>
      </c>
      <c r="O56" s="196"/>
      <c r="P56" s="197"/>
      <c r="Q56" s="198">
        <f t="shared" si="3"/>
        <v>0</v>
      </c>
      <c r="R56" s="199"/>
      <c r="X56" s="257"/>
    </row>
    <row r="57" spans="1:24" s="12" customFormat="1" x14ac:dyDescent="0.2">
      <c r="A57" s="204">
        <f>IF(J57&lt;&gt;"",1+MAX($A$18:A56),"")</f>
        <v>29</v>
      </c>
      <c r="B57" s="201"/>
      <c r="C57" s="201"/>
      <c r="D57" s="201" t="s">
        <v>20</v>
      </c>
      <c r="E57" s="255" t="s">
        <v>238</v>
      </c>
      <c r="F57" s="188" t="s">
        <v>113</v>
      </c>
      <c r="G57" s="310">
        <v>1</v>
      </c>
      <c r="H57" s="205">
        <f>IF(VLOOKUP(J57,'HOURLY RATES'!B$116:C$124,2,0)=0,$J$3,VLOOKUP(J57,'HOURLY RATES'!B$116:C$124,2,0))</f>
        <v>0</v>
      </c>
      <c r="I57" s="317">
        <f t="shared" si="7"/>
        <v>1</v>
      </c>
      <c r="J57" s="192" t="s">
        <v>18</v>
      </c>
      <c r="K57" s="398"/>
      <c r="L57" s="203">
        <f t="shared" si="1"/>
        <v>0</v>
      </c>
      <c r="M57" s="194">
        <f>IF(VLOOKUP(E57,'HOURLY RATES'!C$6:D$105,2,0)=0,$E$3,VLOOKUP(E57,'HOURLY RATES'!C$6:D$105,2,0))</f>
        <v>60</v>
      </c>
      <c r="N57" s="206">
        <f t="shared" si="2"/>
        <v>0</v>
      </c>
      <c r="O57" s="196"/>
      <c r="P57" s="197"/>
      <c r="Q57" s="198">
        <f t="shared" si="3"/>
        <v>0</v>
      </c>
      <c r="R57" s="199"/>
      <c r="X57" s="257"/>
    </row>
    <row r="58" spans="1:24" s="12" customFormat="1" x14ac:dyDescent="0.2">
      <c r="A58" s="204" t="str">
        <f>IF(J58&lt;&gt;"",1+MAX($A$18:A57),"")</f>
        <v/>
      </c>
      <c r="B58" s="201"/>
      <c r="C58" s="201"/>
      <c r="D58" s="201"/>
      <c r="E58" s="255"/>
      <c r="F58" s="188"/>
      <c r="G58" s="310"/>
      <c r="H58" s="205"/>
      <c r="I58" s="317"/>
      <c r="J58" s="192"/>
      <c r="K58" s="398"/>
      <c r="L58" s="192"/>
      <c r="M58" s="194"/>
      <c r="N58" s="206"/>
      <c r="O58" s="196"/>
      <c r="P58" s="197"/>
      <c r="Q58" s="198"/>
      <c r="R58" s="199"/>
      <c r="X58" s="257"/>
    </row>
    <row r="59" spans="1:24" s="12" customFormat="1" x14ac:dyDescent="0.2">
      <c r="A59" s="204" t="str">
        <f>IF(J59&lt;&gt;"",1+MAX($A$18:A58),"")</f>
        <v/>
      </c>
      <c r="B59" s="201"/>
      <c r="C59" s="201"/>
      <c r="D59" s="201"/>
      <c r="E59" s="255"/>
      <c r="F59" s="202" t="s">
        <v>118</v>
      </c>
      <c r="G59" s="310"/>
      <c r="H59" s="205"/>
      <c r="I59" s="317"/>
      <c r="J59" s="192"/>
      <c r="K59" s="398"/>
      <c r="L59" s="192"/>
      <c r="M59" s="194"/>
      <c r="N59" s="206"/>
      <c r="O59" s="196"/>
      <c r="P59" s="197"/>
      <c r="Q59" s="198"/>
      <c r="R59" s="199"/>
      <c r="X59" s="257"/>
    </row>
    <row r="60" spans="1:24" s="12" customFormat="1" x14ac:dyDescent="0.2">
      <c r="A60" s="204">
        <f>IF(J60&lt;&gt;"",1+MAX($A$18:A59),"")</f>
        <v>30</v>
      </c>
      <c r="B60" s="201"/>
      <c r="C60" s="201"/>
      <c r="D60" s="201" t="s">
        <v>20</v>
      </c>
      <c r="E60" s="255" t="s">
        <v>238</v>
      </c>
      <c r="F60" s="188" t="s">
        <v>115</v>
      </c>
      <c r="G60" s="310">
        <v>1</v>
      </c>
      <c r="H60" s="205">
        <f>IF(VLOOKUP(J60,'HOURLY RATES'!B$116:C$124,2,0)=0,$J$3,VLOOKUP(J60,'HOURLY RATES'!B$116:C$124,2,0))</f>
        <v>0</v>
      </c>
      <c r="I60" s="317">
        <f t="shared" ref="I60:I62" si="8">(G60*(1+H60))</f>
        <v>1</v>
      </c>
      <c r="J60" s="192" t="s">
        <v>18</v>
      </c>
      <c r="K60" s="398"/>
      <c r="L60" s="203">
        <f t="shared" si="1"/>
        <v>0</v>
      </c>
      <c r="M60" s="194">
        <f>IF(VLOOKUP(E60,'HOURLY RATES'!C$6:D$105,2,0)=0,$E$3,VLOOKUP(E60,'HOURLY RATES'!C$6:D$105,2,0))</f>
        <v>60</v>
      </c>
      <c r="N60" s="206">
        <f t="shared" si="2"/>
        <v>0</v>
      </c>
      <c r="O60" s="196"/>
      <c r="P60" s="197"/>
      <c r="Q60" s="198">
        <f t="shared" si="3"/>
        <v>0</v>
      </c>
      <c r="R60" s="199"/>
      <c r="X60" s="257"/>
    </row>
    <row r="61" spans="1:24" s="12" customFormat="1" x14ac:dyDescent="0.2">
      <c r="A61" s="204">
        <f>IF(J61&lt;&gt;"",1+MAX($A$18:A60),"")</f>
        <v>31</v>
      </c>
      <c r="B61" s="201"/>
      <c r="C61" s="201"/>
      <c r="D61" s="201" t="s">
        <v>20</v>
      </c>
      <c r="E61" s="255" t="s">
        <v>238</v>
      </c>
      <c r="F61" s="188" t="s">
        <v>116</v>
      </c>
      <c r="G61" s="310">
        <v>1</v>
      </c>
      <c r="H61" s="205">
        <f>IF(VLOOKUP(J61,'HOURLY RATES'!B$116:C$124,2,0)=0,$J$3,VLOOKUP(J61,'HOURLY RATES'!B$116:C$124,2,0))</f>
        <v>0</v>
      </c>
      <c r="I61" s="317">
        <f t="shared" si="8"/>
        <v>1</v>
      </c>
      <c r="J61" s="192" t="s">
        <v>18</v>
      </c>
      <c r="K61" s="398"/>
      <c r="L61" s="203">
        <f t="shared" si="1"/>
        <v>0</v>
      </c>
      <c r="M61" s="194">
        <f>IF(VLOOKUP(E61,'HOURLY RATES'!C$6:D$105,2,0)=0,$E$3,VLOOKUP(E61,'HOURLY RATES'!C$6:D$105,2,0))</f>
        <v>60</v>
      </c>
      <c r="N61" s="206">
        <f t="shared" si="2"/>
        <v>0</v>
      </c>
      <c r="O61" s="196"/>
      <c r="P61" s="197"/>
      <c r="Q61" s="198">
        <f t="shared" si="3"/>
        <v>0</v>
      </c>
      <c r="R61" s="199"/>
      <c r="X61" s="257"/>
    </row>
    <row r="62" spans="1:24" s="12" customFormat="1" x14ac:dyDescent="0.2">
      <c r="A62" s="204">
        <f>IF(J62&lt;&gt;"",1+MAX($A$18:A61),"")</f>
        <v>32</v>
      </c>
      <c r="B62" s="201"/>
      <c r="C62" s="201"/>
      <c r="D62" s="201" t="s">
        <v>20</v>
      </c>
      <c r="E62" s="255" t="s">
        <v>238</v>
      </c>
      <c r="F62" s="188" t="s">
        <v>117</v>
      </c>
      <c r="G62" s="310">
        <v>1</v>
      </c>
      <c r="H62" s="205">
        <f>IF(VLOOKUP(J62,'HOURLY RATES'!B$116:C$124,2,0)=0,$J$3,VLOOKUP(J62,'HOURLY RATES'!B$116:C$124,2,0))</f>
        <v>0</v>
      </c>
      <c r="I62" s="317">
        <f t="shared" si="8"/>
        <v>1</v>
      </c>
      <c r="J62" s="192" t="s">
        <v>18</v>
      </c>
      <c r="K62" s="398"/>
      <c r="L62" s="203">
        <f t="shared" si="1"/>
        <v>0</v>
      </c>
      <c r="M62" s="194">
        <f>IF(VLOOKUP(E62,'HOURLY RATES'!C$6:D$105,2,0)=0,$E$3,VLOOKUP(E62,'HOURLY RATES'!C$6:D$105,2,0))</f>
        <v>60</v>
      </c>
      <c r="N62" s="206">
        <f t="shared" si="2"/>
        <v>0</v>
      </c>
      <c r="O62" s="196"/>
      <c r="P62" s="197"/>
      <c r="Q62" s="198">
        <f t="shared" si="3"/>
        <v>0</v>
      </c>
      <c r="R62" s="199"/>
      <c r="X62" s="257"/>
    </row>
    <row r="63" spans="1:24" s="12" customFormat="1" x14ac:dyDescent="0.2">
      <c r="A63" s="204" t="str">
        <f>IF(J63&lt;&gt;"",1+MAX($A$18:A62),"")</f>
        <v/>
      </c>
      <c r="B63" s="201"/>
      <c r="C63" s="201"/>
      <c r="D63" s="201"/>
      <c r="E63" s="255"/>
      <c r="F63" s="188"/>
      <c r="G63" s="310"/>
      <c r="H63" s="205"/>
      <c r="I63" s="317"/>
      <c r="J63" s="192"/>
      <c r="K63" s="398"/>
      <c r="L63" s="192"/>
      <c r="M63" s="194"/>
      <c r="N63" s="206"/>
      <c r="O63" s="196"/>
      <c r="P63" s="197"/>
      <c r="Q63" s="198"/>
      <c r="R63" s="199"/>
      <c r="X63" s="257"/>
    </row>
    <row r="64" spans="1:24" s="12" customFormat="1" x14ac:dyDescent="0.2">
      <c r="A64" s="204" t="str">
        <f>IF(J64&lt;&gt;"",1+MAX($A$18:A63),"")</f>
        <v/>
      </c>
      <c r="B64" s="201"/>
      <c r="C64" s="201"/>
      <c r="D64" s="201"/>
      <c r="E64" s="255"/>
      <c r="F64" s="202" t="s">
        <v>312</v>
      </c>
      <c r="G64" s="310"/>
      <c r="H64" s="205"/>
      <c r="I64" s="317"/>
      <c r="J64" s="192"/>
      <c r="K64" s="398"/>
      <c r="L64" s="203"/>
      <c r="M64" s="194"/>
      <c r="N64" s="206"/>
      <c r="O64" s="196"/>
      <c r="P64" s="197"/>
      <c r="Q64" s="198"/>
      <c r="R64" s="199"/>
      <c r="X64" s="257"/>
    </row>
    <row r="65" spans="1:24" s="12" customFormat="1" x14ac:dyDescent="0.2">
      <c r="A65" s="204">
        <f>IF(J65&lt;&gt;"",1+MAX($A$18:A64),"")</f>
        <v>33</v>
      </c>
      <c r="B65" s="201"/>
      <c r="C65" s="201"/>
      <c r="D65" s="201" t="s">
        <v>20</v>
      </c>
      <c r="E65" s="255" t="s">
        <v>238</v>
      </c>
      <c r="F65" s="188" t="s">
        <v>312</v>
      </c>
      <c r="G65" s="310">
        <v>1</v>
      </c>
      <c r="H65" s="205">
        <f>IF(VLOOKUP(J65,'HOURLY RATES'!B$116:C$124,2,0)=0,$J$3,VLOOKUP(J65,'HOURLY RATES'!B$116:C$124,2,0))</f>
        <v>0</v>
      </c>
      <c r="I65" s="317">
        <f t="shared" ref="I65" si="9">(G65*(1+H65))</f>
        <v>1</v>
      </c>
      <c r="J65" s="192" t="s">
        <v>18</v>
      </c>
      <c r="K65" s="398">
        <v>1571.4837655232461</v>
      </c>
      <c r="L65" s="203">
        <f t="shared" si="1"/>
        <v>1571.4837655232461</v>
      </c>
      <c r="M65" s="194">
        <f>IF(VLOOKUP(E65,'HOURLY RATES'!C$6:D$105,2,0)=0,$E$3,VLOOKUP(E65,'HOURLY RATES'!C$6:D$105,2,0))</f>
        <v>60</v>
      </c>
      <c r="N65" s="206">
        <f t="shared" si="2"/>
        <v>94289.025931394761</v>
      </c>
      <c r="O65" s="196"/>
      <c r="P65" s="197"/>
      <c r="Q65" s="198">
        <f t="shared" si="3"/>
        <v>94289.025931394761</v>
      </c>
      <c r="R65" s="199"/>
      <c r="X65" s="257"/>
    </row>
    <row r="66" spans="1:24" s="12" customFormat="1" ht="16.5" thickBot="1" x14ac:dyDescent="0.25">
      <c r="A66" s="263" t="str">
        <f>IF(J66&lt;&gt;"",1+MAX($A$18:A65),"")</f>
        <v/>
      </c>
      <c r="B66" s="264"/>
      <c r="C66" s="264"/>
      <c r="D66" s="264"/>
      <c r="E66" s="404"/>
      <c r="F66" s="265"/>
      <c r="G66" s="313"/>
      <c r="H66" s="267"/>
      <c r="I66" s="319"/>
      <c r="J66" s="359"/>
      <c r="K66" s="291"/>
      <c r="L66" s="269"/>
      <c r="M66" s="272"/>
      <c r="N66" s="273"/>
      <c r="O66" s="292"/>
      <c r="P66" s="275"/>
      <c r="Q66" s="276"/>
      <c r="R66" s="277"/>
      <c r="X66" s="257"/>
    </row>
    <row r="67" spans="1:24" s="12" customFormat="1" ht="20.100000000000001" customHeight="1" x14ac:dyDescent="0.2">
      <c r="A67" s="475" t="str">
        <f>IF(J67&lt;&gt;"",1+MAX($A$18:A66),"")</f>
        <v/>
      </c>
      <c r="B67" s="476"/>
      <c r="C67" s="476"/>
      <c r="D67" s="476" t="s">
        <v>45</v>
      </c>
      <c r="E67" s="481"/>
      <c r="F67" s="477" t="s">
        <v>46</v>
      </c>
      <c r="G67" s="482"/>
      <c r="H67" s="479"/>
      <c r="I67" s="483"/>
      <c r="J67" s="483"/>
      <c r="K67" s="479"/>
      <c r="L67" s="479"/>
      <c r="M67" s="479"/>
      <c r="N67" s="479"/>
      <c r="O67" s="479"/>
      <c r="P67" s="479"/>
      <c r="Q67" s="479"/>
      <c r="R67" s="480">
        <f>SUM(Q68:Q124)</f>
        <v>153805.38894138247</v>
      </c>
      <c r="X67" s="257"/>
    </row>
    <row r="68" spans="1:24" s="12" customFormat="1" x14ac:dyDescent="0.2">
      <c r="A68" s="209" t="str">
        <f>IF(J68&lt;&gt;"",1+MAX($A$18:A67),"")</f>
        <v/>
      </c>
      <c r="B68" s="210"/>
      <c r="C68" s="210"/>
      <c r="D68" s="210"/>
      <c r="E68" s="255"/>
      <c r="F68" s="216" t="s">
        <v>28</v>
      </c>
      <c r="G68" s="310"/>
      <c r="H68" s="225"/>
      <c r="I68" s="317"/>
      <c r="J68" s="192"/>
      <c r="K68" s="208"/>
      <c r="L68" s="217"/>
      <c r="M68" s="226"/>
      <c r="N68" s="212"/>
      <c r="O68" s="220"/>
      <c r="P68" s="214"/>
      <c r="Q68" s="215"/>
      <c r="R68" s="199"/>
      <c r="X68" s="257"/>
    </row>
    <row r="69" spans="1:24" s="12" customFormat="1" x14ac:dyDescent="0.2">
      <c r="A69" s="209" t="str">
        <f>IF(J69&lt;&gt;"",1+MAX($A$18:A68),"")</f>
        <v/>
      </c>
      <c r="B69" s="210"/>
      <c r="C69" s="210"/>
      <c r="D69" s="210"/>
      <c r="E69" s="255"/>
      <c r="F69" s="219" t="s">
        <v>186</v>
      </c>
      <c r="G69" s="316"/>
      <c r="H69" s="225"/>
      <c r="I69" s="317"/>
      <c r="J69" s="192"/>
      <c r="K69" s="227"/>
      <c r="L69"/>
      <c r="M69" s="226"/>
      <c r="N69" s="212"/>
      <c r="O69" s="220"/>
      <c r="P69" s="214"/>
      <c r="Q69" s="215"/>
      <c r="R69" s="199"/>
      <c r="X69" s="257"/>
    </row>
    <row r="70" spans="1:24" s="12" customFormat="1" x14ac:dyDescent="0.2">
      <c r="A70" s="209">
        <f>IF(J70&lt;&gt;"",1+MAX($A$18:A69),"")</f>
        <v>34</v>
      </c>
      <c r="B70" s="210" t="s">
        <v>359</v>
      </c>
      <c r="C70" s="210" t="s">
        <v>359</v>
      </c>
      <c r="D70" s="221" t="s">
        <v>45</v>
      </c>
      <c r="E70" s="255" t="s">
        <v>273</v>
      </c>
      <c r="F70" s="216" t="s">
        <v>361</v>
      </c>
      <c r="G70" s="310">
        <f>5*3*3*1/27</f>
        <v>1.6666666666666667</v>
      </c>
      <c r="H70" s="205">
        <f>IF(VLOOKUP(J70,'HOURLY RATES'!B$116:C$124,2,0)=0,$J$3,VLOOKUP(J70,'HOURLY RATES'!B$116:C$124,2,0))</f>
        <v>0.05</v>
      </c>
      <c r="I70" s="317">
        <f t="shared" ref="I70:I71" si="10">(G70*(1+H70))</f>
        <v>1.7500000000000002</v>
      </c>
      <c r="J70" s="192" t="s">
        <v>47</v>
      </c>
      <c r="K70" s="398">
        <f>4*2</f>
        <v>8</v>
      </c>
      <c r="L70" s="228">
        <f t="shared" ref="L70:L71" si="11">K70*I70</f>
        <v>14.000000000000002</v>
      </c>
      <c r="M70" s="194">
        <f>IF(VLOOKUP(E70,'HOURLY RATES'!C$6:D$105,2,0)=0,$E$3,VLOOKUP(E70,'HOURLY RATES'!C$6:D$105,2,0))</f>
        <v>62.881706250000008</v>
      </c>
      <c r="N70" s="206">
        <f t="shared" ref="N70:N71" si="12">M70*L70</f>
        <v>880.34388750000016</v>
      </c>
      <c r="O70" s="377">
        <f>180+0.3*M70</f>
        <v>198.86451187500001</v>
      </c>
      <c r="P70" s="197">
        <f t="shared" ref="P70:P71" si="13">O70*I70</f>
        <v>348.01289578125005</v>
      </c>
      <c r="Q70" s="198">
        <f t="shared" ref="Q70:Q71" si="14">P70+N70</f>
        <v>1228.3567832812503</v>
      </c>
      <c r="R70" s="199"/>
      <c r="X70" s="257"/>
    </row>
    <row r="71" spans="1:24" s="12" customFormat="1" x14ac:dyDescent="0.2">
      <c r="A71" s="209">
        <f>IF(J71&lt;&gt;"",1+MAX($A$18:A70),"")</f>
        <v>35</v>
      </c>
      <c r="B71" s="210" t="s">
        <v>359</v>
      </c>
      <c r="C71" s="210" t="s">
        <v>359</v>
      </c>
      <c r="D71" s="221" t="s">
        <v>45</v>
      </c>
      <c r="E71" s="255" t="s">
        <v>273</v>
      </c>
      <c r="F71" s="216" t="s">
        <v>187</v>
      </c>
      <c r="G71" s="310">
        <f>(5*3*3*2)*1.043</f>
        <v>93.86999999999999</v>
      </c>
      <c r="H71" s="205">
        <f>IF(VLOOKUP(J71,'HOURLY RATES'!B$116:C$124,2,0)=0,$J$3,VLOOKUP(J71,'HOURLY RATES'!B$116:C$124,2,0))</f>
        <v>0.05</v>
      </c>
      <c r="I71" s="317">
        <f t="shared" si="10"/>
        <v>98.563499999999991</v>
      </c>
      <c r="J71" s="192" t="s">
        <v>121</v>
      </c>
      <c r="K71" s="398">
        <f>0.01*2</f>
        <v>0.02</v>
      </c>
      <c r="L71" s="228">
        <f t="shared" si="11"/>
        <v>1.9712699999999999</v>
      </c>
      <c r="M71" s="194">
        <f>IF(VLOOKUP(E71,'HOURLY RATES'!C$6:D$105,2,0)=0,$E$3,VLOOKUP(E71,'HOURLY RATES'!C$6:D$105,2,0))</f>
        <v>62.881706250000008</v>
      </c>
      <c r="N71" s="206">
        <f t="shared" si="12"/>
        <v>123.9568210794375</v>
      </c>
      <c r="O71" s="377">
        <v>0.93</v>
      </c>
      <c r="P71" s="197">
        <f t="shared" si="13"/>
        <v>91.664054999999991</v>
      </c>
      <c r="Q71" s="198">
        <f t="shared" si="14"/>
        <v>215.62087607943749</v>
      </c>
      <c r="R71" s="199"/>
      <c r="X71" s="257"/>
    </row>
    <row r="72" spans="1:24" s="12" customFormat="1" x14ac:dyDescent="0.2">
      <c r="A72" s="209" t="str">
        <f>IF(J72&lt;&gt;"",1+MAX($A$18:A71),"")</f>
        <v/>
      </c>
      <c r="B72" s="210"/>
      <c r="C72" s="210"/>
      <c r="D72" s="210"/>
      <c r="E72" s="255"/>
      <c r="F72" s="216"/>
      <c r="G72" s="310"/>
      <c r="H72" s="205"/>
      <c r="I72" s="317"/>
      <c r="J72" s="192"/>
      <c r="K72" s="398"/>
      <c r="L72" s="218"/>
      <c r="M72" s="226"/>
      <c r="N72" s="212"/>
      <c r="O72" s="230"/>
      <c r="P72" s="214"/>
      <c r="Q72" s="215"/>
      <c r="R72" s="199"/>
      <c r="X72" s="257"/>
    </row>
    <row r="73" spans="1:24" s="12" customFormat="1" x14ac:dyDescent="0.2">
      <c r="A73" s="209">
        <f>IF(J73&lt;&gt;"",1+MAX($A$18:A72),"")</f>
        <v>36</v>
      </c>
      <c r="B73" s="210" t="s">
        <v>359</v>
      </c>
      <c r="C73" s="210" t="s">
        <v>359</v>
      </c>
      <c r="D73" s="221" t="s">
        <v>45</v>
      </c>
      <c r="E73" s="255" t="s">
        <v>273</v>
      </c>
      <c r="F73" s="216" t="s">
        <v>337</v>
      </c>
      <c r="G73" s="310">
        <f>13*4*4*1/27</f>
        <v>7.7037037037037033</v>
      </c>
      <c r="H73" s="205">
        <f>IF(VLOOKUP(J73,'HOURLY RATES'!B$116:C$124,2,0)=0,$J$3,VLOOKUP(J73,'HOURLY RATES'!B$116:C$124,2,0))</f>
        <v>0.05</v>
      </c>
      <c r="I73" s="317">
        <f t="shared" ref="I73:I74" si="15">(G73*(1+H73))</f>
        <v>8.0888888888888886</v>
      </c>
      <c r="J73" s="192" t="s">
        <v>47</v>
      </c>
      <c r="K73" s="398">
        <f>2.5*2</f>
        <v>5</v>
      </c>
      <c r="L73" s="228">
        <f t="shared" ref="L73:L74" si="16">K73*I73</f>
        <v>40.444444444444443</v>
      </c>
      <c r="M73" s="194">
        <f>IF(VLOOKUP(E73,'HOURLY RATES'!C$6:D$105,2,0)=0,$E$3,VLOOKUP(E73,'HOURLY RATES'!C$6:D$105,2,0))</f>
        <v>62.881706250000008</v>
      </c>
      <c r="N73" s="206">
        <f t="shared" ref="N73:N74" si="17">M73*L73</f>
        <v>2543.2156750000004</v>
      </c>
      <c r="O73" s="377">
        <f>180+0.3*M73</f>
        <v>198.86451187500001</v>
      </c>
      <c r="P73" s="197">
        <f t="shared" ref="P73:P74" si="18">O73*I73</f>
        <v>1608.5929404999999</v>
      </c>
      <c r="Q73" s="198">
        <f t="shared" ref="Q73:Q74" si="19">P73+N73</f>
        <v>4151.8086155000001</v>
      </c>
      <c r="R73" s="199"/>
      <c r="X73" s="257"/>
    </row>
    <row r="74" spans="1:24" s="12" customFormat="1" x14ac:dyDescent="0.2">
      <c r="A74" s="209">
        <f>IF(J74&lt;&gt;"",1+MAX($A$18:A73),"")</f>
        <v>37</v>
      </c>
      <c r="B74" s="210" t="s">
        <v>359</v>
      </c>
      <c r="C74" s="210" t="s">
        <v>359</v>
      </c>
      <c r="D74" s="221" t="s">
        <v>45</v>
      </c>
      <c r="E74" s="255" t="s">
        <v>273</v>
      </c>
      <c r="F74" s="216" t="s">
        <v>188</v>
      </c>
      <c r="G74" s="310">
        <f>(13*4*4*2)*1.043</f>
        <v>433.88799999999998</v>
      </c>
      <c r="H74" s="205">
        <f>IF(VLOOKUP(J74,'HOURLY RATES'!B$116:C$124,2,0)=0,$J$3,VLOOKUP(J74,'HOURLY RATES'!B$116:C$124,2,0))</f>
        <v>0.05</v>
      </c>
      <c r="I74" s="317">
        <f t="shared" si="15"/>
        <v>455.58240000000001</v>
      </c>
      <c r="J74" s="192" t="s">
        <v>121</v>
      </c>
      <c r="K74" s="398">
        <f>0.01*2</f>
        <v>0.02</v>
      </c>
      <c r="L74" s="228">
        <f t="shared" si="16"/>
        <v>9.1116480000000006</v>
      </c>
      <c r="M74" s="194">
        <f>IF(VLOOKUP(E74,'HOURLY RATES'!C$6:D$105,2,0)=0,$E$3,VLOOKUP(E74,'HOURLY RATES'!C$6:D$105,2,0))</f>
        <v>62.881706250000008</v>
      </c>
      <c r="N74" s="206">
        <f t="shared" si="17"/>
        <v>572.95597298940015</v>
      </c>
      <c r="O74" s="377">
        <v>0.93</v>
      </c>
      <c r="P74" s="197">
        <f t="shared" si="18"/>
        <v>423.69163200000003</v>
      </c>
      <c r="Q74" s="198">
        <f t="shared" si="19"/>
        <v>996.64760498940018</v>
      </c>
      <c r="R74" s="199"/>
      <c r="X74" s="257"/>
    </row>
    <row r="75" spans="1:24" s="12" customFormat="1" x14ac:dyDescent="0.2">
      <c r="A75" s="209" t="str">
        <f>IF(J75&lt;&gt;"",1+MAX($A$18:A74),"")</f>
        <v/>
      </c>
      <c r="B75" s="210"/>
      <c r="C75" s="210"/>
      <c r="D75" s="210"/>
      <c r="E75" s="255"/>
      <c r="F75" s="216"/>
      <c r="G75" s="310"/>
      <c r="H75" s="205"/>
      <c r="I75" s="317"/>
      <c r="J75" s="192"/>
      <c r="K75" s="398"/>
      <c r="L75" s="218"/>
      <c r="M75" s="226"/>
      <c r="N75" s="212"/>
      <c r="O75" s="230"/>
      <c r="P75" s="214"/>
      <c r="Q75" s="215"/>
      <c r="R75" s="199"/>
      <c r="X75" s="257"/>
    </row>
    <row r="76" spans="1:24" s="12" customFormat="1" x14ac:dyDescent="0.2">
      <c r="A76" s="209">
        <f>IF(J76&lt;&gt;"",1+MAX($A$18:A75),"")</f>
        <v>38</v>
      </c>
      <c r="B76" s="210" t="s">
        <v>359</v>
      </c>
      <c r="C76" s="210" t="s">
        <v>359</v>
      </c>
      <c r="D76" s="221" t="s">
        <v>45</v>
      </c>
      <c r="E76" s="255" t="s">
        <v>273</v>
      </c>
      <c r="F76" s="216" t="s">
        <v>338</v>
      </c>
      <c r="G76" s="310">
        <f>6*5*5*1/27</f>
        <v>5.5555555555555554</v>
      </c>
      <c r="H76" s="205">
        <f>IF(VLOOKUP(J76,'HOURLY RATES'!B$116:C$124,2,0)=0,$J$3,VLOOKUP(J76,'HOURLY RATES'!B$116:C$124,2,0))</f>
        <v>0.05</v>
      </c>
      <c r="I76" s="317">
        <f t="shared" ref="I76:I77" si="20">(G76*(1+H76))</f>
        <v>5.833333333333333</v>
      </c>
      <c r="J76" s="192" t="s">
        <v>47</v>
      </c>
      <c r="K76" s="398">
        <f>3*2</f>
        <v>6</v>
      </c>
      <c r="L76" s="228">
        <f t="shared" ref="L76:L77" si="21">K76*I76</f>
        <v>35</v>
      </c>
      <c r="M76" s="194">
        <f>IF(VLOOKUP(E76,'HOURLY RATES'!C$6:D$105,2,0)=0,$E$3,VLOOKUP(E76,'HOURLY RATES'!C$6:D$105,2,0))</f>
        <v>62.881706250000008</v>
      </c>
      <c r="N76" s="206">
        <f t="shared" ref="N76:N77" si="22">M76*L76</f>
        <v>2200.8597187500004</v>
      </c>
      <c r="O76" s="377">
        <f>180+0.3*M76</f>
        <v>198.86451187500001</v>
      </c>
      <c r="P76" s="197">
        <f t="shared" ref="P76:P77" si="23">O76*I76</f>
        <v>1160.0429859374999</v>
      </c>
      <c r="Q76" s="198">
        <f t="shared" ref="Q76:Q77" si="24">P76+N76</f>
        <v>3360.9027046875003</v>
      </c>
      <c r="R76" s="199"/>
      <c r="X76" s="257"/>
    </row>
    <row r="77" spans="1:24" s="12" customFormat="1" x14ac:dyDescent="0.2">
      <c r="A77" s="209">
        <f>IF(J77&lt;&gt;"",1+MAX($A$18:A76),"")</f>
        <v>39</v>
      </c>
      <c r="B77" s="210" t="s">
        <v>359</v>
      </c>
      <c r="C77" s="210" t="s">
        <v>359</v>
      </c>
      <c r="D77" s="221" t="s">
        <v>45</v>
      </c>
      <c r="E77" s="255" t="s">
        <v>273</v>
      </c>
      <c r="F77" s="216" t="s">
        <v>340</v>
      </c>
      <c r="G77" s="310">
        <f>(6*5*5*2)*1.043</f>
        <v>312.89999999999998</v>
      </c>
      <c r="H77" s="205">
        <f>IF(VLOOKUP(J77,'HOURLY RATES'!B$116:C$124,2,0)=0,$J$3,VLOOKUP(J77,'HOURLY RATES'!B$116:C$124,2,0))</f>
        <v>0.05</v>
      </c>
      <c r="I77" s="317">
        <f t="shared" si="20"/>
        <v>328.54500000000002</v>
      </c>
      <c r="J77" s="192" t="s">
        <v>121</v>
      </c>
      <c r="K77" s="398">
        <f>0.01*2</f>
        <v>0.02</v>
      </c>
      <c r="L77" s="228">
        <f t="shared" si="21"/>
        <v>6.5709000000000009</v>
      </c>
      <c r="M77" s="194">
        <f>IF(VLOOKUP(E77,'HOURLY RATES'!C$6:D$105,2,0)=0,$E$3,VLOOKUP(E77,'HOURLY RATES'!C$6:D$105,2,0))</f>
        <v>62.881706250000008</v>
      </c>
      <c r="N77" s="206">
        <f t="shared" si="22"/>
        <v>413.18940359812512</v>
      </c>
      <c r="O77" s="377">
        <v>0.93</v>
      </c>
      <c r="P77" s="197">
        <f t="shared" si="23"/>
        <v>305.54685000000001</v>
      </c>
      <c r="Q77" s="198">
        <f t="shared" si="24"/>
        <v>718.73625359812513</v>
      </c>
      <c r="R77" s="199"/>
      <c r="X77" s="257"/>
    </row>
    <row r="78" spans="1:24" s="12" customFormat="1" x14ac:dyDescent="0.2">
      <c r="A78" s="209" t="str">
        <f>IF(J78&lt;&gt;"",1+MAX($A$18:A77),"")</f>
        <v/>
      </c>
      <c r="B78" s="210"/>
      <c r="C78" s="210"/>
      <c r="D78" s="221"/>
      <c r="E78" s="255"/>
      <c r="F78" s="216"/>
      <c r="G78" s="310"/>
      <c r="H78" s="205"/>
      <c r="I78" s="317"/>
      <c r="J78" s="192"/>
      <c r="K78" s="398"/>
      <c r="L78" s="228"/>
      <c r="M78" s="194"/>
      <c r="N78" s="206"/>
      <c r="O78" s="377"/>
      <c r="P78" s="197"/>
      <c r="Q78" s="198"/>
      <c r="R78" s="199"/>
      <c r="X78" s="257"/>
    </row>
    <row r="79" spans="1:24" s="12" customFormat="1" x14ac:dyDescent="0.2">
      <c r="A79" s="209">
        <f>IF(J79&lt;&gt;"",1+MAX($A$18:A78),"")</f>
        <v>40</v>
      </c>
      <c r="B79" s="210" t="s">
        <v>359</v>
      </c>
      <c r="C79" s="210" t="s">
        <v>359</v>
      </c>
      <c r="D79" s="221" t="s">
        <v>45</v>
      </c>
      <c r="E79" s="255" t="s">
        <v>273</v>
      </c>
      <c r="F79" s="216" t="s">
        <v>339</v>
      </c>
      <c r="G79" s="310">
        <f>4*6*6*1/27</f>
        <v>5.333333333333333</v>
      </c>
      <c r="H79" s="205">
        <f>IF(VLOOKUP(J79,'HOURLY RATES'!B$116:C$124,2,0)=0,$J$3,VLOOKUP(J79,'HOURLY RATES'!B$116:C$124,2,0))</f>
        <v>0.05</v>
      </c>
      <c r="I79" s="317">
        <f t="shared" ref="I79:I80" si="25">(G79*(1+H79))</f>
        <v>5.6</v>
      </c>
      <c r="J79" s="192" t="s">
        <v>47</v>
      </c>
      <c r="K79" s="398">
        <f>3*2</f>
        <v>6</v>
      </c>
      <c r="L79" s="228">
        <f t="shared" ref="L79:L80" si="26">K79*I79</f>
        <v>33.599999999999994</v>
      </c>
      <c r="M79" s="194">
        <f>IF(VLOOKUP(E79,'HOURLY RATES'!C$6:D$105,2,0)=0,$E$3,VLOOKUP(E79,'HOURLY RATES'!C$6:D$105,2,0))</f>
        <v>62.881706250000008</v>
      </c>
      <c r="N79" s="206">
        <f t="shared" ref="N79:N80" si="27">M79*L79</f>
        <v>2112.8253300000001</v>
      </c>
      <c r="O79" s="377">
        <f>180+0.3*M79</f>
        <v>198.86451187500001</v>
      </c>
      <c r="P79" s="197">
        <f t="shared" ref="P79:P80" si="28">O79*I79</f>
        <v>1113.6412665</v>
      </c>
      <c r="Q79" s="198">
        <f t="shared" ref="Q79:Q80" si="29">P79+N79</f>
        <v>3226.4665965000004</v>
      </c>
      <c r="R79" s="199"/>
      <c r="X79" s="257"/>
    </row>
    <row r="80" spans="1:24" s="12" customFormat="1" x14ac:dyDescent="0.2">
      <c r="A80" s="209">
        <f>IF(J80&lt;&gt;"",1+MAX($A$18:A79),"")</f>
        <v>41</v>
      </c>
      <c r="B80" s="210" t="s">
        <v>359</v>
      </c>
      <c r="C80" s="210" t="s">
        <v>359</v>
      </c>
      <c r="D80" s="221" t="s">
        <v>45</v>
      </c>
      <c r="E80" s="255" t="s">
        <v>273</v>
      </c>
      <c r="F80" s="216" t="s">
        <v>341</v>
      </c>
      <c r="G80" s="310">
        <f>(4*6*6*2)*1.043</f>
        <v>300.38399999999996</v>
      </c>
      <c r="H80" s="205">
        <f>IF(VLOOKUP(J80,'HOURLY RATES'!B$116:C$124,2,0)=0,$J$3,VLOOKUP(J80,'HOURLY RATES'!B$116:C$124,2,0))</f>
        <v>0.05</v>
      </c>
      <c r="I80" s="317">
        <f t="shared" si="25"/>
        <v>315.40319999999997</v>
      </c>
      <c r="J80" s="192" t="s">
        <v>121</v>
      </c>
      <c r="K80" s="398">
        <f>0.01*2</f>
        <v>0.02</v>
      </c>
      <c r="L80" s="228">
        <f t="shared" si="26"/>
        <v>6.3080639999999999</v>
      </c>
      <c r="M80" s="194">
        <f>IF(VLOOKUP(E80,'HOURLY RATES'!C$6:D$105,2,0)=0,$E$3,VLOOKUP(E80,'HOURLY RATES'!C$6:D$105,2,0))</f>
        <v>62.881706250000008</v>
      </c>
      <c r="N80" s="206">
        <f t="shared" si="27"/>
        <v>396.66182745420002</v>
      </c>
      <c r="O80" s="377">
        <v>0.93</v>
      </c>
      <c r="P80" s="197">
        <f t="shared" si="28"/>
        <v>293.32497599999999</v>
      </c>
      <c r="Q80" s="198">
        <f t="shared" si="29"/>
        <v>689.98680345420007</v>
      </c>
      <c r="R80" s="199"/>
      <c r="X80" s="257"/>
    </row>
    <row r="81" spans="1:24" s="12" customFormat="1" x14ac:dyDescent="0.2">
      <c r="A81" s="209" t="str">
        <f>IF(J81&lt;&gt;"",1+MAX($A$18:A80),"")</f>
        <v/>
      </c>
      <c r="B81" s="210"/>
      <c r="C81" s="210"/>
      <c r="D81" s="210"/>
      <c r="E81" s="255"/>
      <c r="F81" s="216"/>
      <c r="G81" s="310"/>
      <c r="H81" s="205"/>
      <c r="I81" s="317"/>
      <c r="J81" s="192"/>
      <c r="K81" s="398"/>
      <c r="L81" s="218"/>
      <c r="M81" s="226"/>
      <c r="N81" s="212"/>
      <c r="O81" s="230"/>
      <c r="P81" s="214"/>
      <c r="Q81" s="215"/>
      <c r="R81" s="199"/>
      <c r="X81" s="257"/>
    </row>
    <row r="82" spans="1:24" s="12" customFormat="1" x14ac:dyDescent="0.2">
      <c r="A82" s="209" t="str">
        <f>IF(J82&lt;&gt;"",1+MAX($A$18:A81),"")</f>
        <v/>
      </c>
      <c r="B82" s="210"/>
      <c r="C82" s="210"/>
      <c r="D82" s="210"/>
      <c r="E82" s="255"/>
      <c r="F82" s="219" t="s">
        <v>218</v>
      </c>
      <c r="G82" s="316"/>
      <c r="H82" s="225"/>
      <c r="I82" s="317"/>
      <c r="J82" s="192"/>
      <c r="K82" s="227"/>
      <c r="L82"/>
      <c r="M82" s="226"/>
      <c r="N82" s="212"/>
      <c r="O82" s="224"/>
      <c r="P82" s="214"/>
      <c r="Q82" s="215"/>
      <c r="R82" s="199"/>
      <c r="X82" s="257"/>
    </row>
    <row r="83" spans="1:24" s="12" customFormat="1" x14ac:dyDescent="0.2">
      <c r="A83" s="209">
        <f>IF(J83&lt;&gt;"",1+MAX($A$18:A82),"")</f>
        <v>42</v>
      </c>
      <c r="B83" s="210" t="s">
        <v>359</v>
      </c>
      <c r="C83" s="210" t="s">
        <v>359</v>
      </c>
      <c r="D83" s="221" t="s">
        <v>45</v>
      </c>
      <c r="E83" s="255" t="s">
        <v>273</v>
      </c>
      <c r="F83" s="216" t="s">
        <v>342</v>
      </c>
      <c r="G83" s="310">
        <f>397.24*2*1/27</f>
        <v>29.425185185185185</v>
      </c>
      <c r="H83" s="205">
        <f>IF(VLOOKUP(J83,'HOURLY RATES'!B$116:C$124,2,0)=0,$J$3,VLOOKUP(J83,'HOURLY RATES'!B$116:C$124,2,0))</f>
        <v>0.05</v>
      </c>
      <c r="I83" s="317">
        <f t="shared" ref="I83:I84" si="30">(G83*(1+H83))</f>
        <v>30.896444444444445</v>
      </c>
      <c r="J83" s="192" t="s">
        <v>47</v>
      </c>
      <c r="K83" s="398">
        <v>2</v>
      </c>
      <c r="L83" s="228">
        <f t="shared" ref="L83:L84" si="31">K83*I83</f>
        <v>61.792888888888889</v>
      </c>
      <c r="M83" s="194">
        <f>IF(VLOOKUP(E83,'HOURLY RATES'!C$6:D$105,2,0)=0,$E$3,VLOOKUP(E83,'HOURLY RATES'!C$6:D$105,2,0))</f>
        <v>62.881706250000008</v>
      </c>
      <c r="N83" s="206">
        <f t="shared" ref="N83:N84" si="32">M83*L83</f>
        <v>3885.6422874500004</v>
      </c>
      <c r="O83" s="377">
        <f>180+0.3*M83</f>
        <v>198.86451187500001</v>
      </c>
      <c r="P83" s="197">
        <f t="shared" ref="P83:P84" si="33">O83*I83</f>
        <v>6144.2063431175002</v>
      </c>
      <c r="Q83" s="198">
        <f t="shared" ref="Q83:Q84" si="34">P83+N83</f>
        <v>10029.8486305675</v>
      </c>
      <c r="R83" s="199"/>
      <c r="X83" s="257"/>
    </row>
    <row r="84" spans="1:24" s="12" customFormat="1" x14ac:dyDescent="0.2">
      <c r="A84" s="209">
        <f>IF(J84&lt;&gt;"",1+MAX($A$18:A83),"")</f>
        <v>43</v>
      </c>
      <c r="B84" s="210" t="s">
        <v>359</v>
      </c>
      <c r="C84" s="210" t="s">
        <v>359</v>
      </c>
      <c r="D84" s="221" t="s">
        <v>45</v>
      </c>
      <c r="E84" s="255" t="s">
        <v>273</v>
      </c>
      <c r="F84" s="216" t="s">
        <v>219</v>
      </c>
      <c r="G84" s="310">
        <f>(397.24*3)*1.043</f>
        <v>1242.96396</v>
      </c>
      <c r="H84" s="205">
        <f>IF(VLOOKUP(J84,'HOURLY RATES'!B$116:C$124,2,0)=0,$J$3,VLOOKUP(J84,'HOURLY RATES'!B$116:C$124,2,0))</f>
        <v>0.05</v>
      </c>
      <c r="I84" s="317">
        <f t="shared" si="30"/>
        <v>1305.1121580000001</v>
      </c>
      <c r="J84" s="192" t="s">
        <v>121</v>
      </c>
      <c r="K84" s="398">
        <v>0.01</v>
      </c>
      <c r="L84" s="228">
        <f t="shared" si="31"/>
        <v>13.051121580000002</v>
      </c>
      <c r="M84" s="194">
        <f>IF(VLOOKUP(E84,'HOURLY RATES'!C$6:D$105,2,0)=0,$E$3,VLOOKUP(E84,'HOURLY RATES'!C$6:D$105,2,0))</f>
        <v>62.881706250000008</v>
      </c>
      <c r="N84" s="206">
        <f t="shared" si="32"/>
        <v>820.67679342659608</v>
      </c>
      <c r="O84" s="377">
        <v>0.93</v>
      </c>
      <c r="P84" s="197">
        <f t="shared" si="33"/>
        <v>1213.7543069400001</v>
      </c>
      <c r="Q84" s="198">
        <f t="shared" si="34"/>
        <v>2034.4311003665962</v>
      </c>
      <c r="R84" s="199"/>
      <c r="X84" s="257"/>
    </row>
    <row r="85" spans="1:24" s="12" customFormat="1" x14ac:dyDescent="0.2">
      <c r="A85" s="209" t="str">
        <f>IF(J85&lt;&gt;"",1+MAX($A$18:A84),"")</f>
        <v/>
      </c>
      <c r="B85" s="210"/>
      <c r="C85" s="210"/>
      <c r="D85" s="210"/>
      <c r="E85" s="255"/>
      <c r="F85" s="216"/>
      <c r="G85" s="310"/>
      <c r="H85" s="205"/>
      <c r="I85" s="317"/>
      <c r="J85" s="192"/>
      <c r="K85" s="398"/>
      <c r="L85" s="218"/>
      <c r="M85" s="226"/>
      <c r="N85" s="212"/>
      <c r="O85" s="230"/>
      <c r="P85" s="214"/>
      <c r="Q85" s="215"/>
      <c r="R85" s="199"/>
      <c r="X85" s="257"/>
    </row>
    <row r="86" spans="1:24" s="12" customFormat="1" x14ac:dyDescent="0.2">
      <c r="A86" s="209" t="str">
        <f>IF(J86&lt;&gt;"",1+MAX($A$18:A85),"")</f>
        <v/>
      </c>
      <c r="B86" s="210"/>
      <c r="C86" s="210"/>
      <c r="D86" s="210"/>
      <c r="E86" s="255"/>
      <c r="F86" s="219" t="s">
        <v>189</v>
      </c>
      <c r="G86" s="310"/>
      <c r="H86" s="205"/>
      <c r="I86" s="317"/>
      <c r="J86" s="192"/>
      <c r="K86" s="398"/>
      <c r="L86" s="218"/>
      <c r="M86" s="226"/>
      <c r="N86" s="212"/>
      <c r="O86" s="230"/>
      <c r="P86" s="214"/>
      <c r="Q86" s="215"/>
      <c r="R86" s="199"/>
      <c r="X86" s="257"/>
    </row>
    <row r="87" spans="1:24" s="12" customFormat="1" x14ac:dyDescent="0.2">
      <c r="A87" s="209">
        <f>IF(J87&lt;&gt;"",1+MAX($A$18:A86),"")</f>
        <v>44</v>
      </c>
      <c r="B87" s="210" t="s">
        <v>359</v>
      </c>
      <c r="C87" s="210" t="s">
        <v>359</v>
      </c>
      <c r="D87" s="221" t="s">
        <v>45</v>
      </c>
      <c r="E87" s="255" t="s">
        <v>273</v>
      </c>
      <c r="F87" s="216" t="s">
        <v>343</v>
      </c>
      <c r="G87" s="310">
        <f>478.52*0.67*2.5/27</f>
        <v>29.685962962962964</v>
      </c>
      <c r="H87" s="205">
        <f>IF(VLOOKUP(J87,'HOURLY RATES'!B$116:C$124,2,0)=0,$J$3,VLOOKUP(J87,'HOURLY RATES'!B$116:C$124,2,0))</f>
        <v>0.05</v>
      </c>
      <c r="I87" s="317">
        <f t="shared" ref="I87:I89" si="35">(G87*(1+H87))</f>
        <v>31.170261111111113</v>
      </c>
      <c r="J87" s="192" t="s">
        <v>47</v>
      </c>
      <c r="K87" s="398">
        <v>2</v>
      </c>
      <c r="L87" s="228">
        <f t="shared" ref="L87:L89" si="36">K87*I87</f>
        <v>62.340522222222226</v>
      </c>
      <c r="M87" s="194">
        <f>IF(VLOOKUP(E87,'HOURLY RATES'!C$6:D$105,2,0)=0,$E$3,VLOOKUP(E87,'HOURLY RATES'!C$6:D$105,2,0))</f>
        <v>62.881706250000008</v>
      </c>
      <c r="N87" s="206">
        <f t="shared" ref="N87:N89" si="37">M87*L87</f>
        <v>3920.0784058493759</v>
      </c>
      <c r="O87" s="377">
        <f>180+0.3*M87</f>
        <v>198.86451187500001</v>
      </c>
      <c r="P87" s="197">
        <f t="shared" ref="P87:P89" si="38">O87*I87</f>
        <v>6198.6587608774071</v>
      </c>
      <c r="Q87" s="198">
        <f t="shared" ref="Q87:Q89" si="39">P87+N87</f>
        <v>10118.737166726783</v>
      </c>
      <c r="R87" s="199"/>
      <c r="X87" s="257"/>
    </row>
    <row r="88" spans="1:24" s="12" customFormat="1" x14ac:dyDescent="0.2">
      <c r="A88" s="209">
        <f>IF(J88&lt;&gt;"",1+MAX($A$18:A87),"")</f>
        <v>45</v>
      </c>
      <c r="B88" s="210" t="s">
        <v>359</v>
      </c>
      <c r="C88" s="210" t="s">
        <v>359</v>
      </c>
      <c r="D88" s="221" t="s">
        <v>45</v>
      </c>
      <c r="E88" s="255" t="s">
        <v>273</v>
      </c>
      <c r="F88" s="216" t="s">
        <v>346</v>
      </c>
      <c r="G88" s="310">
        <f>((2.5/1)*478.52)*0.668</f>
        <v>799.12840000000006</v>
      </c>
      <c r="H88" s="205">
        <f>IF(VLOOKUP(J88,'HOURLY RATES'!B$116:C$124,2,0)=0,$J$3,VLOOKUP(J88,'HOURLY RATES'!B$116:C$124,2,0))</f>
        <v>0.05</v>
      </c>
      <c r="I88" s="317">
        <f t="shared" si="35"/>
        <v>839.08482000000015</v>
      </c>
      <c r="J88" s="192" t="s">
        <v>121</v>
      </c>
      <c r="K88" s="398">
        <v>0.01</v>
      </c>
      <c r="L88" s="228">
        <f t="shared" si="36"/>
        <v>8.3908482000000024</v>
      </c>
      <c r="M88" s="194">
        <f>IF(VLOOKUP(E88,'HOURLY RATES'!C$6:D$105,2,0)=0,$E$3,VLOOKUP(E88,'HOURLY RATES'!C$6:D$105,2,0))</f>
        <v>62.881706250000008</v>
      </c>
      <c r="N88" s="206">
        <f t="shared" si="37"/>
        <v>527.63085170074146</v>
      </c>
      <c r="O88" s="377">
        <v>0.93</v>
      </c>
      <c r="P88" s="197">
        <f t="shared" si="38"/>
        <v>780.34888260000014</v>
      </c>
      <c r="Q88" s="198">
        <f t="shared" si="39"/>
        <v>1307.9797343007417</v>
      </c>
      <c r="R88" s="199"/>
      <c r="X88" s="257"/>
    </row>
    <row r="89" spans="1:24" s="12" customFormat="1" x14ac:dyDescent="0.2">
      <c r="A89" s="209">
        <f>IF(J89&lt;&gt;"",1+MAX($A$18:A88),"")</f>
        <v>46</v>
      </c>
      <c r="B89" s="210" t="s">
        <v>359</v>
      </c>
      <c r="C89" s="210" t="s">
        <v>359</v>
      </c>
      <c r="D89" s="221" t="s">
        <v>45</v>
      </c>
      <c r="E89" s="255" t="s">
        <v>273</v>
      </c>
      <c r="F89" s="216" t="s">
        <v>347</v>
      </c>
      <c r="G89" s="310">
        <f>((478.52/1)*4)*0.668</f>
        <v>1278.60544</v>
      </c>
      <c r="H89" s="205">
        <f>IF(VLOOKUP(J89,'HOURLY RATES'!B$116:C$124,2,0)=0,$J$3,VLOOKUP(J89,'HOURLY RATES'!B$116:C$124,2,0))</f>
        <v>0.05</v>
      </c>
      <c r="I89" s="317">
        <f t="shared" si="35"/>
        <v>1342.5357120000001</v>
      </c>
      <c r="J89" s="192" t="s">
        <v>121</v>
      </c>
      <c r="K89" s="398">
        <v>0.01</v>
      </c>
      <c r="L89" s="228">
        <f t="shared" si="36"/>
        <v>13.425357120000001</v>
      </c>
      <c r="M89" s="194">
        <f>IF(VLOOKUP(E89,'HOURLY RATES'!C$6:D$105,2,0)=0,$E$3,VLOOKUP(E89,'HOURLY RATES'!C$6:D$105,2,0))</f>
        <v>62.881706250000008</v>
      </c>
      <c r="N89" s="206">
        <f t="shared" si="37"/>
        <v>844.20936272118615</v>
      </c>
      <c r="O89" s="377">
        <v>0.93</v>
      </c>
      <c r="P89" s="197">
        <f t="shared" si="38"/>
        <v>1248.5582121600003</v>
      </c>
      <c r="Q89" s="198">
        <f t="shared" si="39"/>
        <v>2092.7675748811862</v>
      </c>
      <c r="R89" s="199"/>
      <c r="X89" s="257"/>
    </row>
    <row r="90" spans="1:24" s="12" customFormat="1" x14ac:dyDescent="0.2">
      <c r="A90" s="209" t="str">
        <f>IF(J90&lt;&gt;"",1+MAX($A$18:A89),"")</f>
        <v/>
      </c>
      <c r="B90" s="210"/>
      <c r="C90" s="210"/>
      <c r="D90" s="210"/>
      <c r="E90" s="255"/>
      <c r="F90" s="216"/>
      <c r="G90" s="310"/>
      <c r="H90" s="205"/>
      <c r="I90" s="317"/>
      <c r="J90" s="192"/>
      <c r="K90" s="398"/>
      <c r="L90" s="218"/>
      <c r="M90" s="226"/>
      <c r="N90" s="212"/>
      <c r="O90" s="224"/>
      <c r="P90" s="214"/>
      <c r="Q90" s="215"/>
      <c r="R90" s="199"/>
      <c r="X90" s="257"/>
    </row>
    <row r="91" spans="1:24" s="12" customFormat="1" x14ac:dyDescent="0.2">
      <c r="A91" s="209" t="str">
        <f>IF(J91&lt;&gt;"",1+MAX($A$18:A90),"")</f>
        <v/>
      </c>
      <c r="B91" s="210"/>
      <c r="C91" s="210"/>
      <c r="D91" s="210"/>
      <c r="E91" s="255"/>
      <c r="F91" s="219" t="s">
        <v>348</v>
      </c>
      <c r="G91" s="310"/>
      <c r="H91" s="205"/>
      <c r="I91" s="317"/>
      <c r="J91" s="192"/>
      <c r="K91" s="398"/>
      <c r="L91" s="218"/>
      <c r="M91" s="226"/>
      <c r="N91" s="212"/>
      <c r="O91" s="224"/>
      <c r="P91" s="214"/>
      <c r="Q91" s="215"/>
      <c r="R91" s="199"/>
      <c r="X91" s="257"/>
    </row>
    <row r="92" spans="1:24" s="12" customFormat="1" x14ac:dyDescent="0.2">
      <c r="A92" s="209">
        <f>IF(J92&lt;&gt;"",1+MAX($A$18:A91),"")</f>
        <v>47</v>
      </c>
      <c r="B92" s="210" t="s">
        <v>359</v>
      </c>
      <c r="C92" s="210" t="s">
        <v>359</v>
      </c>
      <c r="D92" s="221" t="s">
        <v>45</v>
      </c>
      <c r="E92" s="255" t="s">
        <v>273</v>
      </c>
      <c r="F92" s="216" t="s">
        <v>344</v>
      </c>
      <c r="G92" s="310">
        <f>16*1.83*1.83*0.67/27</f>
        <v>1.3296373333333336</v>
      </c>
      <c r="H92" s="205">
        <f>IF(VLOOKUP(J92,'HOURLY RATES'!B$116:C$124,2,0)=0,$J$3,VLOOKUP(J92,'HOURLY RATES'!B$116:C$124,2,0))</f>
        <v>0.05</v>
      </c>
      <c r="I92" s="317">
        <f t="shared" ref="I92:I94" si="40">(G92*(1+H92))</f>
        <v>1.3961192000000002</v>
      </c>
      <c r="J92" s="192" t="s">
        <v>47</v>
      </c>
      <c r="K92" s="398">
        <f>10*2</f>
        <v>20</v>
      </c>
      <c r="L92" s="228">
        <f t="shared" ref="L92:L94" si="41">K92*I92</f>
        <v>27.922384000000005</v>
      </c>
      <c r="M92" s="194">
        <f>IF(VLOOKUP(E92,'HOURLY RATES'!C$6:D$105,2,0)=0,$E$3,VLOOKUP(E92,'HOURLY RATES'!C$6:D$105,2,0))</f>
        <v>62.881706250000008</v>
      </c>
      <c r="N92" s="206">
        <f t="shared" ref="N92:N94" si="42">M92*L92</f>
        <v>1755.8071484877005</v>
      </c>
      <c r="O92" s="377">
        <f>180+0.3*M92</f>
        <v>198.86451187500001</v>
      </c>
      <c r="P92" s="197">
        <f t="shared" ref="P92:P94" si="43">O92*I92</f>
        <v>277.63856322731556</v>
      </c>
      <c r="Q92" s="198">
        <f t="shared" ref="Q92:Q94" si="44">P92+N92</f>
        <v>2033.4457117150159</v>
      </c>
      <c r="R92" s="199"/>
      <c r="X92" s="257"/>
    </row>
    <row r="93" spans="1:24" s="12" customFormat="1" x14ac:dyDescent="0.2">
      <c r="A93" s="209">
        <f>IF(J93&lt;&gt;"",1+MAX($A$18:A92),"")</f>
        <v>48</v>
      </c>
      <c r="B93" s="210" t="s">
        <v>359</v>
      </c>
      <c r="C93" s="210" t="s">
        <v>359</v>
      </c>
      <c r="D93" s="221" t="s">
        <v>45</v>
      </c>
      <c r="E93" s="255" t="s">
        <v>273</v>
      </c>
      <c r="F93" s="216" t="s">
        <v>349</v>
      </c>
      <c r="G93" s="310">
        <f>(16*12*1)*1.502</f>
        <v>288.38400000000001</v>
      </c>
      <c r="H93" s="205">
        <f>IF(VLOOKUP(J93,'HOURLY RATES'!B$116:C$124,2,0)=0,$J$3,VLOOKUP(J93,'HOURLY RATES'!B$116:C$124,2,0))</f>
        <v>0.05</v>
      </c>
      <c r="I93" s="317">
        <f t="shared" si="40"/>
        <v>302.8032</v>
      </c>
      <c r="J93" s="192" t="s">
        <v>121</v>
      </c>
      <c r="K93" s="398">
        <f>0.01*2</f>
        <v>0.02</v>
      </c>
      <c r="L93" s="228">
        <f t="shared" si="41"/>
        <v>6.0560640000000001</v>
      </c>
      <c r="M93" s="194">
        <f>IF(VLOOKUP(E93,'HOURLY RATES'!C$6:D$105,2,0)=0,$E$3,VLOOKUP(E93,'HOURLY RATES'!C$6:D$105,2,0))</f>
        <v>62.881706250000008</v>
      </c>
      <c r="N93" s="206">
        <f t="shared" si="42"/>
        <v>380.81563747920006</v>
      </c>
      <c r="O93" s="377">
        <v>0.93</v>
      </c>
      <c r="P93" s="197">
        <f t="shared" si="43"/>
        <v>281.60697600000003</v>
      </c>
      <c r="Q93" s="198">
        <f t="shared" si="44"/>
        <v>662.42261347920009</v>
      </c>
      <c r="R93" s="199"/>
      <c r="X93" s="257"/>
    </row>
    <row r="94" spans="1:24" s="12" customFormat="1" x14ac:dyDescent="0.2">
      <c r="A94" s="209">
        <f>IF(J94&lt;&gt;"",1+MAX($A$18:A93),"")</f>
        <v>49</v>
      </c>
      <c r="B94" s="210" t="s">
        <v>359</v>
      </c>
      <c r="C94" s="210" t="s">
        <v>359</v>
      </c>
      <c r="D94" s="221" t="s">
        <v>45</v>
      </c>
      <c r="E94" s="255" t="s">
        <v>273</v>
      </c>
      <c r="F94" s="216" t="s">
        <v>350</v>
      </c>
      <c r="G94" s="310">
        <f>((0.67/1)*16*7.33)*0.376</f>
        <v>29.545177600000002</v>
      </c>
      <c r="H94" s="205">
        <f>IF(VLOOKUP(J94,'HOURLY RATES'!B$116:C$124,2,0)=0,$J$3,VLOOKUP(J94,'HOURLY RATES'!B$116:C$124,2,0))</f>
        <v>0.05</v>
      </c>
      <c r="I94" s="317">
        <f t="shared" si="40"/>
        <v>31.022436480000003</v>
      </c>
      <c r="J94" s="192" t="s">
        <v>121</v>
      </c>
      <c r="K94" s="398">
        <f>0.01*2</f>
        <v>0.02</v>
      </c>
      <c r="L94" s="228">
        <f t="shared" si="41"/>
        <v>0.62044872960000008</v>
      </c>
      <c r="M94" s="194">
        <f>IF(VLOOKUP(E94,'HOURLY RATES'!C$6:D$105,2,0)=0,$E$3,VLOOKUP(E94,'HOURLY RATES'!C$6:D$105,2,0))</f>
        <v>62.881706250000008</v>
      </c>
      <c r="N94" s="206">
        <f t="shared" si="42"/>
        <v>39.01487475789289</v>
      </c>
      <c r="O94" s="377">
        <v>0.93</v>
      </c>
      <c r="P94" s="197">
        <f t="shared" si="43"/>
        <v>28.850865926400004</v>
      </c>
      <c r="Q94" s="198">
        <f t="shared" si="44"/>
        <v>67.865740684292888</v>
      </c>
      <c r="R94" s="199"/>
      <c r="X94" s="257"/>
    </row>
    <row r="95" spans="1:24" s="12" customFormat="1" x14ac:dyDescent="0.2">
      <c r="A95" s="209" t="str">
        <f>IF(J95&lt;&gt;"",1+MAX($A$18:A94),"")</f>
        <v/>
      </c>
      <c r="B95" s="210"/>
      <c r="C95" s="210"/>
      <c r="D95" s="210"/>
      <c r="E95" s="255"/>
      <c r="F95" s="216"/>
      <c r="G95" s="310"/>
      <c r="H95" s="205"/>
      <c r="I95" s="317"/>
      <c r="J95" s="192"/>
      <c r="K95" s="398"/>
      <c r="L95" s="218"/>
      <c r="M95" s="226"/>
      <c r="N95" s="212"/>
      <c r="O95" s="230"/>
      <c r="P95" s="214"/>
      <c r="Q95" s="215"/>
      <c r="R95" s="199"/>
      <c r="X95" s="257"/>
    </row>
    <row r="96" spans="1:24" s="12" customFormat="1" x14ac:dyDescent="0.2">
      <c r="A96" s="209" t="str">
        <f>IF(J96&lt;&gt;"",1+MAX($A$18:A95),"")</f>
        <v/>
      </c>
      <c r="B96" s="210"/>
      <c r="C96" s="210"/>
      <c r="D96" s="210"/>
      <c r="E96" s="255"/>
      <c r="F96" s="219" t="s">
        <v>190</v>
      </c>
      <c r="G96" s="310"/>
      <c r="H96" s="205"/>
      <c r="I96" s="317"/>
      <c r="J96" s="192"/>
      <c r="K96" s="398"/>
      <c r="L96" s="218"/>
      <c r="M96" s="226"/>
      <c r="N96" s="212"/>
      <c r="O96" s="224"/>
      <c r="P96" s="214"/>
      <c r="Q96" s="215"/>
      <c r="R96" s="199"/>
      <c r="X96" s="257"/>
    </row>
    <row r="97" spans="1:24" s="12" customFormat="1" x14ac:dyDescent="0.2">
      <c r="A97" s="209">
        <f>IF(J97&lt;&gt;"",1+MAX($A$18:A96),"")</f>
        <v>50</v>
      </c>
      <c r="B97" s="210" t="s">
        <v>359</v>
      </c>
      <c r="C97" s="210" t="s">
        <v>359</v>
      </c>
      <c r="D97" s="221" t="s">
        <v>45</v>
      </c>
      <c r="E97" s="255" t="s">
        <v>273</v>
      </c>
      <c r="F97" s="216" t="s">
        <v>351</v>
      </c>
      <c r="G97" s="310">
        <f>10659.43*0.5/27</f>
        <v>197.39685185185186</v>
      </c>
      <c r="H97" s="205">
        <f>IF(VLOOKUP(J97,'HOURLY RATES'!B$116:C$124,2,0)=0,$J$3,VLOOKUP(J97,'HOURLY RATES'!B$116:C$124,2,0))</f>
        <v>0.05</v>
      </c>
      <c r="I97" s="317">
        <f t="shared" ref="I97:I99" si="45">(G97*(1+H97))</f>
        <v>207.26669444444445</v>
      </c>
      <c r="J97" s="192" t="s">
        <v>47</v>
      </c>
      <c r="K97" s="398">
        <v>1.4</v>
      </c>
      <c r="L97" s="228">
        <f t="shared" ref="L97:L99" si="46">K97*I97</f>
        <v>290.17337222222221</v>
      </c>
      <c r="M97" s="194">
        <f>IF(VLOOKUP(E97,'HOURLY RATES'!C$6:D$105,2,0)=0,$E$3,VLOOKUP(E97,'HOURLY RATES'!C$6:D$105,2,0))</f>
        <v>62.881706250000008</v>
      </c>
      <c r="N97" s="206">
        <f t="shared" ref="N97:N99" si="47">M97*L97</f>
        <v>18246.59675364969</v>
      </c>
      <c r="O97" s="377">
        <f>180+0.3*M97</f>
        <v>198.86451187500001</v>
      </c>
      <c r="P97" s="197">
        <f t="shared" ref="P97:P99" si="48">O97*I97</f>
        <v>41217.990018639219</v>
      </c>
      <c r="Q97" s="198">
        <f t="shared" ref="Q97:Q99" si="49">P97+N97</f>
        <v>59464.586772288909</v>
      </c>
      <c r="R97" s="199"/>
      <c r="X97" s="257"/>
    </row>
    <row r="98" spans="1:24" s="12" customFormat="1" x14ac:dyDescent="0.2">
      <c r="A98" s="209">
        <f>IF(J98&lt;&gt;"",1+MAX($A$18:A97),"")</f>
        <v>51</v>
      </c>
      <c r="B98" s="210" t="s">
        <v>359</v>
      </c>
      <c r="C98" s="210" t="s">
        <v>359</v>
      </c>
      <c r="D98" s="221" t="s">
        <v>45</v>
      </c>
      <c r="E98" s="255" t="s">
        <v>273</v>
      </c>
      <c r="F98" s="216" t="s">
        <v>353</v>
      </c>
      <c r="G98" s="310">
        <f>10659.43*0.33/27</f>
        <v>130.28192222222222</v>
      </c>
      <c r="H98" s="205">
        <f>IF(VLOOKUP(J98,'HOURLY RATES'!B$116:C$124,2,0)=0,$J$3,VLOOKUP(J98,'HOURLY RATES'!B$116:C$124,2,0))</f>
        <v>0.05</v>
      </c>
      <c r="I98" s="317">
        <f t="shared" si="45"/>
        <v>136.79601833333334</v>
      </c>
      <c r="J98" s="192" t="s">
        <v>47</v>
      </c>
      <c r="K98" s="398">
        <v>0.33800000000000002</v>
      </c>
      <c r="L98" s="228">
        <f t="shared" si="46"/>
        <v>46.237054196666669</v>
      </c>
      <c r="M98" s="194">
        <f>IF(VLOOKUP(E98,'HOURLY RATES'!C$6:D$105,2,0)=0,$E$3,VLOOKUP(E98,'HOURLY RATES'!C$6:D$105,2,0))</f>
        <v>62.881706250000008</v>
      </c>
      <c r="N98" s="206">
        <f t="shared" si="47"/>
        <v>2907.4648598601234</v>
      </c>
      <c r="O98" s="377">
        <f>32.5+0.1*M98</f>
        <v>38.788170624999999</v>
      </c>
      <c r="P98" s="197">
        <f t="shared" si="48"/>
        <v>5306.0672999339613</v>
      </c>
      <c r="Q98" s="198">
        <f t="shared" si="49"/>
        <v>8213.5321597940856</v>
      </c>
      <c r="R98" s="199"/>
      <c r="X98" s="257"/>
    </row>
    <row r="99" spans="1:24" s="12" customFormat="1" x14ac:dyDescent="0.2">
      <c r="A99" s="209">
        <f>IF(J99&lt;&gt;"",1+MAX($A$18:A98),"")</f>
        <v>52</v>
      </c>
      <c r="B99" s="210" t="s">
        <v>359</v>
      </c>
      <c r="C99" s="210" t="s">
        <v>359</v>
      </c>
      <c r="D99" s="221" t="s">
        <v>45</v>
      </c>
      <c r="E99" s="255" t="s">
        <v>273</v>
      </c>
      <c r="F99" s="216" t="s">
        <v>352</v>
      </c>
      <c r="G99" s="310">
        <v>10659.43</v>
      </c>
      <c r="H99" s="205">
        <f>IF(VLOOKUP(J99,'HOURLY RATES'!B$116:C$124,2,0)=0,$J$3,VLOOKUP(J99,'HOURLY RATES'!B$116:C$124,2,0))</f>
        <v>0.05</v>
      </c>
      <c r="I99" s="317">
        <f t="shared" si="45"/>
        <v>11192.4015</v>
      </c>
      <c r="J99" s="192" t="s">
        <v>17</v>
      </c>
      <c r="K99" s="398">
        <v>4.0000000000000001E-3</v>
      </c>
      <c r="L99" s="228">
        <f t="shared" si="46"/>
        <v>44.769606000000003</v>
      </c>
      <c r="M99" s="194">
        <f>IF(VLOOKUP(E99,'HOURLY RATES'!C$6:D$105,2,0)=0,$E$3,VLOOKUP(E99,'HOURLY RATES'!C$6:D$105,2,0))</f>
        <v>62.881706250000008</v>
      </c>
      <c r="N99" s="206">
        <f t="shared" si="47"/>
        <v>2815.189213420238</v>
      </c>
      <c r="O99" s="377">
        <f>71.71/100</f>
        <v>0.71709999999999996</v>
      </c>
      <c r="P99" s="197">
        <f t="shared" si="48"/>
        <v>8026.0711156499992</v>
      </c>
      <c r="Q99" s="198">
        <f t="shared" si="49"/>
        <v>10841.260329070237</v>
      </c>
      <c r="R99" s="199"/>
      <c r="X99" s="257"/>
    </row>
    <row r="100" spans="1:24" s="12" customFormat="1" x14ac:dyDescent="0.2">
      <c r="A100" s="209" t="str">
        <f>IF(J100&lt;&gt;"",1+MAX($A$18:A99),"")</f>
        <v/>
      </c>
      <c r="B100" s="210"/>
      <c r="C100" s="210"/>
      <c r="D100" s="210"/>
      <c r="E100" s="255"/>
      <c r="F100" s="216"/>
      <c r="G100" s="310"/>
      <c r="H100" s="205"/>
      <c r="I100" s="317"/>
      <c r="J100" s="192"/>
      <c r="K100" s="398"/>
      <c r="L100" s="228"/>
      <c r="M100" s="194"/>
      <c r="N100" s="206"/>
      <c r="O100" s="377"/>
      <c r="P100" s="197"/>
      <c r="Q100" s="198"/>
      <c r="R100" s="199"/>
      <c r="X100" s="257"/>
    </row>
    <row r="101" spans="1:24" s="12" customFormat="1" x14ac:dyDescent="0.2">
      <c r="A101" s="209" t="str">
        <f>IF(J101&lt;&gt;"",1+MAX($A$18:A100),"")</f>
        <v/>
      </c>
      <c r="B101" s="210"/>
      <c r="C101" s="210"/>
      <c r="D101" s="210"/>
      <c r="E101" s="255"/>
      <c r="F101" s="219" t="s">
        <v>356</v>
      </c>
      <c r="G101" s="310"/>
      <c r="H101" s="205"/>
      <c r="I101" s="317"/>
      <c r="J101" s="192"/>
      <c r="K101" s="398"/>
      <c r="L101" s="228"/>
      <c r="M101" s="194"/>
      <c r="N101" s="206"/>
      <c r="O101" s="377"/>
      <c r="P101" s="197"/>
      <c r="Q101" s="198"/>
      <c r="R101" s="199"/>
      <c r="X101" s="257"/>
    </row>
    <row r="102" spans="1:24" s="12" customFormat="1" x14ac:dyDescent="0.2">
      <c r="A102" s="209">
        <f>IF(J102&lt;&gt;"",1+MAX($A$18:A101),"")</f>
        <v>53</v>
      </c>
      <c r="B102" s="210" t="s">
        <v>359</v>
      </c>
      <c r="C102" s="210" t="s">
        <v>359</v>
      </c>
      <c r="D102" s="221" t="s">
        <v>45</v>
      </c>
      <c r="E102" s="255" t="s">
        <v>273</v>
      </c>
      <c r="F102" s="216" t="s">
        <v>773</v>
      </c>
      <c r="G102" s="310">
        <v>10659.43</v>
      </c>
      <c r="H102" s="205">
        <f>IF(VLOOKUP(J102,'HOURLY RATES'!B$116:C$124,2,0)=0,$J$3,VLOOKUP(J102,'HOURLY RATES'!B$116:C$124,2,0))</f>
        <v>0.05</v>
      </c>
      <c r="I102" s="317">
        <f t="shared" ref="I102:I103" si="50">(G102*(1+H102))</f>
        <v>11192.4015</v>
      </c>
      <c r="J102" s="192" t="s">
        <v>17</v>
      </c>
      <c r="K102" s="398">
        <f>0.0025*'HOURLY RATES'!D29/'HOURLY RATES'!D21</f>
        <v>4.6425860343126419E-3</v>
      </c>
      <c r="L102" s="228">
        <f>K102*I102</f>
        <v>51.961686894319861</v>
      </c>
      <c r="M102" s="194">
        <f>IF(VLOOKUP(E102,'HOURLY RATES'!C$6:D$105,2,0)=0,$E$3,VLOOKUP(E102,'HOURLY RATES'!C$6:D$105,2,0))</f>
        <v>62.881706250000008</v>
      </c>
      <c r="N102" s="206">
        <f>M102*L102</f>
        <v>3267.4395315430966</v>
      </c>
      <c r="O102" s="377"/>
      <c r="P102" s="197">
        <f>O102*I102</f>
        <v>0</v>
      </c>
      <c r="Q102" s="198">
        <f>P102+N102</f>
        <v>3267.4395315430966</v>
      </c>
      <c r="R102" s="199"/>
      <c r="X102" s="257"/>
    </row>
    <row r="103" spans="1:24" s="12" customFormat="1" x14ac:dyDescent="0.2">
      <c r="A103" s="209">
        <f>IF(J103&lt;&gt;"",1+MAX($A$18:A102),"")</f>
        <v>54</v>
      </c>
      <c r="B103" s="210" t="s">
        <v>359</v>
      </c>
      <c r="C103" s="210" t="s">
        <v>359</v>
      </c>
      <c r="D103" s="221" t="s">
        <v>45</v>
      </c>
      <c r="E103" s="255" t="s">
        <v>273</v>
      </c>
      <c r="F103" s="216" t="s">
        <v>764</v>
      </c>
      <c r="G103" s="310">
        <v>2591</v>
      </c>
      <c r="H103" s="205">
        <f>IF(VLOOKUP(J103,'HOURLY RATES'!B$116:C$124,2,0)=0,$J$3,VLOOKUP(J103,'HOURLY RATES'!B$116:C$124,2,0))</f>
        <v>0.05</v>
      </c>
      <c r="I103" s="317">
        <f t="shared" si="50"/>
        <v>2720.55</v>
      </c>
      <c r="J103" s="192" t="s">
        <v>17</v>
      </c>
      <c r="K103" s="398">
        <f>0.0025*'HOURLY RATES'!D30/'HOURLY RATES'!D22</f>
        <v>2.6497304148320783E-3</v>
      </c>
      <c r="L103" s="228">
        <f>K103*I103</f>
        <v>7.208724080071411</v>
      </c>
      <c r="M103" s="194">
        <f>IF(VLOOKUP(E103,'HOURLY RATES'!C$6:D$105,2,0)=0,$E$3,VLOOKUP(E103,'HOURLY RATES'!C$6:D$105,2,0))</f>
        <v>62.881706250000008</v>
      </c>
      <c r="N103" s="206">
        <f t="shared" ref="N103" si="51">M103*L103</f>
        <v>453.29687004035202</v>
      </c>
      <c r="O103" s="377"/>
      <c r="P103" s="197">
        <f t="shared" ref="P103" si="52">O103*I103</f>
        <v>0</v>
      </c>
      <c r="Q103" s="198">
        <f t="shared" ref="Q103" si="53">P103+N103</f>
        <v>453.29687004035202</v>
      </c>
      <c r="R103" s="199"/>
      <c r="X103" s="257"/>
    </row>
    <row r="104" spans="1:24" s="12" customFormat="1" x14ac:dyDescent="0.2">
      <c r="A104" s="209" t="str">
        <f>IF(J104&lt;&gt;"",1+MAX($A$18:A103),"")</f>
        <v/>
      </c>
      <c r="B104" s="210"/>
      <c r="C104" s="210"/>
      <c r="D104" s="210"/>
      <c r="E104" s="255"/>
      <c r="F104" s="216"/>
      <c r="G104" s="310"/>
      <c r="H104" s="205"/>
      <c r="I104" s="317"/>
      <c r="J104" s="192"/>
      <c r="K104" s="398"/>
      <c r="L104" s="218"/>
      <c r="M104" s="226"/>
      <c r="N104" s="212"/>
      <c r="O104" s="230"/>
      <c r="P104" s="214"/>
      <c r="Q104" s="215"/>
      <c r="R104" s="199"/>
      <c r="X104" s="257"/>
    </row>
    <row r="105" spans="1:24" s="12" customFormat="1" x14ac:dyDescent="0.2">
      <c r="A105" s="209" t="str">
        <f>IF(J105&lt;&gt;"",1+MAX($A$18:A104),"")</f>
        <v/>
      </c>
      <c r="B105" s="210"/>
      <c r="C105" s="210"/>
      <c r="D105" s="210"/>
      <c r="E105" s="255"/>
      <c r="F105" s="219" t="s">
        <v>220</v>
      </c>
      <c r="G105" s="310"/>
      <c r="H105" s="205"/>
      <c r="I105" s="317"/>
      <c r="J105" s="192"/>
      <c r="K105" s="399"/>
      <c r="L105" s="211"/>
      <c r="M105" s="226"/>
      <c r="N105" s="212"/>
      <c r="O105" s="230"/>
      <c r="P105" s="214"/>
      <c r="Q105" s="215"/>
      <c r="R105" s="199"/>
      <c r="X105" s="257"/>
    </row>
    <row r="106" spans="1:24" s="12" customFormat="1" x14ac:dyDescent="0.2">
      <c r="A106" s="209">
        <f>IF(J106&lt;&gt;"",1+MAX($A$18:A105),"")</f>
        <v>55</v>
      </c>
      <c r="B106" s="210" t="s">
        <v>359</v>
      </c>
      <c r="C106" s="210" t="s">
        <v>359</v>
      </c>
      <c r="D106" s="221" t="s">
        <v>45</v>
      </c>
      <c r="E106" s="255" t="s">
        <v>270</v>
      </c>
      <c r="F106" s="216" t="s">
        <v>355</v>
      </c>
      <c r="G106" s="310">
        <f>((10659.43/18)*2)</f>
        <v>1184.3811111111111</v>
      </c>
      <c r="H106" s="205">
        <f>IF(VLOOKUP(J106,'HOURLY RATES'!B$116:C$124,2,0)=0,$J$3,VLOOKUP(J106,'HOURLY RATES'!B$116:C$124,2,0))</f>
        <v>0.05</v>
      </c>
      <c r="I106" s="317">
        <f t="shared" ref="I106:I107" si="54">(G106*(1+H106))</f>
        <v>1243.6001666666666</v>
      </c>
      <c r="J106" s="192" t="s">
        <v>19</v>
      </c>
      <c r="K106" s="398">
        <f>0.22/2</f>
        <v>0.11</v>
      </c>
      <c r="L106" s="228">
        <f t="shared" ref="L106:L107" si="55">K106*I106</f>
        <v>136.79601833333334</v>
      </c>
      <c r="M106" s="194">
        <f>IF(VLOOKUP(E106,'HOURLY RATES'!C$6:D$105,2,0)=0,$E$3,VLOOKUP(E106,'HOURLY RATES'!C$6:D$105,2,0))</f>
        <v>66.337424999999996</v>
      </c>
      <c r="N106" s="206">
        <f t="shared" ref="N106:N107" si="56">M106*L106</f>
        <v>9074.6956064861242</v>
      </c>
      <c r="O106" s="377"/>
      <c r="P106" s="197">
        <f t="shared" ref="P106:P107" si="57">O106*I106</f>
        <v>0</v>
      </c>
      <c r="Q106" s="198">
        <f t="shared" ref="Q106:Q107" si="58">P106+N106</f>
        <v>9074.6956064861242</v>
      </c>
      <c r="R106" s="199"/>
      <c r="X106" s="257"/>
    </row>
    <row r="107" spans="1:24" s="12" customFormat="1" x14ac:dyDescent="0.2">
      <c r="A107" s="209">
        <f>IF(J107&lt;&gt;"",1+MAX($A$18:A106),"")</f>
        <v>56</v>
      </c>
      <c r="B107" s="210" t="s">
        <v>359</v>
      </c>
      <c r="C107" s="210" t="s">
        <v>359</v>
      </c>
      <c r="D107" s="221" t="s">
        <v>45</v>
      </c>
      <c r="E107" s="255" t="s">
        <v>270</v>
      </c>
      <c r="F107" s="216" t="s">
        <v>345</v>
      </c>
      <c r="G107" s="310">
        <v>473.16</v>
      </c>
      <c r="H107" s="205">
        <f>IF(VLOOKUP(J107,'HOURLY RATES'!B$116:C$124,2,0)=0,$J$3,VLOOKUP(J107,'HOURLY RATES'!B$116:C$124,2,0))</f>
        <v>0.05</v>
      </c>
      <c r="I107" s="317">
        <f t="shared" si="54"/>
        <v>496.81800000000004</v>
      </c>
      <c r="J107" s="192" t="s">
        <v>19</v>
      </c>
      <c r="K107" s="398">
        <v>0.154</v>
      </c>
      <c r="L107" s="228">
        <f t="shared" si="55"/>
        <v>76.509972000000005</v>
      </c>
      <c r="M107" s="194">
        <f>IF(VLOOKUP(E107,'HOURLY RATES'!C$6:D$105,2,0)=0,$E$3,VLOOKUP(E107,'HOURLY RATES'!C$6:D$105,2,0))</f>
        <v>66.337424999999996</v>
      </c>
      <c r="N107" s="206">
        <f t="shared" si="56"/>
        <v>5075.4745293020997</v>
      </c>
      <c r="O107" s="377">
        <v>0.496</v>
      </c>
      <c r="P107" s="197">
        <f t="shared" si="57"/>
        <v>246.42172800000003</v>
      </c>
      <c r="Q107" s="198">
        <f t="shared" si="58"/>
        <v>5321.8962573020999</v>
      </c>
      <c r="R107" s="199"/>
      <c r="X107" s="257"/>
    </row>
    <row r="108" spans="1:24" s="12" customFormat="1" x14ac:dyDescent="0.2">
      <c r="A108" s="209" t="str">
        <f>IF(J108&lt;&gt;"",1+MAX($A$18:A107),"")</f>
        <v/>
      </c>
      <c r="B108" s="210"/>
      <c r="C108" s="210"/>
      <c r="D108" s="231"/>
      <c r="E108" s="255"/>
      <c r="F108" s="216"/>
      <c r="G108" s="310"/>
      <c r="H108" s="205"/>
      <c r="I108" s="317"/>
      <c r="J108" s="192"/>
      <c r="K108" s="398"/>
      <c r="L108" s="218"/>
      <c r="M108" s="226"/>
      <c r="N108" s="212"/>
      <c r="O108" s="230"/>
      <c r="P108" s="214"/>
      <c r="Q108" s="215"/>
      <c r="R108" s="199"/>
      <c r="X108" s="257"/>
    </row>
    <row r="109" spans="1:24" s="12" customFormat="1" x14ac:dyDescent="0.2">
      <c r="A109" s="209" t="str">
        <f>IF(J109&lt;&gt;"",1+MAX($A$18:A108),"")</f>
        <v/>
      </c>
      <c r="B109" s="210"/>
      <c r="C109" s="210"/>
      <c r="D109" s="210"/>
      <c r="E109" s="255"/>
      <c r="F109" s="232" t="s">
        <v>191</v>
      </c>
      <c r="G109" s="310"/>
      <c r="H109" s="205"/>
      <c r="I109" s="317"/>
      <c r="J109" s="192"/>
      <c r="K109" s="398"/>
      <c r="L109" s="218"/>
      <c r="M109" s="226"/>
      <c r="N109" s="212"/>
      <c r="O109" s="230"/>
      <c r="P109" s="214"/>
      <c r="Q109" s="215"/>
      <c r="R109" s="199"/>
      <c r="X109" s="257"/>
    </row>
    <row r="110" spans="1:24" s="12" customFormat="1" ht="31.5" x14ac:dyDescent="0.2">
      <c r="A110" s="209">
        <f>IF(J110&lt;&gt;"",1+MAX($A$18:A109),"")</f>
        <v>57</v>
      </c>
      <c r="B110" s="210" t="s">
        <v>359</v>
      </c>
      <c r="C110" s="210" t="s">
        <v>359</v>
      </c>
      <c r="D110" s="221" t="s">
        <v>45</v>
      </c>
      <c r="E110" s="255" t="s">
        <v>294</v>
      </c>
      <c r="F110" s="216" t="s">
        <v>192</v>
      </c>
      <c r="G110" s="310">
        <v>547</v>
      </c>
      <c r="H110" s="205">
        <f>IF(VLOOKUP(J110,'HOURLY RATES'!B$116:C$124,2,0)=0,$J$3,VLOOKUP(J110,'HOURLY RATES'!B$116:C$124,2,0))</f>
        <v>0.05</v>
      </c>
      <c r="I110" s="317">
        <f t="shared" ref="I110:I114" si="59">(G110*(1+H110))</f>
        <v>574.35</v>
      </c>
      <c r="J110" s="192" t="s">
        <v>17</v>
      </c>
      <c r="K110" s="382">
        <v>4.0000000000000001E-3</v>
      </c>
      <c r="L110" s="228">
        <f t="shared" ref="L110:L114" si="60">K110*I110</f>
        <v>2.2974000000000001</v>
      </c>
      <c r="M110" s="194">
        <f>IF(VLOOKUP(E110,'HOURLY RATES'!C$6:D$105,2,0)=0,$E$3,VLOOKUP(E110,'HOURLY RATES'!C$6:D$105,2,0))</f>
        <v>69.352762499999983</v>
      </c>
      <c r="N110" s="206">
        <f t="shared" ref="N110:N114" si="61">M110*L110</f>
        <v>159.33103656749998</v>
      </c>
      <c r="O110" s="377">
        <v>0.2</v>
      </c>
      <c r="P110" s="197">
        <f t="shared" ref="P110:P114" si="62">O110*I110</f>
        <v>114.87</v>
      </c>
      <c r="Q110" s="198">
        <f t="shared" ref="Q110:Q114" si="63">P110+N110</f>
        <v>274.20103656749995</v>
      </c>
      <c r="R110" s="199"/>
      <c r="X110" s="257"/>
    </row>
    <row r="111" spans="1:24" s="12" customFormat="1" ht="31.5" x14ac:dyDescent="0.2">
      <c r="A111" s="209">
        <f>IF(J111&lt;&gt;"",1+MAX($A$18:A110),"")</f>
        <v>58</v>
      </c>
      <c r="B111" s="210" t="s">
        <v>359</v>
      </c>
      <c r="C111" s="210" t="s">
        <v>359</v>
      </c>
      <c r="D111" s="221" t="s">
        <v>45</v>
      </c>
      <c r="E111" s="255" t="s">
        <v>294</v>
      </c>
      <c r="F111" s="216" t="s">
        <v>221</v>
      </c>
      <c r="G111" s="310">
        <v>795</v>
      </c>
      <c r="H111" s="205">
        <f>IF(VLOOKUP(J111,'HOURLY RATES'!B$116:C$124,2,0)=0,$J$3,VLOOKUP(J111,'HOURLY RATES'!B$116:C$124,2,0))</f>
        <v>0.05</v>
      </c>
      <c r="I111" s="317">
        <f t="shared" si="59"/>
        <v>834.75</v>
      </c>
      <c r="J111" s="192" t="s">
        <v>17</v>
      </c>
      <c r="K111" s="382">
        <v>4.0000000000000001E-3</v>
      </c>
      <c r="L111" s="228">
        <f t="shared" si="60"/>
        <v>3.339</v>
      </c>
      <c r="M111" s="194">
        <f>IF(VLOOKUP(E111,'HOURLY RATES'!C$6:D$105,2,0)=0,$E$3,VLOOKUP(E111,'HOURLY RATES'!C$6:D$105,2,0))</f>
        <v>69.352762499999983</v>
      </c>
      <c r="N111" s="206">
        <f t="shared" si="61"/>
        <v>231.56887398749993</v>
      </c>
      <c r="O111" s="377">
        <v>0.2</v>
      </c>
      <c r="P111" s="197">
        <f t="shared" si="62"/>
        <v>166.95000000000002</v>
      </c>
      <c r="Q111" s="198">
        <f t="shared" si="63"/>
        <v>398.51887398749994</v>
      </c>
      <c r="R111" s="199"/>
      <c r="X111" s="257"/>
    </row>
    <row r="112" spans="1:24" s="12" customFormat="1" ht="31.5" x14ac:dyDescent="0.2">
      <c r="A112" s="209">
        <f>IF(J112&lt;&gt;"",1+MAX($A$18:A111),"")</f>
        <v>59</v>
      </c>
      <c r="B112" s="210" t="s">
        <v>359</v>
      </c>
      <c r="C112" s="210" t="s">
        <v>359</v>
      </c>
      <c r="D112" s="221" t="s">
        <v>45</v>
      </c>
      <c r="E112" s="255" t="s">
        <v>294</v>
      </c>
      <c r="F112" s="216" t="s">
        <v>193</v>
      </c>
      <c r="G112" s="310">
        <f>1196*2</f>
        <v>2392</v>
      </c>
      <c r="H112" s="205">
        <f>IF(VLOOKUP(J112,'HOURLY RATES'!B$116:C$124,2,0)=0,$J$3,VLOOKUP(J112,'HOURLY RATES'!B$116:C$124,2,0))</f>
        <v>0.05</v>
      </c>
      <c r="I112" s="317">
        <f t="shared" si="59"/>
        <v>2511.6</v>
      </c>
      <c r="J112" s="192" t="s">
        <v>17</v>
      </c>
      <c r="K112" s="382">
        <v>4.0000000000000001E-3</v>
      </c>
      <c r="L112" s="228">
        <f t="shared" si="60"/>
        <v>10.0464</v>
      </c>
      <c r="M112" s="194">
        <f>IF(VLOOKUP(E112,'HOURLY RATES'!C$6:D$105,2,0)=0,$E$3,VLOOKUP(E112,'HOURLY RATES'!C$6:D$105,2,0))</f>
        <v>69.352762499999983</v>
      </c>
      <c r="N112" s="206">
        <f t="shared" si="61"/>
        <v>696.7455931799999</v>
      </c>
      <c r="O112" s="377">
        <v>0.2</v>
      </c>
      <c r="P112" s="197">
        <f t="shared" si="62"/>
        <v>502.32</v>
      </c>
      <c r="Q112" s="198">
        <f t="shared" si="63"/>
        <v>1199.06559318</v>
      </c>
      <c r="R112" s="199"/>
      <c r="X112" s="257"/>
    </row>
    <row r="113" spans="1:24" s="12" customFormat="1" ht="31.5" x14ac:dyDescent="0.2">
      <c r="A113" s="209">
        <f>IF(J113&lt;&gt;"",1+MAX($A$18:A112),"")</f>
        <v>60</v>
      </c>
      <c r="B113" s="210" t="s">
        <v>359</v>
      </c>
      <c r="C113" s="210" t="s">
        <v>359</v>
      </c>
      <c r="D113" s="221" t="s">
        <v>45</v>
      </c>
      <c r="E113" s="255" t="s">
        <v>294</v>
      </c>
      <c r="F113" s="216" t="s">
        <v>357</v>
      </c>
      <c r="G113" s="310">
        <v>54</v>
      </c>
      <c r="H113" s="205">
        <f>IF(VLOOKUP(J113,'HOURLY RATES'!B$116:C$124,2,0)=0,$J$3,VLOOKUP(J113,'HOURLY RATES'!B$116:C$124,2,0))</f>
        <v>0.05</v>
      </c>
      <c r="I113" s="317">
        <f t="shared" si="59"/>
        <v>56.7</v>
      </c>
      <c r="J113" s="192" t="s">
        <v>17</v>
      </c>
      <c r="K113" s="398">
        <v>4.0000000000000001E-3</v>
      </c>
      <c r="L113" s="228">
        <f t="shared" si="60"/>
        <v>0.22680000000000003</v>
      </c>
      <c r="M113" s="194">
        <f>IF(VLOOKUP(E113,'HOURLY RATES'!C$6:D$105,2,0)=0,$E$3,VLOOKUP(E113,'HOURLY RATES'!C$6:D$105,2,0))</f>
        <v>69.352762499999983</v>
      </c>
      <c r="N113" s="206">
        <f t="shared" si="61"/>
        <v>15.729206534999998</v>
      </c>
      <c r="O113" s="377">
        <v>0.2</v>
      </c>
      <c r="P113" s="197">
        <f t="shared" si="62"/>
        <v>11.340000000000002</v>
      </c>
      <c r="Q113" s="198">
        <f t="shared" si="63"/>
        <v>27.069206534999999</v>
      </c>
      <c r="R113" s="199"/>
      <c r="X113" s="257"/>
    </row>
    <row r="114" spans="1:24" s="12" customFormat="1" ht="31.5" x14ac:dyDescent="0.2">
      <c r="A114" s="209">
        <f>IF(J114&lt;&gt;"",1+MAX($A$18:A113),"")</f>
        <v>61</v>
      </c>
      <c r="B114" s="210" t="s">
        <v>359</v>
      </c>
      <c r="C114" s="210" t="s">
        <v>359</v>
      </c>
      <c r="D114" s="221" t="s">
        <v>45</v>
      </c>
      <c r="E114" s="255" t="s">
        <v>294</v>
      </c>
      <c r="F114" s="216" t="s">
        <v>354</v>
      </c>
      <c r="G114" s="310">
        <v>10659.43</v>
      </c>
      <c r="H114" s="205">
        <f>IF(VLOOKUP(J114,'HOURLY RATES'!B$116:C$124,2,0)=0,$J$3,VLOOKUP(J114,'HOURLY RATES'!B$116:C$124,2,0))</f>
        <v>0.05</v>
      </c>
      <c r="I114" s="317">
        <f t="shared" si="59"/>
        <v>11192.4015</v>
      </c>
      <c r="J114" s="192" t="s">
        <v>17</v>
      </c>
      <c r="K114" s="398">
        <v>4.0000000000000001E-3</v>
      </c>
      <c r="L114" s="228">
        <f t="shared" si="60"/>
        <v>44.769606000000003</v>
      </c>
      <c r="M114" s="194">
        <f>IF(VLOOKUP(E114,'HOURLY RATES'!C$6:D$105,2,0)=0,$E$3,VLOOKUP(E114,'HOURLY RATES'!C$6:D$105,2,0))</f>
        <v>69.352762499999983</v>
      </c>
      <c r="N114" s="206">
        <f t="shared" si="61"/>
        <v>3104.8958521365744</v>
      </c>
      <c r="O114" s="377">
        <v>0.2</v>
      </c>
      <c r="P114" s="197">
        <f t="shared" si="62"/>
        <v>2238.4803000000002</v>
      </c>
      <c r="Q114" s="198">
        <f t="shared" si="63"/>
        <v>5343.3761521365741</v>
      </c>
      <c r="R114" s="199"/>
      <c r="X114" s="257"/>
    </row>
    <row r="115" spans="1:24" s="12" customFormat="1" x14ac:dyDescent="0.2">
      <c r="A115" s="209" t="str">
        <f>IF(J115&lt;&gt;"",1+MAX($A$18:A114),"")</f>
        <v/>
      </c>
      <c r="B115" s="210"/>
      <c r="C115" s="210"/>
      <c r="D115" s="210"/>
      <c r="E115" s="255"/>
      <c r="F115" s="216"/>
      <c r="G115" s="310"/>
      <c r="H115" s="205"/>
      <c r="I115" s="317"/>
      <c r="J115" s="192"/>
      <c r="K115" s="398"/>
      <c r="L115" s="218"/>
      <c r="M115" s="226"/>
      <c r="N115" s="212"/>
      <c r="O115" s="230"/>
      <c r="P115" s="214"/>
      <c r="Q115" s="215"/>
      <c r="R115" s="199"/>
      <c r="X115" s="257"/>
    </row>
    <row r="116" spans="1:24" s="12" customFormat="1" x14ac:dyDescent="0.2">
      <c r="A116" s="209" t="str">
        <f>IF(J116&lt;&gt;"",1+MAX($A$18:A115),"")</f>
        <v/>
      </c>
      <c r="B116" s="210"/>
      <c r="C116" s="210"/>
      <c r="D116" s="210"/>
      <c r="E116" s="255"/>
      <c r="F116" s="232" t="s">
        <v>194</v>
      </c>
      <c r="G116" s="310"/>
      <c r="H116" s="205"/>
      <c r="I116" s="317"/>
      <c r="J116" s="192"/>
      <c r="K116" s="398"/>
      <c r="L116" s="218"/>
      <c r="M116" s="226"/>
      <c r="N116" s="212"/>
      <c r="O116" s="230"/>
      <c r="P116" s="214"/>
      <c r="Q116" s="215"/>
      <c r="R116" s="199"/>
      <c r="X116" s="257"/>
    </row>
    <row r="117" spans="1:24" s="12" customFormat="1" x14ac:dyDescent="0.2">
      <c r="A117" s="209">
        <f>IF(J117&lt;&gt;"",1+MAX($A$18:A116),"")</f>
        <v>62</v>
      </c>
      <c r="B117" s="210" t="s">
        <v>359</v>
      </c>
      <c r="C117" s="210" t="s">
        <v>359</v>
      </c>
      <c r="D117" s="221" t="s">
        <v>45</v>
      </c>
      <c r="E117" s="255" t="s">
        <v>273</v>
      </c>
      <c r="F117" s="216" t="s">
        <v>195</v>
      </c>
      <c r="G117" s="310">
        <v>492</v>
      </c>
      <c r="H117" s="205">
        <f>IF(VLOOKUP(J117,'HOURLY RATES'!B$116:C$124,2,0)=0,$J$3,VLOOKUP(J117,'HOURLY RATES'!B$116:C$124,2,0))</f>
        <v>0.05</v>
      </c>
      <c r="I117" s="317">
        <f t="shared" ref="I117:I120" si="64">(G117*(1+H117))</f>
        <v>516.6</v>
      </c>
      <c r="J117" s="192" t="s">
        <v>17</v>
      </c>
      <c r="K117" s="398">
        <v>2.5000000000000001E-2</v>
      </c>
      <c r="L117" s="228">
        <f t="shared" ref="L117:L120" si="65">K117*I117</f>
        <v>12.915000000000001</v>
      </c>
      <c r="M117" s="194">
        <f>IF(VLOOKUP(E117,'HOURLY RATES'!C$6:D$105,2,0)=0,$E$3,VLOOKUP(E117,'HOURLY RATES'!C$6:D$105,2,0))</f>
        <v>62.881706250000008</v>
      </c>
      <c r="N117" s="206">
        <f t="shared" ref="N117:N120" si="66">M117*L117</f>
        <v>812.11723621875012</v>
      </c>
      <c r="O117" s="377"/>
      <c r="P117" s="197">
        <f t="shared" ref="P117:P123" si="67">O117*I117</f>
        <v>0</v>
      </c>
      <c r="Q117" s="198">
        <f t="shared" ref="Q117:Q123" si="68">P117+N117</f>
        <v>812.11723621875012</v>
      </c>
      <c r="R117" s="199"/>
      <c r="X117" s="257"/>
    </row>
    <row r="118" spans="1:24" s="12" customFormat="1" x14ac:dyDescent="0.2">
      <c r="A118" s="209">
        <f>IF(J118&lt;&gt;"",1+MAX($A$18:A117),"")</f>
        <v>63</v>
      </c>
      <c r="B118" s="210" t="s">
        <v>359</v>
      </c>
      <c r="C118" s="210" t="s">
        <v>359</v>
      </c>
      <c r="D118" s="221" t="s">
        <v>45</v>
      </c>
      <c r="E118" s="255" t="s">
        <v>273</v>
      </c>
      <c r="F118" s="216" t="s">
        <v>222</v>
      </c>
      <c r="G118" s="310">
        <v>794</v>
      </c>
      <c r="H118" s="205">
        <f>IF(VLOOKUP(J118,'HOURLY RATES'!B$116:C$124,2,0)=0,$J$3,VLOOKUP(J118,'HOURLY RATES'!B$116:C$124,2,0))</f>
        <v>0.05</v>
      </c>
      <c r="I118" s="317">
        <f t="shared" si="64"/>
        <v>833.7</v>
      </c>
      <c r="J118" s="192" t="s">
        <v>17</v>
      </c>
      <c r="K118" s="398">
        <v>2.5000000000000001E-2</v>
      </c>
      <c r="L118" s="228">
        <f t="shared" si="65"/>
        <v>20.842500000000001</v>
      </c>
      <c r="M118" s="194">
        <f>IF(VLOOKUP(E118,'HOURLY RATES'!C$6:D$105,2,0)=0,$E$3,VLOOKUP(E118,'HOURLY RATES'!C$6:D$105,2,0))</f>
        <v>62.881706250000008</v>
      </c>
      <c r="N118" s="206">
        <f t="shared" si="66"/>
        <v>1310.6119625156252</v>
      </c>
      <c r="O118" s="377"/>
      <c r="P118" s="197">
        <f t="shared" si="67"/>
        <v>0</v>
      </c>
      <c r="Q118" s="198">
        <f t="shared" si="68"/>
        <v>1310.6119625156252</v>
      </c>
      <c r="R118" s="199"/>
      <c r="X118" s="257"/>
    </row>
    <row r="119" spans="1:24" s="12" customFormat="1" x14ac:dyDescent="0.2">
      <c r="A119" s="209">
        <f>IF(J119&lt;&gt;"",1+MAX($A$18:A118),"")</f>
        <v>64</v>
      </c>
      <c r="B119" s="210" t="s">
        <v>359</v>
      </c>
      <c r="C119" s="210" t="s">
        <v>359</v>
      </c>
      <c r="D119" s="221" t="s">
        <v>45</v>
      </c>
      <c r="E119" s="255" t="s">
        <v>273</v>
      </c>
      <c r="F119" s="216" t="s">
        <v>196</v>
      </c>
      <c r="G119" s="310">
        <v>2393</v>
      </c>
      <c r="H119" s="205">
        <f>IF(VLOOKUP(J119,'HOURLY RATES'!B$116:C$124,2,0)=0,$J$3,VLOOKUP(J119,'HOURLY RATES'!B$116:C$124,2,0))</f>
        <v>0.05</v>
      </c>
      <c r="I119" s="317">
        <f t="shared" si="64"/>
        <v>2512.65</v>
      </c>
      <c r="J119" s="192" t="s">
        <v>17</v>
      </c>
      <c r="K119" s="398">
        <v>2.5000000000000001E-2</v>
      </c>
      <c r="L119" s="228">
        <f t="shared" si="65"/>
        <v>62.816250000000004</v>
      </c>
      <c r="M119" s="194">
        <f>IF(VLOOKUP(E119,'HOURLY RATES'!C$6:D$105,2,0)=0,$E$3,VLOOKUP(E119,'HOURLY RATES'!C$6:D$105,2,0))</f>
        <v>62.881706250000008</v>
      </c>
      <c r="N119" s="206">
        <f t="shared" si="66"/>
        <v>3949.9929802265633</v>
      </c>
      <c r="O119" s="377"/>
      <c r="P119" s="197">
        <f t="shared" si="67"/>
        <v>0</v>
      </c>
      <c r="Q119" s="198">
        <f t="shared" si="68"/>
        <v>3949.9929802265633</v>
      </c>
      <c r="R119" s="199"/>
      <c r="X119" s="257"/>
    </row>
    <row r="120" spans="1:24" s="12" customFormat="1" x14ac:dyDescent="0.2">
      <c r="A120" s="209">
        <f>IF(J120&lt;&gt;"",1+MAX($A$18:A119),"")</f>
        <v>65</v>
      </c>
      <c r="B120" s="210" t="s">
        <v>359</v>
      </c>
      <c r="C120" s="210" t="s">
        <v>359</v>
      </c>
      <c r="D120" s="221" t="s">
        <v>45</v>
      </c>
      <c r="E120" s="255" t="s">
        <v>273</v>
      </c>
      <c r="F120" s="216" t="s">
        <v>358</v>
      </c>
      <c r="G120" s="310">
        <v>78</v>
      </c>
      <c r="H120" s="205">
        <f>IF(VLOOKUP(J120,'HOURLY RATES'!B$116:C$124,2,0)=0,$J$3,VLOOKUP(J120,'HOURLY RATES'!B$116:C$124,2,0))</f>
        <v>0.05</v>
      </c>
      <c r="I120" s="317">
        <f t="shared" si="64"/>
        <v>81.900000000000006</v>
      </c>
      <c r="J120" s="192" t="s">
        <v>17</v>
      </c>
      <c r="K120" s="398">
        <v>2.5000000000000001E-2</v>
      </c>
      <c r="L120" s="228">
        <f t="shared" si="65"/>
        <v>2.0475000000000003</v>
      </c>
      <c r="M120" s="194">
        <f>IF(VLOOKUP(E120,'HOURLY RATES'!C$6:D$105,2,0)=0,$E$3,VLOOKUP(E120,'HOURLY RATES'!C$6:D$105,2,0))</f>
        <v>62.881706250000008</v>
      </c>
      <c r="N120" s="206">
        <f t="shared" si="66"/>
        <v>128.75029354687504</v>
      </c>
      <c r="O120" s="377"/>
      <c r="P120" s="197">
        <f t="shared" si="67"/>
        <v>0</v>
      </c>
      <c r="Q120" s="198">
        <f t="shared" si="68"/>
        <v>128.75029354687504</v>
      </c>
      <c r="R120" s="199"/>
      <c r="X120" s="257"/>
    </row>
    <row r="121" spans="1:24" s="12" customFormat="1" x14ac:dyDescent="0.2">
      <c r="A121" s="209" t="str">
        <f>IF(J121&lt;&gt;"",1+MAX($A$18:A120),"")</f>
        <v/>
      </c>
      <c r="B121" s="210"/>
      <c r="C121" s="210"/>
      <c r="D121" s="210"/>
      <c r="E121" s="255"/>
      <c r="F121" s="216"/>
      <c r="G121" s="310"/>
      <c r="H121" s="205"/>
      <c r="I121" s="317"/>
      <c r="J121" s="192"/>
      <c r="K121" s="398"/>
      <c r="L121" s="228"/>
      <c r="M121" s="194"/>
      <c r="N121" s="206"/>
      <c r="O121" s="377"/>
      <c r="P121" s="197"/>
      <c r="Q121" s="198"/>
      <c r="R121" s="199"/>
      <c r="X121" s="257"/>
    </row>
    <row r="122" spans="1:24" s="12" customFormat="1" x14ac:dyDescent="0.2">
      <c r="A122" s="235" t="str">
        <f>IF(J122&lt;&gt;"",1+MAX($A$18:A121),"")</f>
        <v/>
      </c>
      <c r="B122" s="345"/>
      <c r="C122" s="345"/>
      <c r="D122" s="343"/>
      <c r="E122" s="406"/>
      <c r="F122" s="346" t="s">
        <v>170</v>
      </c>
      <c r="G122" s="315"/>
      <c r="H122" s="205"/>
      <c r="I122" s="344"/>
      <c r="J122" s="192"/>
      <c r="K122" s="398"/>
      <c r="L122" s="228"/>
      <c r="M122" s="194"/>
      <c r="N122" s="206"/>
      <c r="O122" s="377"/>
      <c r="P122" s="195"/>
      <c r="Q122" s="253"/>
      <c r="R122" s="199"/>
      <c r="X122" s="257"/>
    </row>
    <row r="123" spans="1:24" s="12" customFormat="1" x14ac:dyDescent="0.2">
      <c r="A123" s="209">
        <f>IF(J123&lt;&gt;"",1+MAX($A$18:A122),"")</f>
        <v>66</v>
      </c>
      <c r="B123" s="210"/>
      <c r="C123" s="210"/>
      <c r="D123" s="221" t="s">
        <v>45</v>
      </c>
      <c r="E123" s="255" t="s">
        <v>273</v>
      </c>
      <c r="F123" s="216" t="s">
        <v>215</v>
      </c>
      <c r="G123" s="310">
        <f>(G71+G74+G77+G80+G84+G88+G89+G93+G94)/2000</f>
        <v>2.3898344888</v>
      </c>
      <c r="H123" s="205">
        <f>IF(VLOOKUP(J123,'HOURLY RATES'!B$116:C$124,2,0)=0,$J$3,VLOOKUP(J123,'HOURLY RATES'!B$116:C$124,2,0))</f>
        <v>0.05</v>
      </c>
      <c r="I123" s="317">
        <f t="shared" ref="I123" si="69">(G123*(1+H123))</f>
        <v>2.50932621324</v>
      </c>
      <c r="J123" s="192" t="s">
        <v>167</v>
      </c>
      <c r="K123" s="398">
        <v>5</v>
      </c>
      <c r="L123" s="228">
        <f t="shared" ref="L123" si="70">K123*I123</f>
        <v>12.5466310662</v>
      </c>
      <c r="M123" s="194">
        <f>IF(VLOOKUP(E123,'HOURLY RATES'!C$6:D$105,2,0)=0,$E$3,VLOOKUP(E123,'HOURLY RATES'!C$6:D$105,2,0))</f>
        <v>62.881706250000008</v>
      </c>
      <c r="N123" s="206"/>
      <c r="O123" s="377">
        <f>M123*K123</f>
        <v>314.40853125000001</v>
      </c>
      <c r="P123" s="197">
        <f t="shared" si="67"/>
        <v>788.95356913191279</v>
      </c>
      <c r="Q123" s="198">
        <f t="shared" si="68"/>
        <v>788.95356913191279</v>
      </c>
      <c r="R123" s="199"/>
      <c r="X123" s="257"/>
    </row>
    <row r="124" spans="1:24" s="12" customFormat="1" ht="16.5" thickBot="1" x14ac:dyDescent="0.25">
      <c r="A124" s="263" t="str">
        <f>IF(J124&lt;&gt;"",1+MAX($A$18:A123),"")</f>
        <v/>
      </c>
      <c r="B124" s="264"/>
      <c r="C124" s="264"/>
      <c r="D124" s="264"/>
      <c r="E124" s="404"/>
      <c r="F124" s="265"/>
      <c r="G124" s="313"/>
      <c r="H124" s="267"/>
      <c r="I124" s="319"/>
      <c r="J124" s="359"/>
      <c r="K124" s="400"/>
      <c r="L124" s="269"/>
      <c r="M124" s="272"/>
      <c r="N124" s="273"/>
      <c r="O124" s="401"/>
      <c r="P124" s="275"/>
      <c r="Q124" s="276"/>
      <c r="R124" s="277"/>
      <c r="X124" s="257"/>
    </row>
    <row r="125" spans="1:24" s="12" customFormat="1" ht="20.100000000000001" customHeight="1" x14ac:dyDescent="0.2">
      <c r="A125" s="475" t="str">
        <f>IF(J125&lt;&gt;"",1+MAX($A$18:A124),"")</f>
        <v/>
      </c>
      <c r="B125" s="476"/>
      <c r="C125" s="476"/>
      <c r="D125" s="476" t="s">
        <v>83</v>
      </c>
      <c r="E125" s="481"/>
      <c r="F125" s="477" t="s">
        <v>239</v>
      </c>
      <c r="G125" s="482"/>
      <c r="H125" s="479"/>
      <c r="I125" s="483"/>
      <c r="J125" s="483"/>
      <c r="K125" s="484"/>
      <c r="L125" s="479"/>
      <c r="M125" s="479"/>
      <c r="N125" s="479"/>
      <c r="O125" s="484"/>
      <c r="P125" s="479"/>
      <c r="Q125" s="479"/>
      <c r="R125" s="480">
        <f>SUM(Q126:Q143)</f>
        <v>61443.590446343747</v>
      </c>
      <c r="X125" s="257"/>
    </row>
    <row r="126" spans="1:24" s="12" customFormat="1" x14ac:dyDescent="0.2">
      <c r="A126" s="204" t="str">
        <f>IF(J126&lt;&gt;"",1+MAX($A$18:A125),"")</f>
        <v/>
      </c>
      <c r="B126" s="201"/>
      <c r="C126" s="201"/>
      <c r="D126" s="201"/>
      <c r="E126" s="255"/>
      <c r="F126" s="240" t="s">
        <v>28</v>
      </c>
      <c r="G126" s="316"/>
      <c r="H126" s="190"/>
      <c r="I126" s="317"/>
      <c r="J126" s="192"/>
      <c r="K126" s="241"/>
      <c r="L126" s="13"/>
      <c r="M126" s="194"/>
      <c r="N126" s="206"/>
      <c r="O126" s="377"/>
      <c r="P126" s="197"/>
      <c r="Q126" s="198"/>
      <c r="R126" s="199"/>
      <c r="X126" s="257"/>
    </row>
    <row r="127" spans="1:24" s="12" customFormat="1" x14ac:dyDescent="0.2">
      <c r="A127" s="204" t="str">
        <f>IF(J127&lt;&gt;"",1+MAX($A$18:A126),"")</f>
        <v/>
      </c>
      <c r="B127" s="201"/>
      <c r="C127" s="201"/>
      <c r="D127" s="201"/>
      <c r="E127" s="255"/>
      <c r="F127" s="202" t="s">
        <v>247</v>
      </c>
      <c r="G127" s="311"/>
      <c r="H127" s="190"/>
      <c r="I127" s="317"/>
      <c r="J127" s="192"/>
      <c r="K127" s="373"/>
      <c r="L127" s="228"/>
      <c r="M127" s="194"/>
      <c r="N127" s="206"/>
      <c r="O127" s="377"/>
      <c r="P127" s="197"/>
      <c r="Q127" s="198"/>
      <c r="R127" s="199"/>
      <c r="X127" s="257"/>
    </row>
    <row r="128" spans="1:24" s="12" customFormat="1" x14ac:dyDescent="0.2">
      <c r="A128" s="204">
        <f>IF(J128&lt;&gt;"",1+MAX($A$18:A127),"")</f>
        <v>67</v>
      </c>
      <c r="B128" s="201" t="s">
        <v>364</v>
      </c>
      <c r="C128" s="201" t="s">
        <v>364</v>
      </c>
      <c r="D128" s="201" t="s">
        <v>83</v>
      </c>
      <c r="E128" s="255" t="s">
        <v>277</v>
      </c>
      <c r="F128" s="188" t="s">
        <v>360</v>
      </c>
      <c r="G128" s="310">
        <f xml:space="preserve"> (2.68*6*5)</f>
        <v>80.400000000000006</v>
      </c>
      <c r="H128" s="205">
        <f>IF(VLOOKUP(J128,'HOURLY RATES'!B$116:C$124,2,0)=0,$J$3,VLOOKUP(J128,'HOURLY RATES'!B$116:C$124,2,0))</f>
        <v>0.05</v>
      </c>
      <c r="I128" s="317">
        <f t="shared" ref="I128" si="71">(G128*(1+H128))</f>
        <v>84.420000000000016</v>
      </c>
      <c r="J128" s="192" t="s">
        <v>17</v>
      </c>
      <c r="K128" s="382">
        <v>0.28000000000000003</v>
      </c>
      <c r="L128" s="228">
        <f>K128*I128</f>
        <v>23.637600000000006</v>
      </c>
      <c r="M128" s="194">
        <f>IF(VLOOKUP(E128,'HOURLY RATES'!C$6:D$105,2,0)=0,$E$3,VLOOKUP(E128,'HOURLY RATES'!C$6:D$105,2,0))</f>
        <v>69.352762499999983</v>
      </c>
      <c r="N128" s="206">
        <f>M128*L128</f>
        <v>1639.3328588700001</v>
      </c>
      <c r="O128" s="377">
        <v>4.5</v>
      </c>
      <c r="P128" s="197">
        <f t="shared" ref="P128" si="72">O128*I128</f>
        <v>379.8900000000001</v>
      </c>
      <c r="Q128" s="198">
        <f t="shared" ref="Q128" si="73">P128+N128</f>
        <v>2019.2228588700002</v>
      </c>
      <c r="R128" s="199"/>
      <c r="X128" s="257"/>
    </row>
    <row r="129" spans="1:24" s="12" customFormat="1" x14ac:dyDescent="0.2">
      <c r="A129" s="204">
        <f>IF(J129&lt;&gt;"",1+MAX($A$18:A128),"")</f>
        <v>68</v>
      </c>
      <c r="B129" s="201" t="s">
        <v>364</v>
      </c>
      <c r="C129" s="201" t="s">
        <v>364</v>
      </c>
      <c r="D129" s="201" t="s">
        <v>83</v>
      </c>
      <c r="E129" s="255" t="s">
        <v>277</v>
      </c>
      <c r="F129" s="188" t="s">
        <v>538</v>
      </c>
      <c r="G129" s="310">
        <v>5</v>
      </c>
      <c r="H129" s="205">
        <f>IF(VLOOKUP(J129,'HOURLY RATES'!B$116:C$124,2,0)=0,$J$3,VLOOKUP(J129,'HOURLY RATES'!B$116:C$124,2,0))</f>
        <v>0</v>
      </c>
      <c r="I129" s="317">
        <f t="shared" ref="I129" si="74">(G129*(1+H129))</f>
        <v>5</v>
      </c>
      <c r="J129" s="192" t="s">
        <v>16</v>
      </c>
      <c r="K129" s="382">
        <v>1.712</v>
      </c>
      <c r="L129" s="228">
        <f>K129*I129</f>
        <v>8.56</v>
      </c>
      <c r="M129" s="194">
        <f>IF(VLOOKUP(E129,'HOURLY RATES'!C$6:D$105,2,0)=0,$E$3,VLOOKUP(E129,'HOURLY RATES'!C$6:D$105,2,0))</f>
        <v>69.352762499999983</v>
      </c>
      <c r="N129" s="206">
        <f>M129*L129</f>
        <v>593.65964699999984</v>
      </c>
      <c r="O129" s="377">
        <f>25*18*18/(18*3)</f>
        <v>150</v>
      </c>
      <c r="P129" s="197">
        <f t="shared" ref="P129" si="75">O129*I129</f>
        <v>750</v>
      </c>
      <c r="Q129" s="198">
        <f t="shared" ref="Q129" si="76">P129+N129</f>
        <v>1343.6596469999999</v>
      </c>
      <c r="R129" s="199"/>
      <c r="X129" s="257"/>
    </row>
    <row r="130" spans="1:24" s="12" customFormat="1" x14ac:dyDescent="0.2">
      <c r="A130" s="204" t="str">
        <f>IF(J130&lt;&gt;"",1+MAX($A$18:A129),"")</f>
        <v/>
      </c>
      <c r="B130" s="201"/>
      <c r="C130" s="201"/>
      <c r="D130" s="201"/>
      <c r="E130" s="255"/>
      <c r="F130" s="216"/>
      <c r="G130" s="310"/>
      <c r="H130" s="82"/>
      <c r="I130" s="317"/>
      <c r="J130" s="192"/>
      <c r="K130" s="398"/>
      <c r="L130" s="218"/>
      <c r="M130" s="226"/>
      <c r="N130" s="212"/>
      <c r="O130" s="402"/>
      <c r="P130" s="214"/>
      <c r="Q130" s="215"/>
      <c r="R130" s="199"/>
      <c r="X130" s="257"/>
    </row>
    <row r="131" spans="1:24" s="12" customFormat="1" x14ac:dyDescent="0.2">
      <c r="A131" s="204" t="str">
        <f>IF(J131&lt;&gt;"",1+MAX($A$18:A130),"")</f>
        <v/>
      </c>
      <c r="B131" s="201"/>
      <c r="C131" s="201"/>
      <c r="D131" s="201"/>
      <c r="E131" s="255"/>
      <c r="F131" s="202" t="s">
        <v>34</v>
      </c>
      <c r="G131" s="310"/>
      <c r="H131" s="190"/>
      <c r="I131" s="317"/>
      <c r="J131" s="192"/>
      <c r="K131" s="382"/>
      <c r="L131" s="247"/>
      <c r="M131" s="194"/>
      <c r="N131" s="248"/>
      <c r="O131" s="377"/>
      <c r="P131" s="197"/>
      <c r="Q131" s="198"/>
      <c r="R131" s="199"/>
      <c r="X131" s="257"/>
    </row>
    <row r="132" spans="1:24" s="12" customFormat="1" x14ac:dyDescent="0.2">
      <c r="A132" s="204">
        <f>IF(J132&lt;&gt;"",1+MAX($A$18:A131),"")</f>
        <v>69</v>
      </c>
      <c r="B132" s="201" t="s">
        <v>463</v>
      </c>
      <c r="C132" s="201" t="s">
        <v>470</v>
      </c>
      <c r="D132" s="201" t="s">
        <v>83</v>
      </c>
      <c r="E132" s="255" t="s">
        <v>277</v>
      </c>
      <c r="F132" s="188" t="s">
        <v>677</v>
      </c>
      <c r="G132" s="310">
        <v>187</v>
      </c>
      <c r="H132" s="205">
        <f>IF(VLOOKUP(J132,'HOURLY RATES'!B$116:C$124,2,0)=0,$J$3,VLOOKUP(J132,'HOURLY RATES'!B$116:C$124,2,0))</f>
        <v>0.05</v>
      </c>
      <c r="I132" s="317">
        <f t="shared" ref="I132:I133" si="77">(G132*(1+H132))</f>
        <v>196.35</v>
      </c>
      <c r="J132" s="192" t="s">
        <v>19</v>
      </c>
      <c r="K132" s="382">
        <v>0.15</v>
      </c>
      <c r="L132" s="228">
        <f t="shared" ref="L132:L133" si="78">K132*I132</f>
        <v>29.452499999999997</v>
      </c>
      <c r="M132" s="194">
        <f>IF(VLOOKUP(E132,'HOURLY RATES'!C$6:D$105,2,0)=0,$E$3,VLOOKUP(E132,'HOURLY RATES'!C$6:D$105,2,0))</f>
        <v>69.352762499999983</v>
      </c>
      <c r="N132" s="206">
        <f t="shared" ref="N132:N133" si="79">M132*L132</f>
        <v>2042.6122375312493</v>
      </c>
      <c r="O132" s="377">
        <f>(25/1.5)*2/3</f>
        <v>11.111111111111112</v>
      </c>
      <c r="P132" s="197">
        <f t="shared" ref="P132:P133" si="80">O132*I132</f>
        <v>2181.666666666667</v>
      </c>
      <c r="Q132" s="198">
        <f t="shared" ref="Q132:Q133" si="81">P132+N132</f>
        <v>4224.2789041979158</v>
      </c>
      <c r="R132" s="199"/>
      <c r="X132" s="257"/>
    </row>
    <row r="133" spans="1:24" s="12" customFormat="1" x14ac:dyDescent="0.2">
      <c r="A133" s="204">
        <f>IF(J133&lt;&gt;"",1+MAX($A$18:A132),"")</f>
        <v>70</v>
      </c>
      <c r="B133" s="201" t="s">
        <v>463</v>
      </c>
      <c r="C133" s="201" t="s">
        <v>470</v>
      </c>
      <c r="D133" s="201" t="s">
        <v>83</v>
      </c>
      <c r="E133" s="255" t="s">
        <v>277</v>
      </c>
      <c r="F133" s="188" t="s">
        <v>680</v>
      </c>
      <c r="G133" s="310">
        <v>10</v>
      </c>
      <c r="H133" s="205">
        <f>IF(VLOOKUP(J133,'HOURLY RATES'!B$116:C$124,2,0)=0,$J$3,VLOOKUP(J133,'HOURLY RATES'!B$116:C$124,2,0))</f>
        <v>0.05</v>
      </c>
      <c r="I133" s="317">
        <f t="shared" si="77"/>
        <v>10.5</v>
      </c>
      <c r="J133" s="192" t="s">
        <v>19</v>
      </c>
      <c r="K133" s="382">
        <v>0.18</v>
      </c>
      <c r="L133" s="228">
        <f t="shared" si="78"/>
        <v>1.89</v>
      </c>
      <c r="M133" s="194">
        <f>IF(VLOOKUP(E133,'HOURLY RATES'!C$6:D$105,2,0)=0,$E$3,VLOOKUP(E133,'HOURLY RATES'!C$6:D$105,2,0))</f>
        <v>69.352762499999983</v>
      </c>
      <c r="N133" s="206">
        <f t="shared" si="79"/>
        <v>131.07672112499995</v>
      </c>
      <c r="O133" s="377">
        <f>43.04/3</f>
        <v>14.346666666666666</v>
      </c>
      <c r="P133" s="197">
        <f t="shared" si="80"/>
        <v>150.63999999999999</v>
      </c>
      <c r="Q133" s="198">
        <f t="shared" si="81"/>
        <v>281.71672112499994</v>
      </c>
      <c r="R133" s="199"/>
      <c r="X133" s="257"/>
    </row>
    <row r="134" spans="1:24" s="12" customFormat="1" x14ac:dyDescent="0.2">
      <c r="A134" s="204" t="str">
        <f>IF(J134&lt;&gt;"",1+MAX($A$18:A133),"")</f>
        <v/>
      </c>
      <c r="B134" s="201"/>
      <c r="C134" s="201"/>
      <c r="D134" s="201"/>
      <c r="E134" s="255"/>
      <c r="F134" s="188"/>
      <c r="G134" s="310"/>
      <c r="H134" s="82"/>
      <c r="I134" s="317"/>
      <c r="J134" s="192"/>
      <c r="K134" s="382"/>
      <c r="L134" s="228"/>
      <c r="M134" s="194"/>
      <c r="N134" s="206"/>
      <c r="O134" s="377"/>
      <c r="P134" s="197"/>
      <c r="Q134" s="198"/>
      <c r="R134" s="199"/>
      <c r="X134" s="257"/>
    </row>
    <row r="135" spans="1:24" s="12" customFormat="1" x14ac:dyDescent="0.2">
      <c r="A135" s="204" t="str">
        <f>IF(J135&lt;&gt;"",1+MAX($A$18:A134),"")</f>
        <v/>
      </c>
      <c r="B135" s="201"/>
      <c r="C135" s="201"/>
      <c r="D135" s="201"/>
      <c r="E135" s="255"/>
      <c r="F135" s="202" t="s">
        <v>271</v>
      </c>
      <c r="G135" s="403"/>
      <c r="H135" s="82"/>
      <c r="I135" s="317"/>
      <c r="J135" s="192"/>
      <c r="K135" s="398"/>
      <c r="L135" s="218"/>
      <c r="M135" s="226"/>
      <c r="N135" s="212"/>
      <c r="O135" s="402"/>
      <c r="P135" s="214"/>
      <c r="Q135" s="215"/>
      <c r="R135" s="199"/>
      <c r="X135" s="257"/>
    </row>
    <row r="136" spans="1:24" s="12" customFormat="1" ht="31.5" x14ac:dyDescent="0.2">
      <c r="A136" s="204">
        <f>IF(J136&lt;&gt;"",1+MAX($A$18:A135),"")</f>
        <v>71</v>
      </c>
      <c r="B136" s="201" t="s">
        <v>539</v>
      </c>
      <c r="C136" s="201" t="s">
        <v>470</v>
      </c>
      <c r="D136" s="201" t="s">
        <v>83</v>
      </c>
      <c r="E136" s="255" t="s">
        <v>289</v>
      </c>
      <c r="F136" s="216" t="s">
        <v>535</v>
      </c>
      <c r="G136" s="366">
        <f>1235.88+(5.33*3)</f>
        <v>1251.8700000000001</v>
      </c>
      <c r="H136" s="205">
        <f>IF(VLOOKUP(J136,'HOURLY RATES'!B$116:C$124,2,0)=0,$J$3,VLOOKUP(J136,'HOURLY RATES'!B$116:C$124,2,0))</f>
        <v>0.05</v>
      </c>
      <c r="I136" s="317">
        <f t="shared" ref="I136" si="82">(G136*(1+H136))</f>
        <v>1314.4635000000001</v>
      </c>
      <c r="J136" s="192" t="s">
        <v>17</v>
      </c>
      <c r="K136" s="382">
        <v>0.2</v>
      </c>
      <c r="L136" s="228">
        <f t="shared" ref="L136:L137" si="83">K136*I136</f>
        <v>262.89270000000005</v>
      </c>
      <c r="M136" s="194">
        <f>IF(VLOOKUP(E136,'HOURLY RATES'!C$6:D$105,2,0)=0,$E$3,VLOOKUP(E136,'HOURLY RATES'!C$6:D$105,2,0))</f>
        <v>69.352762499999983</v>
      </c>
      <c r="N136" s="206">
        <f t="shared" ref="N136:N137" si="84">M136*L136</f>
        <v>18232.334986083748</v>
      </c>
      <c r="O136" s="377">
        <v>11.43</v>
      </c>
      <c r="P136" s="378">
        <f t="shared" ref="P136:P137" si="85">O136*I136</f>
        <v>15024.317805000001</v>
      </c>
      <c r="Q136" s="198">
        <f t="shared" ref="Q136:Q137" si="86">P136+N136</f>
        <v>33256.652791083747</v>
      </c>
      <c r="R136" s="199"/>
      <c r="X136" s="257"/>
    </row>
    <row r="137" spans="1:24" s="12" customFormat="1" x14ac:dyDescent="0.2">
      <c r="A137" s="204">
        <f>IF(J137&lt;&gt;"",1+MAX($A$18:A136),"")</f>
        <v>72</v>
      </c>
      <c r="B137" s="201" t="s">
        <v>539</v>
      </c>
      <c r="C137" s="201" t="s">
        <v>470</v>
      </c>
      <c r="D137" s="201" t="s">
        <v>83</v>
      </c>
      <c r="E137" s="255" t="s">
        <v>289</v>
      </c>
      <c r="F137" s="216" t="s">
        <v>536</v>
      </c>
      <c r="G137" s="366">
        <f>31.88*3.5</f>
        <v>111.58</v>
      </c>
      <c r="H137" s="205">
        <f>IF(VLOOKUP(J137,'HOURLY RATES'!B$116:C$124,2,0)=0,$J$3,VLOOKUP(J137,'HOURLY RATES'!B$116:C$124,2,0))</f>
        <v>0.05</v>
      </c>
      <c r="I137" s="317">
        <f t="shared" ref="I137" si="87">(G137*(1+H137))</f>
        <v>117.15900000000001</v>
      </c>
      <c r="J137" s="192" t="s">
        <v>17</v>
      </c>
      <c r="K137" s="382">
        <v>0.2</v>
      </c>
      <c r="L137" s="228">
        <f t="shared" si="83"/>
        <v>23.431800000000003</v>
      </c>
      <c r="M137" s="194">
        <f>IF(VLOOKUP(E137,'HOURLY RATES'!C$6:D$105,2,0)=0,$E$3,VLOOKUP(E137,'HOURLY RATES'!C$6:D$105,2,0))</f>
        <v>69.352762499999983</v>
      </c>
      <c r="N137" s="206">
        <f t="shared" si="84"/>
        <v>1625.0600603474998</v>
      </c>
      <c r="O137" s="377">
        <v>11.43</v>
      </c>
      <c r="P137" s="378">
        <f t="shared" si="85"/>
        <v>1339.1273699999999</v>
      </c>
      <c r="Q137" s="198">
        <f t="shared" si="86"/>
        <v>2964.1874303474997</v>
      </c>
      <c r="R137" s="199"/>
      <c r="X137" s="257"/>
    </row>
    <row r="138" spans="1:24" s="12" customFormat="1" x14ac:dyDescent="0.2">
      <c r="A138" s="204">
        <f>IF(J138&lt;&gt;"",1+MAX($A$18:A137),"")</f>
        <v>73</v>
      </c>
      <c r="B138" s="201" t="s">
        <v>539</v>
      </c>
      <c r="C138" s="201" t="s">
        <v>470</v>
      </c>
      <c r="D138" s="201" t="s">
        <v>83</v>
      </c>
      <c r="E138" s="255" t="s">
        <v>289</v>
      </c>
      <c r="F138" s="216" t="s">
        <v>533</v>
      </c>
      <c r="G138" s="310">
        <f>(1347*(0.5/12))/27*1.2</f>
        <v>2.4944444444444445</v>
      </c>
      <c r="H138" s="205">
        <f>IF(VLOOKUP(J138,'HOURLY RATES'!B$116:C$124,2,0)=0,$J$3,VLOOKUP(J138,'HOURLY RATES'!B$116:C$124,2,0))</f>
        <v>0.05</v>
      </c>
      <c r="I138" s="317">
        <f t="shared" ref="I138:I140" si="88">(G138*(1+H138))</f>
        <v>2.6191666666666666</v>
      </c>
      <c r="J138" s="192" t="s">
        <v>47</v>
      </c>
      <c r="K138" s="382">
        <v>1.1000000000000001</v>
      </c>
      <c r="L138" s="228">
        <f t="shared" ref="L138:L140" si="89">K138*I138</f>
        <v>2.8810833333333337</v>
      </c>
      <c r="M138" s="194">
        <f>IF(VLOOKUP(E138,'HOURLY RATES'!C$6:D$105,2,0)=0,$E$3,VLOOKUP(E138,'HOURLY RATES'!C$6:D$105,2,0))</f>
        <v>69.352762499999983</v>
      </c>
      <c r="N138" s="206">
        <f t="shared" ref="N138:N140" si="90">M138*L138</f>
        <v>199.81108815937498</v>
      </c>
      <c r="O138" s="377">
        <v>65</v>
      </c>
      <c r="P138" s="197">
        <f t="shared" ref="P138:P140" si="91">O138*I138</f>
        <v>170.24583333333334</v>
      </c>
      <c r="Q138" s="198">
        <f t="shared" ref="Q138:Q140" si="92">P138+N138</f>
        <v>370.05692149270828</v>
      </c>
      <c r="R138" s="199"/>
      <c r="X138" s="257"/>
    </row>
    <row r="139" spans="1:24" s="12" customFormat="1" x14ac:dyDescent="0.2">
      <c r="A139" s="204">
        <f>IF(J139&lt;&gt;"",1+MAX($A$18:A138),"")</f>
        <v>74</v>
      </c>
      <c r="B139" s="201" t="s">
        <v>539</v>
      </c>
      <c r="C139" s="201" t="s">
        <v>470</v>
      </c>
      <c r="D139" s="201" t="s">
        <v>83</v>
      </c>
      <c r="E139" s="255" t="s">
        <v>289</v>
      </c>
      <c r="F139" s="216" t="s">
        <v>534</v>
      </c>
      <c r="G139" s="366">
        <v>1347</v>
      </c>
      <c r="H139" s="205">
        <f>IF(VLOOKUP(J139,'HOURLY RATES'!B$116:C$124,2,0)=0,$J$3,VLOOKUP(J139,'HOURLY RATES'!B$116:C$124,2,0))</f>
        <v>0.05</v>
      </c>
      <c r="I139" s="317">
        <f t="shared" si="88"/>
        <v>1414.3500000000001</v>
      </c>
      <c r="J139" s="192" t="s">
        <v>17</v>
      </c>
      <c r="K139" s="398">
        <v>0.1</v>
      </c>
      <c r="L139" s="228">
        <f t="shared" si="89"/>
        <v>141.43500000000003</v>
      </c>
      <c r="M139" s="194">
        <f>IF(VLOOKUP(E139,'HOURLY RATES'!C$6:D$105,2,0)=0,$E$3,VLOOKUP(E139,'HOURLY RATES'!C$6:D$105,2,0))</f>
        <v>69.352762499999983</v>
      </c>
      <c r="N139" s="206">
        <f t="shared" si="90"/>
        <v>9808.9079641874996</v>
      </c>
      <c r="O139" s="377">
        <v>3.8</v>
      </c>
      <c r="P139" s="197">
        <f t="shared" si="91"/>
        <v>5374.5300000000007</v>
      </c>
      <c r="Q139" s="198">
        <f t="shared" si="92"/>
        <v>15183.4379641875</v>
      </c>
      <c r="R139" s="199"/>
      <c r="X139" s="257"/>
    </row>
    <row r="140" spans="1:24" s="12" customFormat="1" x14ac:dyDescent="0.2">
      <c r="A140" s="204">
        <f>IF(J140&lt;&gt;"",1+MAX($A$18:A139),"")</f>
        <v>75</v>
      </c>
      <c r="B140" s="201" t="s">
        <v>539</v>
      </c>
      <c r="C140" s="201" t="s">
        <v>470</v>
      </c>
      <c r="D140" s="201" t="s">
        <v>83</v>
      </c>
      <c r="E140" s="255" t="s">
        <v>289</v>
      </c>
      <c r="F140" s="307" t="s">
        <v>537</v>
      </c>
      <c r="G140" s="366">
        <v>1347</v>
      </c>
      <c r="H140" s="205">
        <f>IF(VLOOKUP(J140,'HOURLY RATES'!B$116:C$124,2,0)=0,$J$3,VLOOKUP(J140,'HOURLY RATES'!B$116:C$124,2,0))</f>
        <v>0.05</v>
      </c>
      <c r="I140" s="317">
        <f t="shared" si="88"/>
        <v>1414.3500000000001</v>
      </c>
      <c r="J140" s="192" t="s">
        <v>17</v>
      </c>
      <c r="K140" s="382">
        <v>5.0000000000000001E-3</v>
      </c>
      <c r="L140" s="228">
        <f t="shared" si="89"/>
        <v>7.0717500000000006</v>
      </c>
      <c r="M140" s="194">
        <f>IF(VLOOKUP(E140,'HOURLY RATES'!C$6:D$105,2,0)=0,$E$3,VLOOKUP(E140,'HOURLY RATES'!C$6:D$105,2,0))</f>
        <v>69.352762499999983</v>
      </c>
      <c r="N140" s="206">
        <f t="shared" si="90"/>
        <v>490.4453982093749</v>
      </c>
      <c r="O140" s="377">
        <v>0.38</v>
      </c>
      <c r="P140" s="197">
        <f t="shared" si="91"/>
        <v>537.45300000000009</v>
      </c>
      <c r="Q140" s="198">
        <f t="shared" si="92"/>
        <v>1027.898398209375</v>
      </c>
      <c r="R140" s="199"/>
      <c r="X140" s="257"/>
    </row>
    <row r="141" spans="1:24" s="12" customFormat="1" x14ac:dyDescent="0.2">
      <c r="A141" s="209" t="str">
        <f>IF(J141&lt;&gt;"",1+MAX($A$18:A140),"")</f>
        <v/>
      </c>
      <c r="B141" s="210"/>
      <c r="C141" s="210"/>
      <c r="D141" s="221"/>
      <c r="E141" s="255"/>
      <c r="F141" s="216"/>
      <c r="G141" s="310"/>
      <c r="H141" s="205"/>
      <c r="I141" s="317"/>
      <c r="J141" s="192"/>
      <c r="K141" s="398"/>
      <c r="L141" s="228"/>
      <c r="M141" s="194"/>
      <c r="N141" s="206"/>
      <c r="O141" s="377"/>
      <c r="P141" s="197"/>
      <c r="Q141" s="198"/>
      <c r="R141" s="199"/>
      <c r="X141" s="257"/>
    </row>
    <row r="142" spans="1:24" s="12" customFormat="1" x14ac:dyDescent="0.2">
      <c r="A142" s="302">
        <f>IF(J142&lt;&gt;"",1+MAX($A$18:A141),"")</f>
        <v>76</v>
      </c>
      <c r="B142" s="261"/>
      <c r="C142" s="261"/>
      <c r="D142" s="201" t="s">
        <v>83</v>
      </c>
      <c r="E142" s="255" t="s">
        <v>289</v>
      </c>
      <c r="F142" s="216" t="s">
        <v>540</v>
      </c>
      <c r="G142" s="310">
        <f>26*17</f>
        <v>442</v>
      </c>
      <c r="H142" s="205">
        <f>IF(VLOOKUP(J142,'HOURLY RATES'!B$116:C$124,2,0)=0,$J$3,VLOOKUP(J142,'HOURLY RATES'!B$116:C$124,2,0))</f>
        <v>0.05</v>
      </c>
      <c r="I142" s="317">
        <f t="shared" ref="I142" si="93">(G142*(1+H142))</f>
        <v>464.1</v>
      </c>
      <c r="J142" s="192" t="s">
        <v>17</v>
      </c>
      <c r="K142" s="398">
        <f>0.006*4</f>
        <v>2.4E-2</v>
      </c>
      <c r="L142" s="228">
        <f t="shared" ref="L142" si="94">K142*I142</f>
        <v>11.138400000000001</v>
      </c>
      <c r="M142" s="194">
        <f>IF(VLOOKUP(E142,'HOURLY RATES'!C$6:D$105,2,0)=0,$E$3,VLOOKUP(E142,'HOURLY RATES'!C$6:D$105,2,0))</f>
        <v>69.352762499999983</v>
      </c>
      <c r="N142" s="206">
        <f t="shared" ref="N142" si="95">M142*L142</f>
        <v>772.47880982999982</v>
      </c>
      <c r="O142" s="377"/>
      <c r="P142" s="197">
        <f t="shared" ref="P142" si="96">O142*I142</f>
        <v>0</v>
      </c>
      <c r="Q142" s="198">
        <f t="shared" ref="Q142" si="97">P142+N142</f>
        <v>772.47880982999982</v>
      </c>
      <c r="R142" s="199"/>
      <c r="X142" s="257"/>
    </row>
    <row r="143" spans="1:24" s="12" customFormat="1" ht="16.5" thickBot="1" x14ac:dyDescent="0.25">
      <c r="A143" s="263" t="str">
        <f>IF(J143&lt;&gt;"",1+MAX($A$18:A142),"")</f>
        <v/>
      </c>
      <c r="B143" s="264"/>
      <c r="C143" s="264"/>
      <c r="D143" s="264"/>
      <c r="E143" s="404"/>
      <c r="F143" s="265"/>
      <c r="G143" s="313"/>
      <c r="H143" s="267"/>
      <c r="I143" s="319"/>
      <c r="J143" s="359"/>
      <c r="K143" s="400"/>
      <c r="L143" s="269"/>
      <c r="M143" s="272"/>
      <c r="N143" s="273"/>
      <c r="O143" s="401"/>
      <c r="P143" s="275"/>
      <c r="Q143" s="276"/>
      <c r="R143" s="277"/>
      <c r="X143" s="257"/>
    </row>
    <row r="144" spans="1:24" s="12" customFormat="1" ht="20.100000000000001" customHeight="1" x14ac:dyDescent="0.2">
      <c r="A144" s="475" t="str">
        <f>IF(J144&lt;&gt;"",1+MAX($A$18:A143),"")</f>
        <v/>
      </c>
      <c r="B144" s="476"/>
      <c r="C144" s="476"/>
      <c r="D144" s="476" t="s">
        <v>84</v>
      </c>
      <c r="E144" s="481"/>
      <c r="F144" s="477" t="s">
        <v>216</v>
      </c>
      <c r="G144" s="482"/>
      <c r="H144" s="479"/>
      <c r="I144" s="483"/>
      <c r="J144" s="483"/>
      <c r="K144" s="484"/>
      <c r="L144" s="479"/>
      <c r="M144" s="479"/>
      <c r="N144" s="479"/>
      <c r="O144" s="484"/>
      <c r="P144" s="479"/>
      <c r="Q144" s="479"/>
      <c r="R144" s="480">
        <f>SUM(Q145:Q208)</f>
        <v>372709.61467765819</v>
      </c>
      <c r="X144" s="257"/>
    </row>
    <row r="145" spans="1:24" s="12" customFormat="1" x14ac:dyDescent="0.2">
      <c r="A145" s="209" t="str">
        <f>IF(J145&lt;&gt;"",1+MAX($A$18:A144),"")</f>
        <v/>
      </c>
      <c r="B145" s="210"/>
      <c r="C145" s="210"/>
      <c r="D145" s="210"/>
      <c r="E145" s="255"/>
      <c r="F145" s="216"/>
      <c r="G145" s="310"/>
      <c r="H145" s="205"/>
      <c r="I145" s="317"/>
      <c r="J145" s="192"/>
      <c r="K145" s="222"/>
      <c r="L145" s="228"/>
      <c r="M145" s="194"/>
      <c r="N145" s="206"/>
      <c r="O145" s="377"/>
      <c r="P145" s="197"/>
      <c r="Q145" s="198"/>
      <c r="R145" s="199"/>
      <c r="X145" s="257"/>
    </row>
    <row r="146" spans="1:24" s="12" customFormat="1" x14ac:dyDescent="0.2">
      <c r="A146" s="209" t="str">
        <f>IF(J146&lt;&gt;"",1+MAX($A$18:A145),"")</f>
        <v/>
      </c>
      <c r="B146" s="210"/>
      <c r="C146" s="210"/>
      <c r="D146" s="210"/>
      <c r="E146" s="255"/>
      <c r="F146" s="219" t="s">
        <v>362</v>
      </c>
      <c r="G146" s="310"/>
      <c r="H146" s="225"/>
      <c r="I146" s="317"/>
      <c r="J146" s="192"/>
      <c r="K146" s="222"/>
      <c r="L146" s="218"/>
      <c r="M146" s="226"/>
      <c r="N146" s="212"/>
      <c r="O146" s="224"/>
      <c r="P146" s="214"/>
      <c r="Q146" s="215"/>
      <c r="R146" s="199"/>
      <c r="X146" s="257"/>
    </row>
    <row r="147" spans="1:24" s="12" customFormat="1" x14ac:dyDescent="0.2">
      <c r="A147" s="209">
        <f>IF(J147&lt;&gt;"",1+MAX($A$18:A146),"")</f>
        <v>77</v>
      </c>
      <c r="B147" s="210" t="s">
        <v>364</v>
      </c>
      <c r="C147" s="210" t="s">
        <v>364</v>
      </c>
      <c r="D147" s="210" t="s">
        <v>84</v>
      </c>
      <c r="E147" s="255" t="s">
        <v>58</v>
      </c>
      <c r="F147" s="307" t="s">
        <v>363</v>
      </c>
      <c r="G147" s="310">
        <v>5</v>
      </c>
      <c r="H147" s="205">
        <f>IF(VLOOKUP(J147,'HOURLY RATES'!B$116:C$124,2,0)=0,$J$3,VLOOKUP(J147,'HOURLY RATES'!B$116:C$124,2,0))</f>
        <v>0</v>
      </c>
      <c r="I147" s="317">
        <f t="shared" ref="I147" si="98">(G147*(1+H147))</f>
        <v>5</v>
      </c>
      <c r="J147" s="192" t="s">
        <v>16</v>
      </c>
      <c r="K147" s="245">
        <f>0.125*6</f>
        <v>0.75</v>
      </c>
      <c r="L147" s="228">
        <f t="shared" ref="L147" si="99">K147*I147</f>
        <v>3.75</v>
      </c>
      <c r="M147" s="194">
        <f>IF(VLOOKUP(E147,'HOURLY RATES'!C$6:D$105,2,0)=0,$E$3,VLOOKUP(E147,'HOURLY RATES'!C$6:D$105,2,0))</f>
        <v>62.284425000000006</v>
      </c>
      <c r="N147" s="206">
        <f t="shared" ref="N147" si="100">M147*L147</f>
        <v>233.56659375000001</v>
      </c>
      <c r="O147" s="377">
        <f>115*6/8</f>
        <v>86.25</v>
      </c>
      <c r="P147" s="197">
        <f t="shared" ref="P147" si="101">O147*I147</f>
        <v>431.25</v>
      </c>
      <c r="Q147" s="198">
        <f t="shared" ref="Q147" si="102">P147+N147</f>
        <v>664.81659375000004</v>
      </c>
      <c r="R147" s="199"/>
      <c r="X147" s="257"/>
    </row>
    <row r="148" spans="1:24" s="12" customFormat="1" x14ac:dyDescent="0.2">
      <c r="A148" s="209" t="str">
        <f>IF(J148&lt;&gt;"",1+MAX($A$18:A147),"")</f>
        <v/>
      </c>
      <c r="B148" s="210"/>
      <c r="C148" s="210"/>
      <c r="D148" s="210"/>
      <c r="E148" s="255"/>
      <c r="F148" s="307"/>
      <c r="G148" s="310"/>
      <c r="H148" s="205"/>
      <c r="I148" s="317"/>
      <c r="J148" s="192"/>
      <c r="K148" s="245"/>
      <c r="L148" s="218"/>
      <c r="M148" s="194"/>
      <c r="N148" s="206"/>
      <c r="O148" s="377"/>
      <c r="P148" s="197"/>
      <c r="Q148" s="198"/>
      <c r="R148" s="199"/>
      <c r="X148" s="257"/>
    </row>
    <row r="149" spans="1:24" s="12" customFormat="1" ht="18.75" x14ac:dyDescent="0.2">
      <c r="A149" s="209" t="str">
        <f>IF(J149&lt;&gt;"",1+MAX($A$18:A148),"")</f>
        <v/>
      </c>
      <c r="B149" s="210"/>
      <c r="C149" s="210"/>
      <c r="D149" s="210"/>
      <c r="E149" s="255"/>
      <c r="F149" s="244" t="s">
        <v>200</v>
      </c>
      <c r="G149" s="310"/>
      <c r="H149" s="225"/>
      <c r="I149" s="317"/>
      <c r="J149" s="192"/>
      <c r="K149" s="222"/>
      <c r="L149" s="218"/>
      <c r="M149" s="194"/>
      <c r="N149" s="212"/>
      <c r="O149" s="224"/>
      <c r="P149" s="214"/>
      <c r="Q149" s="215"/>
      <c r="R149" s="199"/>
      <c r="X149" s="257"/>
    </row>
    <row r="150" spans="1:24" s="12" customFormat="1" x14ac:dyDescent="0.2">
      <c r="A150" s="209" t="str">
        <f>IF(J150&lt;&gt;"",1+MAX($A$18:A149),"")</f>
        <v/>
      </c>
      <c r="B150" s="210"/>
      <c r="C150" s="210"/>
      <c r="D150" s="210"/>
      <c r="E150" s="255"/>
      <c r="F150" s="216"/>
      <c r="G150" s="310"/>
      <c r="H150" s="225"/>
      <c r="I150" s="317"/>
      <c r="J150" s="192"/>
      <c r="K150" s="222"/>
      <c r="L150" s="218"/>
      <c r="M150" s="226"/>
      <c r="N150" s="212"/>
      <c r="O150" s="224"/>
      <c r="P150" s="214"/>
      <c r="Q150" s="215"/>
      <c r="R150" s="199"/>
      <c r="X150" s="257"/>
    </row>
    <row r="151" spans="1:24" s="12" customFormat="1" x14ac:dyDescent="0.2">
      <c r="A151" s="209" t="str">
        <f>IF(J151&lt;&gt;"",1+MAX($A$18:A150),"")</f>
        <v/>
      </c>
      <c r="B151" s="210"/>
      <c r="C151" s="210"/>
      <c r="D151" s="210"/>
      <c r="E151" s="255"/>
      <c r="F151" s="219" t="s">
        <v>197</v>
      </c>
      <c r="G151" s="310"/>
      <c r="H151" s="225"/>
      <c r="I151" s="317"/>
      <c r="J151" s="192"/>
      <c r="K151" s="222"/>
      <c r="L151" s="218"/>
      <c r="M151" s="226"/>
      <c r="N151" s="212"/>
      <c r="O151" s="224"/>
      <c r="P151" s="214"/>
      <c r="Q151" s="215"/>
      <c r="R151" s="199"/>
      <c r="X151" s="257"/>
    </row>
    <row r="152" spans="1:24" s="12" customFormat="1" x14ac:dyDescent="0.2">
      <c r="A152" s="209">
        <f>IF(J152&lt;&gt;"",1+MAX($A$18:A151),"")</f>
        <v>78</v>
      </c>
      <c r="B152" s="210" t="s">
        <v>359</v>
      </c>
      <c r="C152" s="210" t="s">
        <v>359</v>
      </c>
      <c r="D152" s="210" t="s">
        <v>84</v>
      </c>
      <c r="E152" s="255" t="s">
        <v>58</v>
      </c>
      <c r="F152" s="307" t="s">
        <v>366</v>
      </c>
      <c r="G152" s="310">
        <f>(22*1.33*1.33)*30.6</f>
        <v>1190.8234800000002</v>
      </c>
      <c r="H152" s="205">
        <f>IF(VLOOKUP(J152,'HOURLY RATES'!B$116:C$124,2,0)=0,$J$3,VLOOKUP(J152,'HOURLY RATES'!B$116:C$124,2,0))</f>
        <v>0.05</v>
      </c>
      <c r="I152" s="317">
        <f t="shared" ref="I152:I153" si="103">(G152*(1+H152))</f>
        <v>1250.3646540000002</v>
      </c>
      <c r="J152" s="192" t="s">
        <v>121</v>
      </c>
      <c r="K152" s="222">
        <v>6.9000000000000006E-2</v>
      </c>
      <c r="L152" s="228">
        <f t="shared" ref="L152:L153" si="104">K152*I152</f>
        <v>86.275161126000015</v>
      </c>
      <c r="M152" s="194">
        <f>IF(VLOOKUP(E152,'HOURLY RATES'!C$6:D$105,2,0)=0,$E$3,VLOOKUP(E152,'HOURLY RATES'!C$6:D$105,2,0))</f>
        <v>62.284425000000006</v>
      </c>
      <c r="N152" s="206">
        <f t="shared" ref="N152:N153" si="105">M152*L152</f>
        <v>5373.5988025152637</v>
      </c>
      <c r="O152" s="377">
        <v>2.2999999999999998</v>
      </c>
      <c r="P152" s="197">
        <f t="shared" ref="P152:P153" si="106">O152*I152</f>
        <v>2875.8387042000004</v>
      </c>
      <c r="Q152" s="198">
        <f t="shared" ref="Q152:Q153" si="107">P152+N152</f>
        <v>8249.437506715265</v>
      </c>
      <c r="R152" s="199"/>
      <c r="X152" s="257"/>
    </row>
    <row r="153" spans="1:24" s="12" customFormat="1" x14ac:dyDescent="0.2">
      <c r="A153" s="209">
        <f>IF(J153&lt;&gt;"",1+MAX($A$18:A152),"")</f>
        <v>79</v>
      </c>
      <c r="B153" s="210" t="s">
        <v>359</v>
      </c>
      <c r="C153" s="210" t="s">
        <v>359</v>
      </c>
      <c r="D153" s="210" t="s">
        <v>84</v>
      </c>
      <c r="E153" s="255" t="s">
        <v>58</v>
      </c>
      <c r="F153" s="307" t="s">
        <v>367</v>
      </c>
      <c r="G153" s="310">
        <f>(2*1.33*1.33)*30.6</f>
        <v>108.25668000000002</v>
      </c>
      <c r="H153" s="205">
        <f>IF(VLOOKUP(J153,'HOURLY RATES'!B$116:C$124,2,0)=0,$J$3,VLOOKUP(J153,'HOURLY RATES'!B$116:C$124,2,0))</f>
        <v>0.05</v>
      </c>
      <c r="I153" s="317">
        <f t="shared" si="103"/>
        <v>113.66951400000002</v>
      </c>
      <c r="J153" s="192" t="s">
        <v>121</v>
      </c>
      <c r="K153" s="222">
        <v>6.9000000000000006E-2</v>
      </c>
      <c r="L153" s="228">
        <f t="shared" si="104"/>
        <v>7.843196466000002</v>
      </c>
      <c r="M153" s="194">
        <f>IF(VLOOKUP(E153,'HOURLY RATES'!C$6:D$105,2,0)=0,$E$3,VLOOKUP(E153,'HOURLY RATES'!C$6:D$105,2,0))</f>
        <v>62.284425000000006</v>
      </c>
      <c r="N153" s="206">
        <f t="shared" si="105"/>
        <v>488.50898204684222</v>
      </c>
      <c r="O153" s="377">
        <v>2.2999999999999998</v>
      </c>
      <c r="P153" s="197">
        <f t="shared" si="106"/>
        <v>261.4398822</v>
      </c>
      <c r="Q153" s="198">
        <f t="shared" si="107"/>
        <v>749.94886424684228</v>
      </c>
      <c r="R153" s="199"/>
      <c r="X153" s="257"/>
    </row>
    <row r="154" spans="1:24" s="12" customFormat="1" x14ac:dyDescent="0.2">
      <c r="A154" s="209" t="str">
        <f>IF(J154&lt;&gt;"",1+MAX($A$18:A153),"")</f>
        <v/>
      </c>
      <c r="B154" s="210"/>
      <c r="C154" s="210"/>
      <c r="D154" s="210"/>
      <c r="E154" s="255"/>
      <c r="F154" s="216"/>
      <c r="G154" s="310"/>
      <c r="H154" s="205"/>
      <c r="I154" s="317"/>
      <c r="J154" s="192"/>
      <c r="K154" s="222"/>
      <c r="L154" s="218"/>
      <c r="M154" s="226"/>
      <c r="N154" s="212"/>
      <c r="O154" s="230"/>
      <c r="P154" s="214"/>
      <c r="Q154" s="215"/>
      <c r="R154" s="199"/>
      <c r="X154" s="257"/>
    </row>
    <row r="155" spans="1:24" s="12" customFormat="1" x14ac:dyDescent="0.2">
      <c r="A155" s="209" t="str">
        <f>IF(J155&lt;&gt;"",1+MAX($A$18:A154),"")</f>
        <v/>
      </c>
      <c r="B155" s="210"/>
      <c r="C155" s="210"/>
      <c r="D155" s="210"/>
      <c r="E155" s="255"/>
      <c r="F155" s="219" t="s">
        <v>198</v>
      </c>
      <c r="G155" s="310"/>
      <c r="H155" s="225"/>
      <c r="I155" s="317"/>
      <c r="J155" s="192"/>
      <c r="K155" s="222"/>
      <c r="L155" s="218"/>
      <c r="M155" s="226"/>
      <c r="N155" s="212"/>
      <c r="O155" s="224"/>
      <c r="P155" s="214"/>
      <c r="Q155" s="215"/>
      <c r="R155" s="199"/>
      <c r="X155" s="257"/>
    </row>
    <row r="156" spans="1:24" s="12" customFormat="1" x14ac:dyDescent="0.2">
      <c r="A156" s="209">
        <f>IF(J156&lt;&gt;"",1+MAX($A$18:A155),"")</f>
        <v>80</v>
      </c>
      <c r="B156" s="210" t="s">
        <v>359</v>
      </c>
      <c r="C156" s="210" t="s">
        <v>359</v>
      </c>
      <c r="D156" s="210" t="s">
        <v>84</v>
      </c>
      <c r="E156" s="255" t="s">
        <v>58</v>
      </c>
      <c r="F156" s="307" t="s">
        <v>365</v>
      </c>
      <c r="G156" s="310">
        <f>(22*13)*60</f>
        <v>17160</v>
      </c>
      <c r="H156" s="205">
        <f>IF(VLOOKUP(J156,'HOURLY RATES'!B$116:C$124,2,0)=0,$J$3,VLOOKUP(J156,'HOURLY RATES'!B$116:C$124,2,0))</f>
        <v>0.05</v>
      </c>
      <c r="I156" s="317">
        <f t="shared" ref="I156:I157" si="108">(G156*(1+H156))</f>
        <v>18018</v>
      </c>
      <c r="J156" s="192" t="s">
        <v>121</v>
      </c>
      <c r="K156" s="245">
        <v>1.2999999999999999E-2</v>
      </c>
      <c r="L156" s="228">
        <f t="shared" ref="L156:L157" si="109">K156*I156</f>
        <v>234.23399999999998</v>
      </c>
      <c r="M156" s="194">
        <f>IF(VLOOKUP(E156,'HOURLY RATES'!C$6:D$105,2,0)=0,$E$3,VLOOKUP(E156,'HOURLY RATES'!C$6:D$105,2,0))</f>
        <v>62.284425000000006</v>
      </c>
      <c r="N156" s="206">
        <f t="shared" ref="N156:N157" si="110">M156*L156</f>
        <v>14589.130005450001</v>
      </c>
      <c r="O156" s="377">
        <v>2.1</v>
      </c>
      <c r="P156" s="197">
        <f t="shared" ref="P156:P157" si="111">O156*I156</f>
        <v>37837.800000000003</v>
      </c>
      <c r="Q156" s="198">
        <f t="shared" ref="Q156:Q157" si="112">P156+N156</f>
        <v>52426.930005450005</v>
      </c>
      <c r="R156" s="199"/>
      <c r="X156" s="257"/>
    </row>
    <row r="157" spans="1:24" s="12" customFormat="1" x14ac:dyDescent="0.2">
      <c r="A157" s="209">
        <f>IF(J157&lt;&gt;"",1+MAX($A$18:A156),"")</f>
        <v>81</v>
      </c>
      <c r="B157" s="210" t="s">
        <v>359</v>
      </c>
      <c r="C157" s="210" t="s">
        <v>359</v>
      </c>
      <c r="D157" s="210" t="s">
        <v>84</v>
      </c>
      <c r="E157" s="255" t="s">
        <v>58</v>
      </c>
      <c r="F157" s="307" t="s">
        <v>368</v>
      </c>
      <c r="G157" s="310">
        <f>(2*13)*22.3</f>
        <v>579.80000000000007</v>
      </c>
      <c r="H157" s="205">
        <f>IF(VLOOKUP(J157,'HOURLY RATES'!B$116:C$124,2,0)=0,$J$3,VLOOKUP(J157,'HOURLY RATES'!B$116:C$124,2,0))</f>
        <v>0.05</v>
      </c>
      <c r="I157" s="317">
        <f t="shared" si="108"/>
        <v>608.79000000000008</v>
      </c>
      <c r="J157" s="192" t="s">
        <v>121</v>
      </c>
      <c r="K157" s="245">
        <v>0.01</v>
      </c>
      <c r="L157" s="228">
        <f t="shared" si="109"/>
        <v>6.0879000000000012</v>
      </c>
      <c r="M157" s="194">
        <f>IF(VLOOKUP(E157,'HOURLY RATES'!C$6:D$105,2,0)=0,$E$3,VLOOKUP(E157,'HOURLY RATES'!C$6:D$105,2,0))</f>
        <v>62.284425000000006</v>
      </c>
      <c r="N157" s="206">
        <f t="shared" si="110"/>
        <v>379.18135095750011</v>
      </c>
      <c r="O157" s="377">
        <v>2.6</v>
      </c>
      <c r="P157" s="197">
        <f t="shared" si="111"/>
        <v>1582.8540000000003</v>
      </c>
      <c r="Q157" s="198">
        <f t="shared" si="112"/>
        <v>1962.0353509575004</v>
      </c>
      <c r="R157" s="199"/>
      <c r="X157" s="257"/>
    </row>
    <row r="158" spans="1:24" s="12" customFormat="1" x14ac:dyDescent="0.2">
      <c r="A158" s="209" t="str">
        <f>IF(J158&lt;&gt;"",1+MAX($A$18:A157),"")</f>
        <v/>
      </c>
      <c r="B158" s="210"/>
      <c r="C158" s="210"/>
      <c r="D158" s="210"/>
      <c r="E158" s="255"/>
      <c r="F158" s="216"/>
      <c r="G158" s="310"/>
      <c r="H158" s="225"/>
      <c r="I158" s="317"/>
      <c r="J158" s="192"/>
      <c r="K158" s="222"/>
      <c r="L158" s="218"/>
      <c r="M158" s="226"/>
      <c r="N158" s="212"/>
      <c r="O158" s="224"/>
      <c r="P158" s="214"/>
      <c r="Q158" s="215"/>
      <c r="R158" s="199"/>
      <c r="X158" s="257"/>
    </row>
    <row r="159" spans="1:24" s="12" customFormat="1" x14ac:dyDescent="0.2">
      <c r="A159" s="209" t="str">
        <f>IF(J159&lt;&gt;"",1+MAX($A$18:A158),"")</f>
        <v/>
      </c>
      <c r="B159" s="210"/>
      <c r="C159" s="210"/>
      <c r="D159" s="210"/>
      <c r="E159" s="255"/>
      <c r="F159" s="219" t="s">
        <v>199</v>
      </c>
      <c r="G159" s="310"/>
      <c r="H159" s="225"/>
      <c r="I159" s="317"/>
      <c r="J159" s="192"/>
      <c r="K159" s="222"/>
      <c r="L159" s="218"/>
      <c r="M159" s="226"/>
      <c r="N159" s="212"/>
      <c r="O159" s="224"/>
      <c r="P159" s="214"/>
      <c r="Q159" s="215"/>
      <c r="R159" s="199"/>
      <c r="X159" s="257"/>
    </row>
    <row r="160" spans="1:24" s="12" customFormat="1" x14ac:dyDescent="0.2">
      <c r="A160" s="209">
        <f>IF(J160&lt;&gt;"",1+MAX($A$18:A159),"")</f>
        <v>82</v>
      </c>
      <c r="B160" s="210" t="s">
        <v>394</v>
      </c>
      <c r="C160" s="210" t="s">
        <v>394</v>
      </c>
      <c r="D160" s="210" t="s">
        <v>84</v>
      </c>
      <c r="E160" s="255" t="s">
        <v>58</v>
      </c>
      <c r="F160" s="216" t="s">
        <v>384</v>
      </c>
      <c r="G160" s="310">
        <f>9.3*27.4</f>
        <v>254.82</v>
      </c>
      <c r="H160" s="205">
        <f>IF(VLOOKUP(J160,'HOURLY RATES'!B$116:C$124,2,0)=0,$J$3,VLOOKUP(J160,'HOURLY RATES'!B$116:C$124,2,0))</f>
        <v>0.05</v>
      </c>
      <c r="I160" s="317">
        <f t="shared" ref="I160:I164" si="113">(G160*(1+H160))</f>
        <v>267.56099999999998</v>
      </c>
      <c r="J160" s="192" t="s">
        <v>121</v>
      </c>
      <c r="K160" s="245">
        <v>0.01</v>
      </c>
      <c r="L160" s="228">
        <f t="shared" ref="L160:L164" si="114">K160*I160</f>
        <v>2.6756099999999998</v>
      </c>
      <c r="M160" s="194">
        <f>IF(VLOOKUP(E160,'HOURLY RATES'!C$6:D$105,2,0)=0,$E$3,VLOOKUP(E160,'HOURLY RATES'!C$6:D$105,2,0))</f>
        <v>62.284425000000006</v>
      </c>
      <c r="N160" s="206">
        <f t="shared" ref="N160:N164" si="115">M160*L160</f>
        <v>166.64883037425</v>
      </c>
      <c r="O160" s="377">
        <v>2.6</v>
      </c>
      <c r="P160" s="197">
        <f t="shared" ref="P160:P164" si="116">O160*I160</f>
        <v>695.65859999999998</v>
      </c>
      <c r="Q160" s="198">
        <f t="shared" ref="Q160:Q164" si="117">P160+N160</f>
        <v>862.30743037424998</v>
      </c>
      <c r="R160" s="199"/>
      <c r="X160" s="257"/>
    </row>
    <row r="161" spans="1:24" s="12" customFormat="1" x14ac:dyDescent="0.2">
      <c r="A161" s="209">
        <f>IF(J161&lt;&gt;"",1+MAX($A$18:A160),"")</f>
        <v>83</v>
      </c>
      <c r="B161" s="210" t="s">
        <v>394</v>
      </c>
      <c r="C161" s="210" t="s">
        <v>394</v>
      </c>
      <c r="D161" s="210" t="s">
        <v>84</v>
      </c>
      <c r="E161" s="255" t="s">
        <v>58</v>
      </c>
      <c r="F161" s="216" t="s">
        <v>369</v>
      </c>
      <c r="G161" s="310">
        <f>36.27*10</f>
        <v>362.70000000000005</v>
      </c>
      <c r="H161" s="205">
        <f>IF(VLOOKUP(J161,'HOURLY RATES'!B$116:C$124,2,0)=0,$J$3,VLOOKUP(J161,'HOURLY RATES'!B$116:C$124,2,0))</f>
        <v>0.05</v>
      </c>
      <c r="I161" s="317">
        <f t="shared" si="113"/>
        <v>380.83500000000004</v>
      </c>
      <c r="J161" s="192" t="s">
        <v>121</v>
      </c>
      <c r="K161" s="245">
        <v>0.02</v>
      </c>
      <c r="L161" s="228">
        <f t="shared" si="114"/>
        <v>7.6167000000000007</v>
      </c>
      <c r="M161" s="194">
        <f>IF(VLOOKUP(E161,'HOURLY RATES'!C$6:D$105,2,0)=0,$E$3,VLOOKUP(E161,'HOURLY RATES'!C$6:D$105,2,0))</f>
        <v>62.284425000000006</v>
      </c>
      <c r="N161" s="206">
        <f t="shared" si="115"/>
        <v>474.40177989750009</v>
      </c>
      <c r="O161" s="377">
        <v>2.1</v>
      </c>
      <c r="P161" s="197">
        <f t="shared" si="116"/>
        <v>799.75350000000014</v>
      </c>
      <c r="Q161" s="198">
        <f t="shared" si="117"/>
        <v>1274.1552798975003</v>
      </c>
      <c r="R161" s="199"/>
      <c r="X161" s="257"/>
    </row>
    <row r="162" spans="1:24" s="12" customFormat="1" x14ac:dyDescent="0.2">
      <c r="A162" s="209">
        <f>IF(J162&lt;&gt;"",1+MAX($A$18:A161),"")</f>
        <v>84</v>
      </c>
      <c r="B162" s="210" t="s">
        <v>394</v>
      </c>
      <c r="C162" s="210" t="s">
        <v>394</v>
      </c>
      <c r="D162" s="210" t="s">
        <v>84</v>
      </c>
      <c r="E162" s="255" t="s">
        <v>58</v>
      </c>
      <c r="F162" s="216" t="s">
        <v>370</v>
      </c>
      <c r="G162" s="310">
        <f>10.62*21</f>
        <v>223.01999999999998</v>
      </c>
      <c r="H162" s="205">
        <f>IF(VLOOKUP(J162,'HOURLY RATES'!B$116:C$124,2,0)=0,$J$3,VLOOKUP(J162,'HOURLY RATES'!B$116:C$124,2,0))</f>
        <v>0.05</v>
      </c>
      <c r="I162" s="317">
        <f t="shared" si="113"/>
        <v>234.17099999999999</v>
      </c>
      <c r="J162" s="192" t="s">
        <v>121</v>
      </c>
      <c r="K162" s="245">
        <v>0.02</v>
      </c>
      <c r="L162" s="228">
        <f t="shared" si="114"/>
        <v>4.6834199999999999</v>
      </c>
      <c r="M162" s="194">
        <f>IF(VLOOKUP(E162,'HOURLY RATES'!C$6:D$105,2,0)=0,$E$3,VLOOKUP(E162,'HOURLY RATES'!C$6:D$105,2,0))</f>
        <v>62.284425000000006</v>
      </c>
      <c r="N162" s="206">
        <f t="shared" si="115"/>
        <v>291.70412173350002</v>
      </c>
      <c r="O162" s="377">
        <v>2.1</v>
      </c>
      <c r="P162" s="197">
        <f t="shared" si="116"/>
        <v>491.75909999999999</v>
      </c>
      <c r="Q162" s="198">
        <f t="shared" si="117"/>
        <v>783.46322173349995</v>
      </c>
      <c r="R162" s="199"/>
      <c r="X162" s="257"/>
    </row>
    <row r="163" spans="1:24" s="12" customFormat="1" x14ac:dyDescent="0.2">
      <c r="A163" s="209">
        <f>IF(J163&lt;&gt;"",1+MAX($A$18:A162),"")</f>
        <v>85</v>
      </c>
      <c r="B163" s="210" t="s">
        <v>394</v>
      </c>
      <c r="C163" s="210" t="s">
        <v>394</v>
      </c>
      <c r="D163" s="210" t="s">
        <v>84</v>
      </c>
      <c r="E163" s="255" t="s">
        <v>58</v>
      </c>
      <c r="F163" s="216" t="s">
        <v>371</v>
      </c>
      <c r="G163" s="310">
        <f>102.39*14</f>
        <v>1433.46</v>
      </c>
      <c r="H163" s="205">
        <f>IF(VLOOKUP(J163,'HOURLY RATES'!B$116:C$124,2,0)=0,$J$3,VLOOKUP(J163,'HOURLY RATES'!B$116:C$124,2,0))</f>
        <v>0.05</v>
      </c>
      <c r="I163" s="317">
        <f t="shared" si="113"/>
        <v>1505.133</v>
      </c>
      <c r="J163" s="192" t="s">
        <v>121</v>
      </c>
      <c r="K163" s="245">
        <v>0.02</v>
      </c>
      <c r="L163" s="228">
        <f t="shared" si="114"/>
        <v>30.10266</v>
      </c>
      <c r="M163" s="194">
        <f>IF(VLOOKUP(E163,'HOURLY RATES'!C$6:D$105,2,0)=0,$E$3,VLOOKUP(E163,'HOURLY RATES'!C$6:D$105,2,0))</f>
        <v>62.284425000000006</v>
      </c>
      <c r="N163" s="206">
        <f t="shared" si="115"/>
        <v>1874.9268690705003</v>
      </c>
      <c r="O163" s="377">
        <v>2.1</v>
      </c>
      <c r="P163" s="197">
        <f t="shared" si="116"/>
        <v>3160.7793000000001</v>
      </c>
      <c r="Q163" s="198">
        <f t="shared" si="117"/>
        <v>5035.7061690705004</v>
      </c>
      <c r="R163" s="199"/>
      <c r="X163" s="257"/>
    </row>
    <row r="164" spans="1:24" s="12" customFormat="1" x14ac:dyDescent="0.2">
      <c r="A164" s="209">
        <f>IF(J164&lt;&gt;"",1+MAX($A$18:A163),"")</f>
        <v>86</v>
      </c>
      <c r="B164" s="210" t="s">
        <v>394</v>
      </c>
      <c r="C164" s="210" t="s">
        <v>394</v>
      </c>
      <c r="D164" s="210" t="s">
        <v>84</v>
      </c>
      <c r="E164" s="255" t="s">
        <v>58</v>
      </c>
      <c r="F164" s="216" t="s">
        <v>372</v>
      </c>
      <c r="G164" s="310">
        <f>139.36*16</f>
        <v>2229.7600000000002</v>
      </c>
      <c r="H164" s="205">
        <f>IF(VLOOKUP(J164,'HOURLY RATES'!B$116:C$124,2,0)=0,$J$3,VLOOKUP(J164,'HOURLY RATES'!B$116:C$124,2,0))</f>
        <v>0.05</v>
      </c>
      <c r="I164" s="317">
        <f t="shared" si="113"/>
        <v>2341.2480000000005</v>
      </c>
      <c r="J164" s="192" t="s">
        <v>121</v>
      </c>
      <c r="K164" s="245">
        <v>0.02</v>
      </c>
      <c r="L164" s="228">
        <f t="shared" si="114"/>
        <v>46.824960000000011</v>
      </c>
      <c r="M164" s="194">
        <f>IF(VLOOKUP(E164,'HOURLY RATES'!C$6:D$105,2,0)=0,$E$3,VLOOKUP(E164,'HOURLY RATES'!C$6:D$105,2,0))</f>
        <v>62.284425000000006</v>
      </c>
      <c r="N164" s="206">
        <f t="shared" si="115"/>
        <v>2916.4657092480011</v>
      </c>
      <c r="O164" s="377">
        <v>2.1</v>
      </c>
      <c r="P164" s="197">
        <f t="shared" si="116"/>
        <v>4916.6208000000015</v>
      </c>
      <c r="Q164" s="198">
        <f t="shared" si="117"/>
        <v>7833.0865092480026</v>
      </c>
      <c r="R164" s="199"/>
      <c r="X164" s="257"/>
    </row>
    <row r="165" spans="1:24" s="12" customFormat="1" x14ac:dyDescent="0.2">
      <c r="A165" s="209">
        <f>IF(J165&lt;&gt;"",1+MAX($A$18:A164),"")</f>
        <v>87</v>
      </c>
      <c r="B165" s="210" t="s">
        <v>394</v>
      </c>
      <c r="C165" s="210" t="s">
        <v>394</v>
      </c>
      <c r="D165" s="210" t="s">
        <v>84</v>
      </c>
      <c r="E165" s="255" t="s">
        <v>58</v>
      </c>
      <c r="F165" s="216" t="s">
        <v>373</v>
      </c>
      <c r="G165" s="310">
        <f>699.48*19</f>
        <v>13290.12</v>
      </c>
      <c r="H165" s="205">
        <f>IF(VLOOKUP(J165,'HOURLY RATES'!B$116:C$124,2,0)=0,$J$3,VLOOKUP(J165,'HOURLY RATES'!B$116:C$124,2,0))</f>
        <v>0.05</v>
      </c>
      <c r="I165" s="317">
        <f t="shared" ref="I165:I175" si="118">(G165*(1+H165))</f>
        <v>13954.626000000002</v>
      </c>
      <c r="J165" s="192" t="s">
        <v>121</v>
      </c>
      <c r="K165" s="245">
        <v>0.02</v>
      </c>
      <c r="L165" s="228">
        <f t="shared" ref="L165:L175" si="119">K165*I165</f>
        <v>279.09252000000004</v>
      </c>
      <c r="M165" s="194">
        <f>IF(VLOOKUP(E165,'HOURLY RATES'!C$6:D$105,2,0)=0,$E$3,VLOOKUP(E165,'HOURLY RATES'!C$6:D$105,2,0))</f>
        <v>62.284425000000006</v>
      </c>
      <c r="N165" s="206">
        <f t="shared" ref="N165:N175" si="120">M165*L165</f>
        <v>17383.117130001003</v>
      </c>
      <c r="O165" s="377">
        <v>2.1</v>
      </c>
      <c r="P165" s="197">
        <f t="shared" ref="P165:P175" si="121">O165*I165</f>
        <v>29304.714600000007</v>
      </c>
      <c r="Q165" s="198">
        <f t="shared" ref="Q165:Q175" si="122">P165+N165</f>
        <v>46687.831730001009</v>
      </c>
      <c r="R165" s="199"/>
      <c r="X165" s="257"/>
    </row>
    <row r="166" spans="1:24" s="12" customFormat="1" x14ac:dyDescent="0.2">
      <c r="A166" s="209">
        <f>IF(J166&lt;&gt;"",1+MAX($A$18:A165),"")</f>
        <v>88</v>
      </c>
      <c r="B166" s="210" t="s">
        <v>394</v>
      </c>
      <c r="C166" s="210" t="s">
        <v>394</v>
      </c>
      <c r="D166" s="210" t="s">
        <v>84</v>
      </c>
      <c r="E166" s="255" t="s">
        <v>58</v>
      </c>
      <c r="F166" s="216" t="s">
        <v>374</v>
      </c>
      <c r="G166" s="310">
        <f>805.45*22</f>
        <v>17719.900000000001</v>
      </c>
      <c r="H166" s="205">
        <f>IF(VLOOKUP(J166,'HOURLY RATES'!B$116:C$124,2,0)=0,$J$3,VLOOKUP(J166,'HOURLY RATES'!B$116:C$124,2,0))</f>
        <v>0.05</v>
      </c>
      <c r="I166" s="317">
        <f t="shared" si="118"/>
        <v>18605.895000000004</v>
      </c>
      <c r="J166" s="192" t="s">
        <v>121</v>
      </c>
      <c r="K166" s="245">
        <v>0.02</v>
      </c>
      <c r="L166" s="228">
        <f t="shared" si="119"/>
        <v>372.11790000000008</v>
      </c>
      <c r="M166" s="194">
        <f>IF(VLOOKUP(E166,'HOURLY RATES'!C$6:D$105,2,0)=0,$E$3,VLOOKUP(E166,'HOURLY RATES'!C$6:D$105,2,0))</f>
        <v>62.284425000000006</v>
      </c>
      <c r="N166" s="206">
        <f t="shared" si="120"/>
        <v>23177.149433707506</v>
      </c>
      <c r="O166" s="377">
        <v>2.1</v>
      </c>
      <c r="P166" s="197">
        <f t="shared" si="121"/>
        <v>39072.37950000001</v>
      </c>
      <c r="Q166" s="198">
        <f t="shared" si="122"/>
        <v>62249.528933707516</v>
      </c>
      <c r="R166" s="199"/>
      <c r="X166" s="257"/>
    </row>
    <row r="167" spans="1:24" s="12" customFormat="1" x14ac:dyDescent="0.2">
      <c r="A167" s="209">
        <f>IF(J167&lt;&gt;"",1+MAX($A$18:A166),"")</f>
        <v>89</v>
      </c>
      <c r="B167" s="210" t="s">
        <v>394</v>
      </c>
      <c r="C167" s="210" t="s">
        <v>394</v>
      </c>
      <c r="D167" s="210" t="s">
        <v>84</v>
      </c>
      <c r="E167" s="255" t="s">
        <v>58</v>
      </c>
      <c r="F167" s="216" t="s">
        <v>375</v>
      </c>
      <c r="G167" s="310">
        <f>156.87*26</f>
        <v>4078.62</v>
      </c>
      <c r="H167" s="205">
        <f>IF(VLOOKUP(J167,'HOURLY RATES'!B$116:C$124,2,0)=0,$J$3,VLOOKUP(J167,'HOURLY RATES'!B$116:C$124,2,0))</f>
        <v>0.05</v>
      </c>
      <c r="I167" s="317">
        <f t="shared" si="118"/>
        <v>4282.5510000000004</v>
      </c>
      <c r="J167" s="192" t="s">
        <v>121</v>
      </c>
      <c r="K167" s="245">
        <v>0.02</v>
      </c>
      <c r="L167" s="228">
        <f t="shared" si="119"/>
        <v>85.651020000000003</v>
      </c>
      <c r="M167" s="194">
        <f>IF(VLOOKUP(E167,'HOURLY RATES'!C$6:D$105,2,0)=0,$E$3,VLOOKUP(E167,'HOURLY RATES'!C$6:D$105,2,0))</f>
        <v>62.284425000000006</v>
      </c>
      <c r="N167" s="206">
        <f t="shared" si="120"/>
        <v>5334.7245313635003</v>
      </c>
      <c r="O167" s="377">
        <v>2.1</v>
      </c>
      <c r="P167" s="197">
        <f t="shared" si="121"/>
        <v>8993.3571000000011</v>
      </c>
      <c r="Q167" s="198">
        <f t="shared" si="122"/>
        <v>14328.0816313635</v>
      </c>
      <c r="R167" s="199"/>
      <c r="X167" s="257"/>
    </row>
    <row r="168" spans="1:24" s="12" customFormat="1" x14ac:dyDescent="0.2">
      <c r="A168" s="209">
        <f>IF(J168&lt;&gt;"",1+MAX($A$18:A167),"")</f>
        <v>90</v>
      </c>
      <c r="B168" s="210" t="s">
        <v>394</v>
      </c>
      <c r="C168" s="210" t="s">
        <v>394</v>
      </c>
      <c r="D168" s="210" t="s">
        <v>84</v>
      </c>
      <c r="E168" s="255" t="s">
        <v>58</v>
      </c>
      <c r="F168" s="216" t="s">
        <v>376</v>
      </c>
      <c r="G168" s="310">
        <f>73.55*31</f>
        <v>2280.0499999999997</v>
      </c>
      <c r="H168" s="205">
        <f>IF(VLOOKUP(J168,'HOURLY RATES'!B$116:C$124,2,0)=0,$J$3,VLOOKUP(J168,'HOURLY RATES'!B$116:C$124,2,0))</f>
        <v>0.05</v>
      </c>
      <c r="I168" s="317">
        <f t="shared" si="118"/>
        <v>2394.0524999999998</v>
      </c>
      <c r="J168" s="192" t="s">
        <v>121</v>
      </c>
      <c r="K168" s="245">
        <v>0.02</v>
      </c>
      <c r="L168" s="228">
        <f t="shared" si="119"/>
        <v>47.881049999999995</v>
      </c>
      <c r="M168" s="194">
        <f>IF(VLOOKUP(E168,'HOURLY RATES'!C$6:D$105,2,0)=0,$E$3,VLOOKUP(E168,'HOURLY RATES'!C$6:D$105,2,0))</f>
        <v>62.284425000000006</v>
      </c>
      <c r="N168" s="206">
        <f t="shared" si="120"/>
        <v>2982.2436676462498</v>
      </c>
      <c r="O168" s="377">
        <v>2.1</v>
      </c>
      <c r="P168" s="197">
        <f t="shared" si="121"/>
        <v>5027.5102499999994</v>
      </c>
      <c r="Q168" s="198">
        <f t="shared" si="122"/>
        <v>8009.7539176462487</v>
      </c>
      <c r="R168" s="199"/>
      <c r="X168" s="257"/>
    </row>
    <row r="169" spans="1:24" s="12" customFormat="1" x14ac:dyDescent="0.2">
      <c r="A169" s="209">
        <f>IF(J169&lt;&gt;"",1+MAX($A$18:A168),"")</f>
        <v>91</v>
      </c>
      <c r="B169" s="210" t="s">
        <v>394</v>
      </c>
      <c r="C169" s="210" t="s">
        <v>394</v>
      </c>
      <c r="D169" s="210" t="s">
        <v>84</v>
      </c>
      <c r="E169" s="255" t="s">
        <v>58</v>
      </c>
      <c r="F169" s="216" t="s">
        <v>377</v>
      </c>
      <c r="G169" s="310">
        <f>145.83*36</f>
        <v>5249.88</v>
      </c>
      <c r="H169" s="205">
        <f>IF(VLOOKUP(J169,'HOURLY RATES'!B$116:C$124,2,0)=0,$J$3,VLOOKUP(J169,'HOURLY RATES'!B$116:C$124,2,0))</f>
        <v>0.05</v>
      </c>
      <c r="I169" s="317">
        <f t="shared" si="118"/>
        <v>5512.3740000000007</v>
      </c>
      <c r="J169" s="192" t="s">
        <v>121</v>
      </c>
      <c r="K169" s="245">
        <v>0.02</v>
      </c>
      <c r="L169" s="228">
        <f t="shared" si="119"/>
        <v>110.24748000000001</v>
      </c>
      <c r="M169" s="194">
        <f>IF(VLOOKUP(E169,'HOURLY RATES'!C$6:D$105,2,0)=0,$E$3,VLOOKUP(E169,'HOURLY RATES'!C$6:D$105,2,0))</f>
        <v>62.284425000000006</v>
      </c>
      <c r="N169" s="206">
        <f t="shared" si="120"/>
        <v>6866.700899499001</v>
      </c>
      <c r="O169" s="377">
        <v>2.1</v>
      </c>
      <c r="P169" s="197">
        <f t="shared" si="121"/>
        <v>11575.985400000001</v>
      </c>
      <c r="Q169" s="198">
        <f t="shared" si="122"/>
        <v>18442.686299499001</v>
      </c>
      <c r="R169" s="199"/>
      <c r="X169" s="257"/>
    </row>
    <row r="170" spans="1:24" s="12" customFormat="1" x14ac:dyDescent="0.2">
      <c r="A170" s="209">
        <f>IF(J170&lt;&gt;"",1+MAX($A$18:A169),"")</f>
        <v>92</v>
      </c>
      <c r="B170" s="210" t="s">
        <v>394</v>
      </c>
      <c r="C170" s="210" t="s">
        <v>394</v>
      </c>
      <c r="D170" s="210" t="s">
        <v>84</v>
      </c>
      <c r="E170" s="255" t="s">
        <v>58</v>
      </c>
      <c r="F170" s="216" t="s">
        <v>378</v>
      </c>
      <c r="G170" s="310">
        <f>54.01*35</f>
        <v>1890.35</v>
      </c>
      <c r="H170" s="205">
        <f>IF(VLOOKUP(J170,'HOURLY RATES'!B$116:C$124,2,0)=0,$J$3,VLOOKUP(J170,'HOURLY RATES'!B$116:C$124,2,0))</f>
        <v>0.05</v>
      </c>
      <c r="I170" s="317">
        <f t="shared" si="118"/>
        <v>1984.8675000000001</v>
      </c>
      <c r="J170" s="192" t="s">
        <v>121</v>
      </c>
      <c r="K170" s="245">
        <v>0.02</v>
      </c>
      <c r="L170" s="228">
        <f t="shared" si="119"/>
        <v>39.69735</v>
      </c>
      <c r="M170" s="194">
        <f>IF(VLOOKUP(E170,'HOURLY RATES'!C$6:D$105,2,0)=0,$E$3,VLOOKUP(E170,'HOURLY RATES'!C$6:D$105,2,0))</f>
        <v>62.284425000000006</v>
      </c>
      <c r="N170" s="206">
        <f t="shared" si="120"/>
        <v>2472.5266187737502</v>
      </c>
      <c r="O170" s="377">
        <v>2.1</v>
      </c>
      <c r="P170" s="197">
        <f t="shared" si="121"/>
        <v>4168.2217500000006</v>
      </c>
      <c r="Q170" s="198">
        <f t="shared" si="122"/>
        <v>6640.7483687737513</v>
      </c>
      <c r="R170" s="199"/>
      <c r="X170" s="257"/>
    </row>
    <row r="171" spans="1:24" s="12" customFormat="1" x14ac:dyDescent="0.2">
      <c r="A171" s="209">
        <f>IF(J171&lt;&gt;"",1+MAX($A$18:A170),"")</f>
        <v>93</v>
      </c>
      <c r="B171" s="210" t="s">
        <v>394</v>
      </c>
      <c r="C171" s="210" t="s">
        <v>394</v>
      </c>
      <c r="D171" s="210" t="s">
        <v>84</v>
      </c>
      <c r="E171" s="255" t="s">
        <v>58</v>
      </c>
      <c r="F171" s="216" t="s">
        <v>379</v>
      </c>
      <c r="G171" s="310">
        <f>115.43*40</f>
        <v>4617.2000000000007</v>
      </c>
      <c r="H171" s="205">
        <f>IF(VLOOKUP(J171,'HOURLY RATES'!B$116:C$124,2,0)=0,$J$3,VLOOKUP(J171,'HOURLY RATES'!B$116:C$124,2,0))</f>
        <v>0.05</v>
      </c>
      <c r="I171" s="317">
        <f t="shared" si="118"/>
        <v>4848.0600000000013</v>
      </c>
      <c r="J171" s="192" t="s">
        <v>121</v>
      </c>
      <c r="K171" s="245">
        <v>0.02</v>
      </c>
      <c r="L171" s="228">
        <f t="shared" si="119"/>
        <v>96.961200000000034</v>
      </c>
      <c r="M171" s="194">
        <f>IF(VLOOKUP(E171,'HOURLY RATES'!C$6:D$105,2,0)=0,$E$3,VLOOKUP(E171,'HOURLY RATES'!C$6:D$105,2,0))</f>
        <v>62.284425000000006</v>
      </c>
      <c r="N171" s="206">
        <f t="shared" si="120"/>
        <v>6039.1725893100029</v>
      </c>
      <c r="O171" s="377">
        <v>2.1</v>
      </c>
      <c r="P171" s="197">
        <f t="shared" si="121"/>
        <v>10180.926000000003</v>
      </c>
      <c r="Q171" s="198">
        <f t="shared" si="122"/>
        <v>16220.098589310006</v>
      </c>
      <c r="R171" s="199"/>
      <c r="X171" s="257"/>
    </row>
    <row r="172" spans="1:24" s="12" customFormat="1" x14ac:dyDescent="0.2">
      <c r="A172" s="209">
        <f>IF(J172&lt;&gt;"",1+MAX($A$18:A171),"")</f>
        <v>94</v>
      </c>
      <c r="B172" s="210" t="s">
        <v>394</v>
      </c>
      <c r="C172" s="210" t="s">
        <v>394</v>
      </c>
      <c r="D172" s="210" t="s">
        <v>84</v>
      </c>
      <c r="E172" s="255" t="s">
        <v>58</v>
      </c>
      <c r="F172" s="216" t="s">
        <v>380</v>
      </c>
      <c r="G172" s="310">
        <f>28.77*50</f>
        <v>1438.5</v>
      </c>
      <c r="H172" s="205">
        <f>IF(VLOOKUP(J172,'HOURLY RATES'!B$116:C$124,2,0)=0,$J$3,VLOOKUP(J172,'HOURLY RATES'!B$116:C$124,2,0))</f>
        <v>0.05</v>
      </c>
      <c r="I172" s="317">
        <f t="shared" si="118"/>
        <v>1510.425</v>
      </c>
      <c r="J172" s="192" t="s">
        <v>121</v>
      </c>
      <c r="K172" s="245">
        <v>0.02</v>
      </c>
      <c r="L172" s="228">
        <f t="shared" si="119"/>
        <v>30.208500000000001</v>
      </c>
      <c r="M172" s="194">
        <f>IF(VLOOKUP(E172,'HOURLY RATES'!C$6:D$105,2,0)=0,$E$3,VLOOKUP(E172,'HOURLY RATES'!C$6:D$105,2,0))</f>
        <v>62.284425000000006</v>
      </c>
      <c r="N172" s="206">
        <f t="shared" si="120"/>
        <v>1881.5190526125002</v>
      </c>
      <c r="O172" s="377">
        <v>2.1</v>
      </c>
      <c r="P172" s="197">
        <f t="shared" si="121"/>
        <v>3171.8924999999999</v>
      </c>
      <c r="Q172" s="198">
        <f t="shared" si="122"/>
        <v>5053.4115526125006</v>
      </c>
      <c r="R172" s="199"/>
      <c r="X172" s="257"/>
    </row>
    <row r="173" spans="1:24" s="12" customFormat="1" x14ac:dyDescent="0.2">
      <c r="A173" s="209">
        <f>IF(J173&lt;&gt;"",1+MAX($A$18:A172),"")</f>
        <v>95</v>
      </c>
      <c r="B173" s="210" t="s">
        <v>394</v>
      </c>
      <c r="C173" s="210" t="s">
        <v>394</v>
      </c>
      <c r="D173" s="210" t="s">
        <v>84</v>
      </c>
      <c r="E173" s="255" t="s">
        <v>58</v>
      </c>
      <c r="F173" s="216" t="s">
        <v>381</v>
      </c>
      <c r="G173" s="310">
        <f>28.89*44</f>
        <v>1271.1600000000001</v>
      </c>
      <c r="H173" s="205">
        <f>IF(VLOOKUP(J173,'HOURLY RATES'!B$116:C$124,2,0)=0,$J$3,VLOOKUP(J173,'HOURLY RATES'!B$116:C$124,2,0))</f>
        <v>0.05</v>
      </c>
      <c r="I173" s="317">
        <f t="shared" si="118"/>
        <v>1334.7180000000001</v>
      </c>
      <c r="J173" s="192" t="s">
        <v>121</v>
      </c>
      <c r="K173" s="245">
        <v>0.02</v>
      </c>
      <c r="L173" s="228">
        <f t="shared" si="119"/>
        <v>26.694360000000003</v>
      </c>
      <c r="M173" s="194">
        <f>IF(VLOOKUP(E173,'HOURLY RATES'!C$6:D$105,2,0)=0,$E$3,VLOOKUP(E173,'HOURLY RATES'!C$6:D$105,2,0))</f>
        <v>62.284425000000006</v>
      </c>
      <c r="N173" s="206">
        <f t="shared" si="120"/>
        <v>1662.6428633430003</v>
      </c>
      <c r="O173" s="377">
        <v>2.1</v>
      </c>
      <c r="P173" s="197">
        <f t="shared" si="121"/>
        <v>2802.9078000000004</v>
      </c>
      <c r="Q173" s="198">
        <f t="shared" si="122"/>
        <v>4465.5506633430005</v>
      </c>
      <c r="R173" s="199"/>
      <c r="X173" s="257"/>
    </row>
    <row r="174" spans="1:24" s="12" customFormat="1" x14ac:dyDescent="0.2">
      <c r="A174" s="209">
        <f>IF(J174&lt;&gt;"",1+MAX($A$18:A173),"")</f>
        <v>96</v>
      </c>
      <c r="B174" s="210" t="s">
        <v>394</v>
      </c>
      <c r="C174" s="210" t="s">
        <v>394</v>
      </c>
      <c r="D174" s="210" t="s">
        <v>84</v>
      </c>
      <c r="E174" s="255" t="s">
        <v>58</v>
      </c>
      <c r="F174" s="216" t="s">
        <v>382</v>
      </c>
      <c r="G174" s="310">
        <f>28.4*55</f>
        <v>1562</v>
      </c>
      <c r="H174" s="205">
        <f>IF(VLOOKUP(J174,'HOURLY RATES'!B$116:C$124,2,0)=0,$J$3,VLOOKUP(J174,'HOURLY RATES'!B$116:C$124,2,0))</f>
        <v>0.05</v>
      </c>
      <c r="I174" s="317">
        <f t="shared" si="118"/>
        <v>1640.1000000000001</v>
      </c>
      <c r="J174" s="192" t="s">
        <v>121</v>
      </c>
      <c r="K174" s="245">
        <v>1.2999999999999999E-2</v>
      </c>
      <c r="L174" s="228">
        <f t="shared" si="119"/>
        <v>21.321300000000001</v>
      </c>
      <c r="M174" s="194">
        <f>IF(VLOOKUP(E174,'HOURLY RATES'!C$6:D$105,2,0)=0,$E$3,VLOOKUP(E174,'HOURLY RATES'!C$6:D$105,2,0))</f>
        <v>62.284425000000006</v>
      </c>
      <c r="N174" s="206">
        <f t="shared" si="120"/>
        <v>1327.9849107525001</v>
      </c>
      <c r="O174" s="377">
        <v>2.1</v>
      </c>
      <c r="P174" s="197">
        <f t="shared" si="121"/>
        <v>3444.2100000000005</v>
      </c>
      <c r="Q174" s="198">
        <f t="shared" si="122"/>
        <v>4772.1949107525006</v>
      </c>
      <c r="R174" s="199"/>
      <c r="X174" s="257"/>
    </row>
    <row r="175" spans="1:24" s="12" customFormat="1" x14ac:dyDescent="0.2">
      <c r="A175" s="209">
        <f>IF(J175&lt;&gt;"",1+MAX($A$18:A174),"")</f>
        <v>97</v>
      </c>
      <c r="B175" s="210" t="s">
        <v>394</v>
      </c>
      <c r="C175" s="210" t="s">
        <v>394</v>
      </c>
      <c r="D175" s="210" t="s">
        <v>84</v>
      </c>
      <c r="E175" s="255" t="s">
        <v>58</v>
      </c>
      <c r="F175" s="216" t="s">
        <v>383</v>
      </c>
      <c r="G175" s="310">
        <f>37.89*84</f>
        <v>3182.76</v>
      </c>
      <c r="H175" s="205">
        <f>IF(VLOOKUP(J175,'HOURLY RATES'!B$116:C$124,2,0)=0,$J$3,VLOOKUP(J175,'HOURLY RATES'!B$116:C$124,2,0))</f>
        <v>0.05</v>
      </c>
      <c r="I175" s="317">
        <f t="shared" si="118"/>
        <v>3341.8980000000006</v>
      </c>
      <c r="J175" s="192" t="s">
        <v>121</v>
      </c>
      <c r="K175" s="245">
        <v>1.2999999999999999E-2</v>
      </c>
      <c r="L175" s="228">
        <f t="shared" si="119"/>
        <v>43.444674000000006</v>
      </c>
      <c r="M175" s="194">
        <f>IF(VLOOKUP(E175,'HOURLY RATES'!C$6:D$105,2,0)=0,$E$3,VLOOKUP(E175,'HOURLY RATES'!C$6:D$105,2,0))</f>
        <v>62.284425000000006</v>
      </c>
      <c r="N175" s="206">
        <f t="shared" si="120"/>
        <v>2705.9265394024505</v>
      </c>
      <c r="O175" s="377">
        <v>2.1</v>
      </c>
      <c r="P175" s="197">
        <f t="shared" si="121"/>
        <v>7017.9858000000013</v>
      </c>
      <c r="Q175" s="198">
        <f t="shared" si="122"/>
        <v>9723.9123394024518</v>
      </c>
      <c r="R175" s="199"/>
      <c r="X175" s="257"/>
    </row>
    <row r="176" spans="1:24" s="12" customFormat="1" x14ac:dyDescent="0.2">
      <c r="A176" s="209" t="str">
        <f>IF(J176&lt;&gt;"",1+MAX($A$18:A175),"")</f>
        <v/>
      </c>
      <c r="B176" s="210"/>
      <c r="C176" s="210"/>
      <c r="D176" s="210"/>
      <c r="E176" s="255"/>
      <c r="F176" s="216"/>
      <c r="G176" s="310"/>
      <c r="H176" s="225"/>
      <c r="I176" s="317"/>
      <c r="J176" s="192"/>
      <c r="K176" s="222"/>
      <c r="L176" s="218"/>
      <c r="M176" s="226"/>
      <c r="N176" s="212"/>
      <c r="O176" s="224"/>
      <c r="P176" s="214"/>
      <c r="Q176" s="215"/>
      <c r="R176" s="199"/>
      <c r="X176" s="257"/>
    </row>
    <row r="177" spans="1:24" s="12" customFormat="1" x14ac:dyDescent="0.2">
      <c r="A177" s="209" t="str">
        <f>IF(J177&lt;&gt;"",1+MAX($A$18:A176),"")</f>
        <v/>
      </c>
      <c r="B177" s="210"/>
      <c r="C177" s="210"/>
      <c r="D177" s="210"/>
      <c r="E177" s="255"/>
      <c r="F177" s="219" t="s">
        <v>201</v>
      </c>
      <c r="G177" s="310"/>
      <c r="H177" s="225"/>
      <c r="I177" s="317"/>
      <c r="J177" s="192"/>
      <c r="K177" s="222"/>
      <c r="L177" s="218"/>
      <c r="M177" s="226"/>
      <c r="N177" s="212"/>
      <c r="O177" s="224"/>
      <c r="P177" s="214"/>
      <c r="Q177" s="215"/>
      <c r="R177" s="199"/>
      <c r="X177" s="257"/>
    </row>
    <row r="178" spans="1:24" s="12" customFormat="1" x14ac:dyDescent="0.2">
      <c r="A178" s="209">
        <f>IF(J178&lt;&gt;"",1+MAX($A$18:A177),"")</f>
        <v>98</v>
      </c>
      <c r="B178" s="210" t="s">
        <v>394</v>
      </c>
      <c r="C178" s="210" t="s">
        <v>394</v>
      </c>
      <c r="D178" s="210" t="s">
        <v>84</v>
      </c>
      <c r="E178" s="255" t="s">
        <v>146</v>
      </c>
      <c r="F178" s="307" t="s">
        <v>385</v>
      </c>
      <c r="G178" s="310">
        <f>(478.87*1.02)/2</f>
        <v>244.22370000000001</v>
      </c>
      <c r="H178" s="205">
        <f>IF(VLOOKUP(J178,'HOURLY RATES'!B$116:C$124,2,0)=0,$J$3,VLOOKUP(J178,'HOURLY RATES'!B$116:C$124,2,0))</f>
        <v>0.05</v>
      </c>
      <c r="I178" s="317">
        <f t="shared" ref="I178:I179" si="123">(G178*(1+H178))</f>
        <v>256.43488500000001</v>
      </c>
      <c r="J178" s="192" t="s">
        <v>19</v>
      </c>
      <c r="K178" s="245">
        <v>0.08</v>
      </c>
      <c r="L178" s="228">
        <f t="shared" ref="L178:L179" si="124">K178*I178</f>
        <v>20.5147908</v>
      </c>
      <c r="M178" s="194">
        <f>IF(VLOOKUP(E178,'HOURLY RATES'!C$6:D$105,2,0)=0,$E$3,VLOOKUP(E178,'HOURLY RATES'!C$6:D$105,2,0))</f>
        <v>38.508412499999999</v>
      </c>
      <c r="N178" s="206">
        <f t="shared" ref="N178:N179" si="125">M178*L178</f>
        <v>789.99202647760501</v>
      </c>
      <c r="O178" s="377">
        <v>5.9</v>
      </c>
      <c r="P178" s="197">
        <f t="shared" ref="P178:P179" si="126">O178*I178</f>
        <v>1512.9658215000002</v>
      </c>
      <c r="Q178" s="198">
        <f t="shared" ref="Q178:Q179" si="127">P178+N178</f>
        <v>2302.9578479776051</v>
      </c>
      <c r="R178" s="199"/>
      <c r="X178" s="257"/>
    </row>
    <row r="179" spans="1:24" s="12" customFormat="1" x14ac:dyDescent="0.2">
      <c r="A179" s="209">
        <f>IF(J179&lt;&gt;"",1+MAX($A$18:A178),"")</f>
        <v>99</v>
      </c>
      <c r="B179" s="210" t="s">
        <v>394</v>
      </c>
      <c r="C179" s="210" t="s">
        <v>394</v>
      </c>
      <c r="D179" s="210" t="s">
        <v>84</v>
      </c>
      <c r="E179" s="255" t="s">
        <v>146</v>
      </c>
      <c r="F179" s="307" t="s">
        <v>386</v>
      </c>
      <c r="G179" s="310">
        <f>65.37/2</f>
        <v>32.685000000000002</v>
      </c>
      <c r="H179" s="205">
        <f>IF(VLOOKUP(J179,'HOURLY RATES'!B$116:C$124,2,0)=0,$J$3,VLOOKUP(J179,'HOURLY RATES'!B$116:C$124,2,0))</f>
        <v>0.05</v>
      </c>
      <c r="I179" s="317">
        <f t="shared" si="123"/>
        <v>34.319250000000004</v>
      </c>
      <c r="J179" s="192" t="s">
        <v>19</v>
      </c>
      <c r="K179" s="245">
        <v>0.08</v>
      </c>
      <c r="L179" s="228">
        <f t="shared" si="124"/>
        <v>2.7455400000000005</v>
      </c>
      <c r="M179" s="194">
        <f>IF(VLOOKUP(E179,'HOURLY RATES'!C$6:D$105,2,0)=0,$E$3,VLOOKUP(E179,'HOURLY RATES'!C$6:D$105,2,0))</f>
        <v>38.508412499999999</v>
      </c>
      <c r="N179" s="206">
        <f t="shared" si="125"/>
        <v>105.72638685525001</v>
      </c>
      <c r="O179" s="377">
        <v>5.9</v>
      </c>
      <c r="P179" s="197">
        <f t="shared" si="126"/>
        <v>202.48357500000003</v>
      </c>
      <c r="Q179" s="198">
        <f t="shared" si="127"/>
        <v>308.20996185525007</v>
      </c>
      <c r="R179" s="199"/>
      <c r="X179" s="257"/>
    </row>
    <row r="180" spans="1:24" s="12" customFormat="1" x14ac:dyDescent="0.2">
      <c r="A180" s="209" t="str">
        <f>IF(J180&lt;&gt;"",1+MAX($A$18:A179),"")</f>
        <v/>
      </c>
      <c r="B180" s="210"/>
      <c r="C180" s="210"/>
      <c r="D180" s="210"/>
      <c r="E180" s="255"/>
      <c r="F180" s="307"/>
      <c r="G180" s="310"/>
      <c r="H180" s="225"/>
      <c r="I180" s="317"/>
      <c r="J180" s="192"/>
      <c r="K180" s="245"/>
      <c r="L180" s="228"/>
      <c r="M180" s="194"/>
      <c r="N180" s="206"/>
      <c r="O180" s="377"/>
      <c r="P180" s="197"/>
      <c r="Q180" s="198"/>
      <c r="R180" s="199"/>
      <c r="X180" s="257"/>
    </row>
    <row r="181" spans="1:24" s="12" customFormat="1" x14ac:dyDescent="0.2">
      <c r="A181" s="209" t="str">
        <f>IF(J181&lt;&gt;"",1+MAX($A$18:A180),"")</f>
        <v/>
      </c>
      <c r="B181" s="210"/>
      <c r="C181" s="210"/>
      <c r="D181" s="210"/>
      <c r="E181" s="255"/>
      <c r="F181" s="219" t="s">
        <v>390</v>
      </c>
      <c r="G181" s="310"/>
      <c r="H181" s="225"/>
      <c r="I181" s="317"/>
      <c r="J181" s="192"/>
      <c r="K181" s="245"/>
      <c r="L181" s="218"/>
      <c r="M181" s="226"/>
      <c r="N181" s="212"/>
      <c r="O181" s="377"/>
      <c r="P181" s="214"/>
      <c r="Q181" s="215"/>
      <c r="R181" s="199"/>
      <c r="X181" s="257"/>
    </row>
    <row r="182" spans="1:24" s="12" customFormat="1" x14ac:dyDescent="0.2">
      <c r="A182" s="209">
        <f>IF(J182&lt;&gt;"",1+MAX($A$18:A181),"")</f>
        <v>100</v>
      </c>
      <c r="B182" s="210" t="s">
        <v>394</v>
      </c>
      <c r="C182" s="210" t="s">
        <v>394</v>
      </c>
      <c r="D182" s="210" t="s">
        <v>84</v>
      </c>
      <c r="E182" s="255" t="s">
        <v>58</v>
      </c>
      <c r="F182" s="307" t="s">
        <v>387</v>
      </c>
      <c r="G182" s="310">
        <v>10256.41</v>
      </c>
      <c r="H182" s="205">
        <f>IF(VLOOKUP(J182,'HOURLY RATES'!B$116:C$124,2,0)=0,$J$3,VLOOKUP(J182,'HOURLY RATES'!B$116:C$124,2,0))</f>
        <v>0.05</v>
      </c>
      <c r="I182" s="317">
        <f t="shared" ref="I182" si="128">(G182*(1+H182))</f>
        <v>10769.2305</v>
      </c>
      <c r="J182" s="192" t="s">
        <v>17</v>
      </c>
      <c r="K182" s="245">
        <v>4.4999999999999998E-2</v>
      </c>
      <c r="L182" s="228">
        <f t="shared" ref="L182" si="129">K182*I182</f>
        <v>484.61537249999998</v>
      </c>
      <c r="M182" s="194">
        <f>IF(VLOOKUP(E182,'HOURLY RATES'!C$6:D$105,2,0)=0,$E$3,VLOOKUP(E182,'HOURLY RATES'!C$6:D$105,2,0))</f>
        <v>62.284425000000006</v>
      </c>
      <c r="N182" s="206">
        <f t="shared" ref="N182" si="130">M182*L182</f>
        <v>30183.989822323314</v>
      </c>
      <c r="O182" s="377">
        <v>3.36</v>
      </c>
      <c r="P182" s="197">
        <f t="shared" ref="P182" si="131">O182*I182</f>
        <v>36184.614479999997</v>
      </c>
      <c r="Q182" s="198">
        <f t="shared" ref="Q182" si="132">P182+N182</f>
        <v>66368.604302323307</v>
      </c>
      <c r="R182" s="199"/>
      <c r="X182" s="257"/>
    </row>
    <row r="183" spans="1:24" s="12" customFormat="1" x14ac:dyDescent="0.2">
      <c r="A183" s="209">
        <f>IF(J183&lt;&gt;"",1+MAX($A$18:A182),"")</f>
        <v>101</v>
      </c>
      <c r="B183" s="210" t="s">
        <v>394</v>
      </c>
      <c r="C183" s="210" t="s">
        <v>394</v>
      </c>
      <c r="D183" s="210" t="s">
        <v>84</v>
      </c>
      <c r="E183" s="255" t="s">
        <v>58</v>
      </c>
      <c r="F183" s="307" t="s">
        <v>388</v>
      </c>
      <c r="G183" s="310">
        <f>(478.87*1.02)</f>
        <v>488.44740000000002</v>
      </c>
      <c r="H183" s="205">
        <f>IF(VLOOKUP(J183,'HOURLY RATES'!B$116:C$124,2,0)=0,$J$3,VLOOKUP(J183,'HOURLY RATES'!B$116:C$124,2,0))</f>
        <v>0.05</v>
      </c>
      <c r="I183" s="317">
        <f t="shared" ref="I183:I184" si="133">(G183*(1+H183))</f>
        <v>512.86977000000002</v>
      </c>
      <c r="J183" s="192" t="s">
        <v>17</v>
      </c>
      <c r="K183" s="245">
        <v>6.5000000000000002E-2</v>
      </c>
      <c r="L183" s="228">
        <f t="shared" ref="L183:L184" si="134">K183*I183</f>
        <v>33.336535050000002</v>
      </c>
      <c r="M183" s="194">
        <f>IF(VLOOKUP(E183,'HOURLY RATES'!C$6:D$105,2,0)=0,$E$3,VLOOKUP(E183,'HOURLY RATES'!C$6:D$105,2,0))</f>
        <v>62.284425000000006</v>
      </c>
      <c r="N183" s="206">
        <f t="shared" ref="N183:N184" si="135">M183*L183</f>
        <v>2076.3469170815965</v>
      </c>
      <c r="O183" s="377">
        <v>3.05</v>
      </c>
      <c r="P183" s="197">
        <f t="shared" ref="P183:P184" si="136">O183*I183</f>
        <v>1564.2527984999999</v>
      </c>
      <c r="Q183" s="198">
        <f t="shared" ref="Q183:Q184" si="137">P183+N183</f>
        <v>3640.5997155815967</v>
      </c>
      <c r="R183" s="199"/>
      <c r="X183" s="257"/>
    </row>
    <row r="184" spans="1:24" s="12" customFormat="1" x14ac:dyDescent="0.2">
      <c r="A184" s="209">
        <f>IF(J184&lt;&gt;"",1+MAX($A$18:A183),"")</f>
        <v>102</v>
      </c>
      <c r="B184" s="210" t="s">
        <v>394</v>
      </c>
      <c r="C184" s="210" t="s">
        <v>394</v>
      </c>
      <c r="D184" s="210" t="s">
        <v>84</v>
      </c>
      <c r="E184" s="255" t="s">
        <v>58</v>
      </c>
      <c r="F184" s="307" t="s">
        <v>389</v>
      </c>
      <c r="G184" s="310">
        <v>65.37</v>
      </c>
      <c r="H184" s="205">
        <f>IF(VLOOKUP(J184,'HOURLY RATES'!B$116:C$124,2,0)=0,$J$3,VLOOKUP(J184,'HOURLY RATES'!B$116:C$124,2,0))</f>
        <v>0.05</v>
      </c>
      <c r="I184" s="317">
        <f t="shared" si="133"/>
        <v>68.638500000000008</v>
      </c>
      <c r="J184" s="192" t="s">
        <v>17</v>
      </c>
      <c r="K184" s="245">
        <v>6.5000000000000002E-2</v>
      </c>
      <c r="L184" s="228">
        <f t="shared" si="134"/>
        <v>4.4615025000000008</v>
      </c>
      <c r="M184" s="194">
        <f>IF(VLOOKUP(E184,'HOURLY RATES'!C$6:D$105,2,0)=0,$E$3,VLOOKUP(E184,'HOURLY RATES'!C$6:D$105,2,0))</f>
        <v>62.284425000000006</v>
      </c>
      <c r="N184" s="206">
        <f t="shared" si="135"/>
        <v>277.88211784856259</v>
      </c>
      <c r="O184" s="377">
        <v>3.05</v>
      </c>
      <c r="P184" s="197">
        <f t="shared" si="136"/>
        <v>209.34742500000002</v>
      </c>
      <c r="Q184" s="198">
        <f t="shared" si="137"/>
        <v>487.22954284856257</v>
      </c>
      <c r="R184" s="199"/>
      <c r="X184" s="257"/>
    </row>
    <row r="185" spans="1:24" s="12" customFormat="1" x14ac:dyDescent="0.2">
      <c r="A185" s="209" t="str">
        <f>IF(J185&lt;&gt;"",1+MAX($A$18:A184),"")</f>
        <v/>
      </c>
      <c r="B185" s="210"/>
      <c r="C185" s="210"/>
      <c r="D185" s="210"/>
      <c r="E185" s="255"/>
      <c r="F185" s="216"/>
      <c r="G185" s="310"/>
      <c r="H185" s="225"/>
      <c r="I185" s="317"/>
      <c r="J185" s="192"/>
      <c r="K185" s="245"/>
      <c r="L185" s="218"/>
      <c r="M185" s="226"/>
      <c r="N185" s="212"/>
      <c r="O185" s="377"/>
      <c r="P185" s="214"/>
      <c r="Q185" s="215"/>
      <c r="R185" s="199"/>
      <c r="X185" s="257"/>
    </row>
    <row r="186" spans="1:24" s="12" customFormat="1" x14ac:dyDescent="0.2">
      <c r="A186" s="209" t="str">
        <f>IF(J186&lt;&gt;"",1+MAX($A$18:A185),"")</f>
        <v/>
      </c>
      <c r="B186" s="210"/>
      <c r="C186" s="210"/>
      <c r="D186" s="210"/>
      <c r="E186" s="255"/>
      <c r="F186" s="219" t="s">
        <v>223</v>
      </c>
      <c r="G186" s="310"/>
      <c r="H186" s="225"/>
      <c r="I186" s="317"/>
      <c r="J186" s="192"/>
      <c r="K186" s="245"/>
      <c r="L186" s="218"/>
      <c r="M186" s="226"/>
      <c r="N186" s="212"/>
      <c r="O186" s="377"/>
      <c r="P186" s="214"/>
      <c r="Q186" s="215"/>
      <c r="R186" s="199"/>
      <c r="X186" s="257"/>
    </row>
    <row r="187" spans="1:24" s="12" customFormat="1" x14ac:dyDescent="0.2">
      <c r="A187" s="209">
        <f>IF(J187&lt;&gt;"",1+MAX($A$18:A186),"")</f>
        <v>103</v>
      </c>
      <c r="B187" s="210" t="s">
        <v>394</v>
      </c>
      <c r="C187" s="210" t="s">
        <v>394</v>
      </c>
      <c r="D187" s="210" t="s">
        <v>84</v>
      </c>
      <c r="E187" s="255" t="s">
        <v>58</v>
      </c>
      <c r="F187" s="307" t="s">
        <v>391</v>
      </c>
      <c r="G187" s="310">
        <f>(10.75*1.75)*15.3</f>
        <v>287.83125000000001</v>
      </c>
      <c r="H187" s="205">
        <f>IF(VLOOKUP(J187,'HOURLY RATES'!B$116:C$124,2,0)=0,$J$3,VLOOKUP(J187,'HOURLY RATES'!B$116:C$124,2,0))</f>
        <v>0.05</v>
      </c>
      <c r="I187" s="317">
        <f t="shared" ref="I187" si="138">(G187*(1+H187))</f>
        <v>302.22281250000003</v>
      </c>
      <c r="J187" s="192" t="s">
        <v>121</v>
      </c>
      <c r="K187" s="245">
        <v>8.6999999999999994E-2</v>
      </c>
      <c r="L187" s="228">
        <f t="shared" ref="L187" si="139">K187*I187</f>
        <v>26.293384687500001</v>
      </c>
      <c r="M187" s="194">
        <f>IF(VLOOKUP(E187,'HOURLY RATES'!C$6:D$105,2,0)=0,$E$3,VLOOKUP(E187,'HOURLY RATES'!C$6:D$105,2,0))</f>
        <v>62.284425000000006</v>
      </c>
      <c r="N187" s="206">
        <f t="shared" ref="N187" si="140">M187*L187</f>
        <v>1637.6683465647425</v>
      </c>
      <c r="O187" s="377">
        <v>2.2999999999999998</v>
      </c>
      <c r="P187" s="197">
        <f t="shared" ref="P187" si="141">O187*I187</f>
        <v>695.11246875000006</v>
      </c>
      <c r="Q187" s="198">
        <f t="shared" ref="Q187" si="142">P187+N187</f>
        <v>2332.7808153147425</v>
      </c>
      <c r="R187" s="199"/>
      <c r="X187" s="257"/>
    </row>
    <row r="188" spans="1:24" s="12" customFormat="1" x14ac:dyDescent="0.2">
      <c r="A188" s="209" t="str">
        <f>IF(J188&lt;&gt;"",1+MAX($A$18:A187),"")</f>
        <v/>
      </c>
      <c r="B188" s="210"/>
      <c r="C188" s="210"/>
      <c r="D188" s="210"/>
      <c r="E188" s="255"/>
      <c r="F188" s="307"/>
      <c r="G188" s="310"/>
      <c r="H188" s="205"/>
      <c r="I188" s="317"/>
      <c r="J188" s="192"/>
      <c r="K188" s="245"/>
      <c r="L188" s="228"/>
      <c r="M188" s="194"/>
      <c r="N188" s="206"/>
      <c r="O188" s="377"/>
      <c r="P188" s="197"/>
      <c r="Q188" s="198"/>
      <c r="R188" s="199"/>
      <c r="X188" s="257"/>
    </row>
    <row r="189" spans="1:24" s="12" customFormat="1" ht="21" x14ac:dyDescent="0.2">
      <c r="A189" s="209" t="str">
        <f>IF(J189&lt;&gt;"",1+MAX($A$18:A188),"")</f>
        <v/>
      </c>
      <c r="B189" s="210"/>
      <c r="C189" s="210"/>
      <c r="D189" s="210"/>
      <c r="E189" s="255"/>
      <c r="F189" s="321" t="s">
        <v>718</v>
      </c>
      <c r="G189" s="310"/>
      <c r="H189" s="225"/>
      <c r="I189" s="317"/>
      <c r="J189" s="192"/>
      <c r="K189" s="222"/>
      <c r="L189" s="218"/>
      <c r="M189" s="226"/>
      <c r="N189" s="212"/>
      <c r="O189" s="224"/>
      <c r="P189" s="214"/>
      <c r="Q189" s="215"/>
      <c r="R189" s="199"/>
      <c r="X189" s="257"/>
    </row>
    <row r="190" spans="1:24" s="12" customFormat="1" x14ac:dyDescent="0.2">
      <c r="A190" s="204" t="str">
        <f>IF(J190&lt;&gt;"",1+MAX($A$18:A189),"")</f>
        <v/>
      </c>
      <c r="B190" s="201"/>
      <c r="C190" s="201"/>
      <c r="D190" s="210"/>
      <c r="E190" s="255"/>
      <c r="F190" s="188"/>
      <c r="G190" s="310"/>
      <c r="H190" s="205"/>
      <c r="I190" s="317"/>
      <c r="J190" s="192"/>
      <c r="K190" s="382"/>
      <c r="L190" s="228"/>
      <c r="M190" s="194"/>
      <c r="N190" s="206"/>
      <c r="O190" s="377"/>
      <c r="P190" s="197"/>
      <c r="Q190" s="198"/>
      <c r="R190" s="199"/>
      <c r="X190" s="257"/>
    </row>
    <row r="191" spans="1:24" s="12" customFormat="1" x14ac:dyDescent="0.2">
      <c r="A191" s="204" t="str">
        <f>IF(J191&lt;&gt;"",1+MAX($A$18:A190),"")</f>
        <v/>
      </c>
      <c r="B191" s="201"/>
      <c r="C191" s="201"/>
      <c r="D191" s="210"/>
      <c r="E191" s="255"/>
      <c r="F191" s="202" t="s">
        <v>525</v>
      </c>
      <c r="G191" s="311">
        <v>22</v>
      </c>
      <c r="H191" s="190"/>
      <c r="I191" s="317"/>
      <c r="J191" s="192"/>
      <c r="K191" s="373"/>
      <c r="L191" s="228"/>
      <c r="M191" s="194"/>
      <c r="N191" s="206"/>
      <c r="O191" s="377"/>
      <c r="P191" s="197"/>
      <c r="Q191" s="198"/>
      <c r="R191" s="199"/>
      <c r="X191" s="257"/>
    </row>
    <row r="192" spans="1:24" s="12" customFormat="1" x14ac:dyDescent="0.2">
      <c r="A192" s="204">
        <f>IF(J192&lt;&gt;"",1+MAX($A$18:A191),"")</f>
        <v>104</v>
      </c>
      <c r="B192" s="201" t="s">
        <v>530</v>
      </c>
      <c r="C192" s="201" t="s">
        <v>529</v>
      </c>
      <c r="D192" s="210" t="s">
        <v>84</v>
      </c>
      <c r="E192" s="255" t="s">
        <v>146</v>
      </c>
      <c r="F192" s="188" t="s">
        <v>526</v>
      </c>
      <c r="G192" s="310">
        <f>(4*3)*G191</f>
        <v>264</v>
      </c>
      <c r="H192" s="205">
        <f>IF(VLOOKUP(J192,'HOURLY RATES'!B$116:C$124,2,0)=0,$J$3,VLOOKUP(J192,'HOURLY RATES'!B$116:C$124,2,0))</f>
        <v>0.05</v>
      </c>
      <c r="I192" s="317">
        <f t="shared" ref="I192" si="143">(G192*(1+H192))</f>
        <v>277.2</v>
      </c>
      <c r="J192" s="192" t="s">
        <v>19</v>
      </c>
      <c r="K192" s="382">
        <v>7.0000000000000007E-2</v>
      </c>
      <c r="L192" s="228">
        <f>K192*I192</f>
        <v>19.404</v>
      </c>
      <c r="M192" s="194">
        <f>IF(VLOOKUP(E192,'HOURLY RATES'!C$6:D$105,2,0)=0,$E$3,VLOOKUP(E192,'HOURLY RATES'!C$6:D$105,2,0))</f>
        <v>38.508412499999999</v>
      </c>
      <c r="N192" s="206">
        <f>M192*L192</f>
        <v>747.21723614999996</v>
      </c>
      <c r="O192" s="377">
        <f>2.48*18/16</f>
        <v>2.79</v>
      </c>
      <c r="P192" s="197">
        <f>O192*I192</f>
        <v>773.38800000000003</v>
      </c>
      <c r="Q192" s="198">
        <f>P192+N192</f>
        <v>1520.6052361500001</v>
      </c>
      <c r="R192" s="199"/>
      <c r="X192" s="257"/>
    </row>
    <row r="193" spans="1:24" s="12" customFormat="1" x14ac:dyDescent="0.2">
      <c r="A193" s="204">
        <f>IF(J193&lt;&gt;"",1+MAX($A$18:A192),"")</f>
        <v>105</v>
      </c>
      <c r="B193" s="201" t="s">
        <v>530</v>
      </c>
      <c r="C193" s="201" t="s">
        <v>529</v>
      </c>
      <c r="D193" s="210" t="s">
        <v>84</v>
      </c>
      <c r="E193" s="255" t="s">
        <v>146</v>
      </c>
      <c r="F193" s="188" t="s">
        <v>527</v>
      </c>
      <c r="G193" s="310">
        <f>(2*2)*G191</f>
        <v>88</v>
      </c>
      <c r="H193" s="205">
        <f>IF(VLOOKUP(J193,'HOURLY RATES'!B$116:C$124,2,0)=0,$J$3,VLOOKUP(J193,'HOURLY RATES'!B$116:C$124,2,0))</f>
        <v>0.05</v>
      </c>
      <c r="I193" s="317">
        <f t="shared" ref="I193:I194" si="144">(G193*(1+H193))</f>
        <v>92.4</v>
      </c>
      <c r="J193" s="192" t="s">
        <v>19</v>
      </c>
      <c r="K193" s="382">
        <v>7.0000000000000007E-2</v>
      </c>
      <c r="L193" s="228">
        <f t="shared" ref="L193:L194" si="145">K193*I193</f>
        <v>6.4680000000000009</v>
      </c>
      <c r="M193" s="194">
        <f>IF(VLOOKUP(E193,'HOURLY RATES'!C$6:D$105,2,0)=0,$E$3,VLOOKUP(E193,'HOURLY RATES'!C$6:D$105,2,0))</f>
        <v>38.508412499999999</v>
      </c>
      <c r="N193" s="206">
        <f t="shared" ref="N193:N194" si="146">M193*L193</f>
        <v>249.07241205000003</v>
      </c>
      <c r="O193" s="377">
        <f t="shared" ref="O193:O194" si="147">2.48*18/16</f>
        <v>2.79</v>
      </c>
      <c r="P193" s="197">
        <f t="shared" ref="P193:P194" si="148">O193*I193</f>
        <v>257.79599999999999</v>
      </c>
      <c r="Q193" s="198">
        <f t="shared" ref="Q193:Q194" si="149">P193+N193</f>
        <v>506.86841205000002</v>
      </c>
      <c r="R193" s="199"/>
      <c r="X193" s="257"/>
    </row>
    <row r="194" spans="1:24" s="12" customFormat="1" x14ac:dyDescent="0.2">
      <c r="A194" s="204">
        <f>IF(J194&lt;&gt;"",1+MAX($A$18:A193),"")</f>
        <v>106</v>
      </c>
      <c r="B194" s="201" t="s">
        <v>530</v>
      </c>
      <c r="C194" s="201" t="s">
        <v>529</v>
      </c>
      <c r="D194" s="210" t="s">
        <v>84</v>
      </c>
      <c r="E194" s="255" t="s">
        <v>146</v>
      </c>
      <c r="F194" s="188" t="s">
        <v>528</v>
      </c>
      <c r="G194" s="310">
        <f>(4*3.5)*G191</f>
        <v>308</v>
      </c>
      <c r="H194" s="205">
        <f>IF(VLOOKUP(J194,'HOURLY RATES'!B$116:C$124,2,0)=0,$J$3,VLOOKUP(J194,'HOURLY RATES'!B$116:C$124,2,0))</f>
        <v>0.05</v>
      </c>
      <c r="I194" s="317">
        <f t="shared" si="144"/>
        <v>323.40000000000003</v>
      </c>
      <c r="J194" s="192" t="s">
        <v>19</v>
      </c>
      <c r="K194" s="382">
        <v>7.0000000000000007E-2</v>
      </c>
      <c r="L194" s="228">
        <f t="shared" si="145"/>
        <v>22.638000000000005</v>
      </c>
      <c r="M194" s="194">
        <f>IF(VLOOKUP(E194,'HOURLY RATES'!C$6:D$105,2,0)=0,$E$3,VLOOKUP(E194,'HOURLY RATES'!C$6:D$105,2,0))</f>
        <v>38.508412499999999</v>
      </c>
      <c r="N194" s="206">
        <f t="shared" si="146"/>
        <v>871.75344217500015</v>
      </c>
      <c r="O194" s="377">
        <f t="shared" si="147"/>
        <v>2.79</v>
      </c>
      <c r="P194" s="197">
        <f t="shared" si="148"/>
        <v>902.28600000000006</v>
      </c>
      <c r="Q194" s="198">
        <f t="shared" si="149"/>
        <v>1774.0394421750002</v>
      </c>
      <c r="R194" s="199"/>
      <c r="X194" s="257"/>
    </row>
    <row r="195" spans="1:24" s="12" customFormat="1" x14ac:dyDescent="0.2">
      <c r="A195" s="204" t="str">
        <f>IF(J195&lt;&gt;"",1+MAX($A$18:A194),"")</f>
        <v/>
      </c>
      <c r="B195" s="201"/>
      <c r="C195" s="201"/>
      <c r="D195" s="201"/>
      <c r="E195" s="255"/>
      <c r="F195" s="240" t="s">
        <v>28</v>
      </c>
      <c r="G195" s="316"/>
      <c r="H195" s="190"/>
      <c r="I195" s="317"/>
      <c r="J195" s="192"/>
      <c r="K195" s="241"/>
      <c r="L195" s="13"/>
      <c r="M195" s="194"/>
      <c r="N195" s="206"/>
      <c r="O195" s="377"/>
      <c r="P195" s="197"/>
      <c r="Q195" s="198"/>
      <c r="R195" s="199"/>
      <c r="X195" s="257"/>
    </row>
    <row r="196" spans="1:24" s="12" customFormat="1" x14ac:dyDescent="0.2">
      <c r="A196" s="204" t="str">
        <f>IF(J196&lt;&gt;"",1+MAX($A$18:A195),"")</f>
        <v/>
      </c>
      <c r="B196" s="201"/>
      <c r="C196" s="201"/>
      <c r="D196" s="201"/>
      <c r="E196" s="255"/>
      <c r="F196" s="202" t="s">
        <v>662</v>
      </c>
      <c r="G196" s="311"/>
      <c r="H196" s="190"/>
      <c r="I196" s="317"/>
      <c r="J196" s="192"/>
      <c r="K196" s="373"/>
      <c r="L196" s="228"/>
      <c r="M196" s="194"/>
      <c r="N196" s="206"/>
      <c r="O196" s="377"/>
      <c r="P196" s="197"/>
      <c r="Q196" s="198"/>
      <c r="R196" s="199"/>
      <c r="X196" s="257"/>
    </row>
    <row r="197" spans="1:24" s="12" customFormat="1" ht="47.25" x14ac:dyDescent="0.2">
      <c r="A197" s="367">
        <f>IF(J197&lt;&gt;"",1+MAX($A$18:A196),"")</f>
        <v>107</v>
      </c>
      <c r="B197" s="368" t="s">
        <v>630</v>
      </c>
      <c r="C197" s="368" t="s">
        <v>630</v>
      </c>
      <c r="D197" s="210" t="s">
        <v>84</v>
      </c>
      <c r="E197" s="255" t="s">
        <v>275</v>
      </c>
      <c r="F197" s="380" t="s">
        <v>661</v>
      </c>
      <c r="G197" s="366">
        <v>26.25</v>
      </c>
      <c r="H197" s="205">
        <f>IF(VLOOKUP(J197,'HOURLY RATES'!B$116:C$124,2,0)=0,$J$3,VLOOKUP(J197,'HOURLY RATES'!B$116:C$124,2,0))</f>
        <v>0.05</v>
      </c>
      <c r="I197" s="317">
        <f t="shared" ref="I197" si="150">(G197*(1+H197))</f>
        <v>27.5625</v>
      </c>
      <c r="J197" s="192" t="s">
        <v>19</v>
      </c>
      <c r="K197" s="382">
        <v>1.1000000000000001</v>
      </c>
      <c r="L197" s="228">
        <f t="shared" ref="L197" si="151">K197*I197</f>
        <v>30.318750000000001</v>
      </c>
      <c r="M197" s="194">
        <f>IF(VLOOKUP(E197,'HOURLY RATES'!C$6:D$105,2,0)=0,$E$3,VLOOKUP(E197,'HOURLY RATES'!C$6:D$105,2,0))</f>
        <v>61.074646874999992</v>
      </c>
      <c r="N197" s="206">
        <f t="shared" ref="N197" si="152">M197*L197</f>
        <v>1851.706949941406</v>
      </c>
      <c r="O197" s="377">
        <f>243.51/6</f>
        <v>40.585000000000001</v>
      </c>
      <c r="P197" s="197">
        <f t="shared" ref="P197" si="153">O197*I197</f>
        <v>1118.6240625</v>
      </c>
      <c r="Q197" s="198">
        <f t="shared" ref="Q197" si="154">P197+N197</f>
        <v>2970.3310124414061</v>
      </c>
      <c r="R197" s="199"/>
      <c r="X197" s="257"/>
    </row>
    <row r="198" spans="1:24" s="12" customFormat="1" x14ac:dyDescent="0.2">
      <c r="A198" s="204" t="str">
        <f>IF(J198&lt;&gt;"",1+MAX($A$18:A197),"")</f>
        <v/>
      </c>
      <c r="B198" s="201"/>
      <c r="C198" s="201"/>
      <c r="D198" s="201"/>
      <c r="E198" s="255"/>
      <c r="F198" s="240" t="s">
        <v>28</v>
      </c>
      <c r="G198" s="316"/>
      <c r="H198" s="190"/>
      <c r="I198" s="317"/>
      <c r="J198" s="192"/>
      <c r="K198" s="382"/>
      <c r="L198" s="228"/>
      <c r="M198" s="194"/>
      <c r="N198" s="206"/>
      <c r="O198" s="377"/>
      <c r="P198" s="197"/>
      <c r="Q198" s="198"/>
      <c r="R198" s="199"/>
      <c r="X198" s="257"/>
    </row>
    <row r="199" spans="1:24" s="12" customFormat="1" x14ac:dyDescent="0.2">
      <c r="A199" s="204" t="str">
        <f>IF(J199&lt;&gt;"",1+MAX($A$18:A198),"")</f>
        <v/>
      </c>
      <c r="B199" s="201"/>
      <c r="C199" s="201"/>
      <c r="D199" s="201"/>
      <c r="E199" s="255"/>
      <c r="F199" s="202" t="s">
        <v>209</v>
      </c>
      <c r="G199" s="310"/>
      <c r="H199" s="205"/>
      <c r="I199" s="317"/>
      <c r="J199" s="192"/>
      <c r="K199" s="382"/>
      <c r="L199" s="228"/>
      <c r="M199" s="194"/>
      <c r="N199" s="206"/>
      <c r="O199" s="377"/>
      <c r="P199" s="197"/>
      <c r="Q199" s="198"/>
      <c r="R199" s="199"/>
      <c r="X199" s="257"/>
    </row>
    <row r="200" spans="1:24" s="12" customFormat="1" ht="31.5" x14ac:dyDescent="0.2">
      <c r="A200" s="204">
        <f>IF(J200&lt;&gt;"",1+MAX($A$18:A199),"")</f>
        <v>108</v>
      </c>
      <c r="B200" s="201"/>
      <c r="C200" s="201"/>
      <c r="D200" s="210" t="s">
        <v>84</v>
      </c>
      <c r="E200" s="255" t="s">
        <v>251</v>
      </c>
      <c r="F200" s="246" t="s">
        <v>531</v>
      </c>
      <c r="G200" s="310">
        <v>1</v>
      </c>
      <c r="H200" s="205">
        <f>IF(VLOOKUP(J200,'HOURLY RATES'!B$116:C$124,2,0)=0,$J$3,VLOOKUP(J200,'HOURLY RATES'!B$116:C$124,2,0))</f>
        <v>0</v>
      </c>
      <c r="I200" s="317">
        <f t="shared" ref="I200" si="155">(G200*(1+H200))</f>
        <v>1</v>
      </c>
      <c r="J200" s="192" t="s">
        <v>16</v>
      </c>
      <c r="K200" s="382">
        <v>3.51</v>
      </c>
      <c r="L200" s="228">
        <f>K200*I200</f>
        <v>3.51</v>
      </c>
      <c r="M200" s="194">
        <f>IF(VLOOKUP(E200,'HOURLY RATES'!C$6:D$105,2,0)=0,$E$3,VLOOKUP(E200,'HOURLY RATES'!C$6:D$105,2,0))</f>
        <v>67.402702500000004</v>
      </c>
      <c r="N200" s="206">
        <f>M200*L200</f>
        <v>236.58348577499999</v>
      </c>
      <c r="O200" s="377">
        <f>418.39*2.1666*17.5/(1.583*14)</f>
        <v>715.79577858496521</v>
      </c>
      <c r="P200" s="197">
        <f>O200*I200</f>
        <v>715.79577858496521</v>
      </c>
      <c r="Q200" s="198">
        <f>P200+N200</f>
        <v>952.37926435996519</v>
      </c>
      <c r="R200" s="199"/>
      <c r="X200" s="257"/>
    </row>
    <row r="201" spans="1:24" s="12" customFormat="1" x14ac:dyDescent="0.2">
      <c r="A201" s="204" t="str">
        <f>IF(J201&lt;&gt;"",1+MAX($A$18:A200),"")</f>
        <v/>
      </c>
      <c r="B201" s="201"/>
      <c r="C201" s="201"/>
      <c r="D201" s="201"/>
      <c r="E201" s="255"/>
      <c r="F201" s="246"/>
      <c r="G201" s="310"/>
      <c r="H201" s="205"/>
      <c r="I201" s="317"/>
      <c r="J201" s="192"/>
      <c r="K201" s="382"/>
      <c r="L201" s="228"/>
      <c r="M201" s="194"/>
      <c r="N201" s="206"/>
      <c r="O201" s="377"/>
      <c r="P201" s="197"/>
      <c r="Q201" s="198"/>
      <c r="R201" s="199"/>
      <c r="X201" s="257"/>
    </row>
    <row r="202" spans="1:24" s="12" customFormat="1" x14ac:dyDescent="0.2">
      <c r="A202" s="209">
        <f>IF(J202&lt;&gt;"",1+MAX($A$18:A201),"")</f>
        <v>109</v>
      </c>
      <c r="B202" s="210"/>
      <c r="C202" s="210"/>
      <c r="D202" s="210" t="s">
        <v>84</v>
      </c>
      <c r="E202" s="255" t="s">
        <v>58</v>
      </c>
      <c r="F202" s="216" t="s">
        <v>393</v>
      </c>
      <c r="G202" s="310">
        <v>10810</v>
      </c>
      <c r="H202" s="205">
        <f>IF(VLOOKUP(J202,'HOURLY RATES'!B$116:C$124,2,0)=0,$J$3,VLOOKUP(J202,'HOURLY RATES'!B$116:C$124,2,0))</f>
        <v>0.05</v>
      </c>
      <c r="I202" s="317">
        <f t="shared" ref="I202:I203" si="156">(G202*(1+H202))</f>
        <v>11350.5</v>
      </c>
      <c r="J202" s="192" t="s">
        <v>17</v>
      </c>
      <c r="K202" s="382">
        <v>6.0000000000000001E-3</v>
      </c>
      <c r="L202" s="228">
        <f t="shared" ref="L202" si="157">K202*I202</f>
        <v>68.102999999999994</v>
      </c>
      <c r="M202" s="194">
        <f>IF(VLOOKUP(E202,'HOURLY RATES'!C$6:D$105,2,0)=0,$E$3,VLOOKUP(E202,'HOURLY RATES'!C$6:D$105,2,0))</f>
        <v>62.284425000000006</v>
      </c>
      <c r="N202" s="206">
        <f t="shared" ref="N202:N203" si="158">M202*L202</f>
        <v>4241.7561957750004</v>
      </c>
      <c r="O202" s="377"/>
      <c r="P202" s="197">
        <f t="shared" ref="P202:P207" si="159">O202*I202</f>
        <v>0</v>
      </c>
      <c r="Q202" s="198">
        <f t="shared" ref="Q202:Q207" si="160">P202+N202</f>
        <v>4241.7561957750004</v>
      </c>
      <c r="R202" s="199"/>
      <c r="X202" s="257"/>
    </row>
    <row r="203" spans="1:24" s="12" customFormat="1" x14ac:dyDescent="0.2">
      <c r="A203" s="209">
        <f>IF(J203&lt;&gt;"",1+MAX($A$18:A202),"")</f>
        <v>110</v>
      </c>
      <c r="B203" s="210"/>
      <c r="C203" s="210"/>
      <c r="D203" s="210" t="s">
        <v>84</v>
      </c>
      <c r="E203" s="255" t="s">
        <v>58</v>
      </c>
      <c r="F203" s="216" t="s">
        <v>392</v>
      </c>
      <c r="G203" s="310">
        <f>24*8*13</f>
        <v>2496</v>
      </c>
      <c r="H203" s="205">
        <f>IF(VLOOKUP(J203,'HOURLY RATES'!B$116:C$124,2,0)=0,$J$3,VLOOKUP(J203,'HOURLY RATES'!B$116:C$124,2,0))</f>
        <v>0.05</v>
      </c>
      <c r="I203" s="317">
        <f t="shared" si="156"/>
        <v>2620.8000000000002</v>
      </c>
      <c r="J203" s="192" t="s">
        <v>17</v>
      </c>
      <c r="K203" s="382">
        <v>6.0000000000000001E-3</v>
      </c>
      <c r="L203" s="228">
        <f>K203*I203</f>
        <v>15.724800000000002</v>
      </c>
      <c r="M203" s="194">
        <f>IF(VLOOKUP(E203,'HOURLY RATES'!C$6:D$105,2,0)=0,$E$3,VLOOKUP(E203,'HOURLY RATES'!C$6:D$105,2,0))</f>
        <v>62.284425000000006</v>
      </c>
      <c r="N203" s="206">
        <f t="shared" si="158"/>
        <v>979.41012624000018</v>
      </c>
      <c r="O203" s="377"/>
      <c r="P203" s="197">
        <f t="shared" si="159"/>
        <v>0</v>
      </c>
      <c r="Q203" s="198">
        <f t="shared" si="160"/>
        <v>979.41012624000018</v>
      </c>
      <c r="R203" s="199"/>
      <c r="X203" s="257"/>
    </row>
    <row r="204" spans="1:24" s="12" customFormat="1" x14ac:dyDescent="0.2">
      <c r="A204" s="209" t="str">
        <f>IF(J204&lt;&gt;"",1+MAX($A$18:A203),"")</f>
        <v/>
      </c>
      <c r="B204" s="210"/>
      <c r="C204" s="210"/>
      <c r="D204" s="210"/>
      <c r="E204" s="255"/>
      <c r="F204" s="216"/>
      <c r="G204" s="310"/>
      <c r="H204" s="205"/>
      <c r="I204" s="317"/>
      <c r="J204" s="192"/>
      <c r="K204" s="382"/>
      <c r="L204" s="228"/>
      <c r="M204" s="194"/>
      <c r="N204" s="206"/>
      <c r="O204" s="377"/>
      <c r="P204" s="197"/>
      <c r="Q204" s="198"/>
      <c r="R204" s="199"/>
      <c r="X204" s="257"/>
    </row>
    <row r="205" spans="1:24" s="12" customFormat="1" x14ac:dyDescent="0.2">
      <c r="A205" s="235" t="str">
        <f>IF(J205&lt;&gt;"",1+MAX($A$18:A204),"")</f>
        <v/>
      </c>
      <c r="B205" s="236"/>
      <c r="C205" s="236"/>
      <c r="D205" s="210"/>
      <c r="E205" s="255"/>
      <c r="F205" s="237" t="s">
        <v>214</v>
      </c>
      <c r="G205" s="310"/>
      <c r="H205" s="205"/>
      <c r="I205" s="317"/>
      <c r="J205" s="192"/>
      <c r="K205" s="238"/>
      <c r="L205" s="228"/>
      <c r="M205" s="194"/>
      <c r="N205" s="206"/>
      <c r="O205" s="230"/>
      <c r="P205" s="197"/>
      <c r="Q205" s="198"/>
      <c r="R205" s="199"/>
      <c r="X205" s="257"/>
    </row>
    <row r="206" spans="1:24" s="12" customFormat="1" x14ac:dyDescent="0.2">
      <c r="A206" s="235" t="str">
        <f>IF(J206&lt;&gt;"",1+MAX($A$18:A205),"")</f>
        <v/>
      </c>
      <c r="B206" s="236"/>
      <c r="C206" s="236"/>
      <c r="D206" s="236"/>
      <c r="E206" s="255"/>
      <c r="F206" s="216"/>
      <c r="G206" s="310"/>
      <c r="H206" s="205"/>
      <c r="I206" s="317"/>
      <c r="J206" s="192"/>
      <c r="K206" s="238"/>
      <c r="L206" s="228"/>
      <c r="M206" s="239"/>
      <c r="N206" s="206"/>
      <c r="O206" s="230"/>
      <c r="P206" s="197"/>
      <c r="Q206" s="198"/>
      <c r="R206" s="199"/>
      <c r="X206" s="257"/>
    </row>
    <row r="207" spans="1:24" s="12" customFormat="1" x14ac:dyDescent="0.2">
      <c r="A207" s="235">
        <f>IF(J207&lt;&gt;"",1+MAX($A$18:A206),"")</f>
        <v>111</v>
      </c>
      <c r="B207" s="236"/>
      <c r="C207" s="236"/>
      <c r="D207" s="210" t="s">
        <v>84</v>
      </c>
      <c r="E207" s="255" t="s">
        <v>58</v>
      </c>
      <c r="F207" s="216" t="s">
        <v>215</v>
      </c>
      <c r="G207" s="310">
        <f>SUM(G152:G153,G156:G157,G160:G175,G187)/2000</f>
        <v>40.205505705000007</v>
      </c>
      <c r="H207" s="205">
        <f>IF(VLOOKUP(J207,'HOURLY RATES'!B$116:C$124,2,0)=0,$J$3,VLOOKUP(J207,'HOURLY RATES'!B$116:C$124,2,0))</f>
        <v>0.05</v>
      </c>
      <c r="I207" s="317">
        <f t="shared" ref="I207" si="161">(G207*(1+H207))</f>
        <v>42.215780990250011</v>
      </c>
      <c r="J207" s="192" t="s">
        <v>167</v>
      </c>
      <c r="K207" s="222">
        <v>3</v>
      </c>
      <c r="L207" s="228">
        <f>K207*I207</f>
        <v>126.64734297075003</v>
      </c>
      <c r="M207" s="194">
        <f>IF(VLOOKUP(E207,'HOURLY RATES'!C$6:D$105,2,0)=0,$E$3,VLOOKUP(E207,'HOURLY RATES'!C$6:D$105,2,0))</f>
        <v>62.284425000000006</v>
      </c>
      <c r="N207" s="206"/>
      <c r="O207" s="230">
        <f>K207*M207</f>
        <v>186.85327500000002</v>
      </c>
      <c r="P207" s="197">
        <f t="shared" si="159"/>
        <v>7888.1569347109589</v>
      </c>
      <c r="Q207" s="198">
        <f t="shared" si="160"/>
        <v>7888.1569347109589</v>
      </c>
      <c r="R207" s="199"/>
      <c r="X207" s="257"/>
    </row>
    <row r="208" spans="1:24" s="12" customFormat="1" ht="16.5" thickBot="1" x14ac:dyDescent="0.25">
      <c r="A208" s="263" t="str">
        <f>IF(J208&lt;&gt;"",1+MAX($A$18:A207),"")</f>
        <v/>
      </c>
      <c r="B208" s="264"/>
      <c r="C208" s="264"/>
      <c r="D208" s="264"/>
      <c r="E208" s="404"/>
      <c r="F208" s="265"/>
      <c r="G208" s="313"/>
      <c r="H208" s="267"/>
      <c r="I208" s="319"/>
      <c r="J208" s="359"/>
      <c r="K208" s="400"/>
      <c r="L208" s="269"/>
      <c r="M208" s="272"/>
      <c r="N208" s="273"/>
      <c r="O208" s="401"/>
      <c r="P208" s="275"/>
      <c r="Q208" s="276"/>
      <c r="R208" s="277"/>
      <c r="X208" s="257"/>
    </row>
    <row r="209" spans="1:24" s="12" customFormat="1" ht="20.100000000000001" customHeight="1" x14ac:dyDescent="0.2">
      <c r="A209" s="475" t="str">
        <f>IF(J209&lt;&gt;"",1+MAX($A$18:A208),"")</f>
        <v/>
      </c>
      <c r="B209" s="476"/>
      <c r="C209" s="476"/>
      <c r="D209" s="476" t="s">
        <v>35</v>
      </c>
      <c r="E209" s="481"/>
      <c r="F209" s="477" t="s">
        <v>175</v>
      </c>
      <c r="G209" s="482"/>
      <c r="H209" s="479"/>
      <c r="I209" s="483"/>
      <c r="J209" s="483"/>
      <c r="K209" s="484"/>
      <c r="L209" s="479"/>
      <c r="M209" s="479"/>
      <c r="N209" s="479"/>
      <c r="O209" s="484"/>
      <c r="P209" s="479"/>
      <c r="Q209" s="479"/>
      <c r="R209" s="480">
        <f>SUM(Q210:Q224)</f>
        <v>8358.208023900861</v>
      </c>
      <c r="X209" s="257"/>
    </row>
    <row r="210" spans="1:24" s="12" customFormat="1" x14ac:dyDescent="0.2">
      <c r="A210" s="204" t="str">
        <f>IF(J210&lt;&gt;"",1+MAX($A$18:A209),"")</f>
        <v/>
      </c>
      <c r="B210" s="201"/>
      <c r="C210" s="201"/>
      <c r="D210" s="201"/>
      <c r="E210" s="255"/>
      <c r="F210" s="240" t="s">
        <v>28</v>
      </c>
      <c r="G210" s="316"/>
      <c r="H210" s="190"/>
      <c r="I210" s="317"/>
      <c r="J210" s="192"/>
      <c r="K210" s="241"/>
      <c r="L210" s="13"/>
      <c r="M210" s="194"/>
      <c r="N210" s="206"/>
      <c r="O210" s="377"/>
      <c r="P210" s="197"/>
      <c r="Q210" s="198"/>
      <c r="R210" s="199"/>
      <c r="X210" s="257"/>
    </row>
    <row r="211" spans="1:24" s="12" customFormat="1" x14ac:dyDescent="0.2">
      <c r="A211" s="204" t="str">
        <f>IF(J211&lt;&gt;"",1+MAX($A$18:A210),"")</f>
        <v/>
      </c>
      <c r="B211" s="201"/>
      <c r="C211" s="201"/>
      <c r="D211" s="201"/>
      <c r="E211" s="255"/>
      <c r="F211" s="202" t="s">
        <v>176</v>
      </c>
      <c r="G211" s="311"/>
      <c r="H211" s="190"/>
      <c r="I211" s="317"/>
      <c r="J211" s="192"/>
      <c r="K211" s="373"/>
      <c r="L211" s="228"/>
      <c r="M211" s="194"/>
      <c r="N211" s="206"/>
      <c r="O211" s="377"/>
      <c r="P211" s="197"/>
      <c r="Q211" s="198"/>
      <c r="R211" s="199"/>
      <c r="X211" s="257"/>
    </row>
    <row r="212" spans="1:24" s="12" customFormat="1" x14ac:dyDescent="0.2">
      <c r="A212" s="204">
        <f>IF(J212&lt;&gt;"",1+MAX($A$18:A211),"")</f>
        <v>112</v>
      </c>
      <c r="B212" s="201" t="s">
        <v>471</v>
      </c>
      <c r="C212" s="201" t="s">
        <v>524</v>
      </c>
      <c r="D212" s="201" t="s">
        <v>35</v>
      </c>
      <c r="E212" s="255" t="s">
        <v>72</v>
      </c>
      <c r="F212" s="188" t="s">
        <v>754</v>
      </c>
      <c r="G212" s="310">
        <f>49*2</f>
        <v>98</v>
      </c>
      <c r="H212" s="205">
        <f>IF(VLOOKUP(J212,'HOURLY RATES'!B$116:C$124,2,0)=0,$J$3,VLOOKUP(J212,'HOURLY RATES'!B$116:C$124,2,0))</f>
        <v>0.05</v>
      </c>
      <c r="I212" s="317">
        <f t="shared" ref="I212:I214" si="162">(G212*(1+H212))</f>
        <v>102.9</v>
      </c>
      <c r="J212" s="192" t="s">
        <v>19</v>
      </c>
      <c r="K212" s="382">
        <v>0.05</v>
      </c>
      <c r="L212" s="228">
        <f>K212*I212</f>
        <v>5.1450000000000005</v>
      </c>
      <c r="M212" s="194">
        <f>IF(VLOOKUP(E212,'HOURLY RATES'!C$6:D$105,2,0)=0,$E$3,VLOOKUP(E212,'HOURLY RATES'!C$6:D$105,2,0))</f>
        <v>38.508412499999999</v>
      </c>
      <c r="N212" s="206">
        <f>M212*L212</f>
        <v>198.12578231250001</v>
      </c>
      <c r="O212" s="377">
        <v>1.0920000000000001</v>
      </c>
      <c r="P212" s="197">
        <f>O212*I212</f>
        <v>112.36680000000001</v>
      </c>
      <c r="Q212" s="198">
        <f>P212+N212</f>
        <v>310.49258231250002</v>
      </c>
      <c r="R212" s="199"/>
      <c r="X212" s="257"/>
    </row>
    <row r="213" spans="1:24" s="12" customFormat="1" x14ac:dyDescent="0.2">
      <c r="A213" s="204">
        <f>IF(J213&lt;&gt;"",1+MAX($A$18:A212),"")</f>
        <v>113</v>
      </c>
      <c r="B213" s="201" t="s">
        <v>471</v>
      </c>
      <c r="C213" s="201" t="s">
        <v>524</v>
      </c>
      <c r="D213" s="201" t="s">
        <v>35</v>
      </c>
      <c r="E213" s="255" t="s">
        <v>72</v>
      </c>
      <c r="F213" s="188" t="s">
        <v>755</v>
      </c>
      <c r="G213" s="310">
        <f>524*2</f>
        <v>1048</v>
      </c>
      <c r="H213" s="205">
        <f>IF(VLOOKUP(J213,'HOURLY RATES'!B$116:C$124,2,0)=0,$J$3,VLOOKUP(J213,'HOURLY RATES'!B$116:C$124,2,0))</f>
        <v>0.05</v>
      </c>
      <c r="I213" s="317">
        <f t="shared" si="162"/>
        <v>1100.4000000000001</v>
      </c>
      <c r="J213" s="192" t="s">
        <v>19</v>
      </c>
      <c r="K213" s="382">
        <v>5.3999999999999999E-2</v>
      </c>
      <c r="L213" s="228">
        <f>K213*I213</f>
        <v>59.421600000000005</v>
      </c>
      <c r="M213" s="194">
        <f>IF(VLOOKUP(E213,'HOURLY RATES'!C$6:D$105,2,0)=0,$E$3,VLOOKUP(E213,'HOURLY RATES'!C$6:D$105,2,0))</f>
        <v>38.508412499999999</v>
      </c>
      <c r="N213" s="206">
        <f>M213*L213</f>
        <v>2288.23148421</v>
      </c>
      <c r="O213" s="377">
        <v>1.21</v>
      </c>
      <c r="P213" s="197">
        <f>O213*I213</f>
        <v>1331.4840000000002</v>
      </c>
      <c r="Q213" s="198">
        <f>P213+N213</f>
        <v>3619.7154842099999</v>
      </c>
      <c r="R213" s="199"/>
      <c r="X213" s="257"/>
    </row>
    <row r="214" spans="1:24" s="12" customFormat="1" x14ac:dyDescent="0.2">
      <c r="A214" s="204">
        <f>IF(J214&lt;&gt;"",1+MAX($A$18:A213),"")</f>
        <v>114</v>
      </c>
      <c r="B214" s="201" t="s">
        <v>471</v>
      </c>
      <c r="C214" s="201" t="s">
        <v>524</v>
      </c>
      <c r="D214" s="201" t="s">
        <v>35</v>
      </c>
      <c r="E214" s="255" t="s">
        <v>72</v>
      </c>
      <c r="F214" s="188" t="s">
        <v>756</v>
      </c>
      <c r="G214" s="310">
        <v>396</v>
      </c>
      <c r="H214" s="205">
        <f>IF(VLOOKUP(J214,'HOURLY RATES'!B$116:C$124,2,0)=0,$J$3,VLOOKUP(J214,'HOURLY RATES'!B$116:C$124,2,0))</f>
        <v>0.05</v>
      </c>
      <c r="I214" s="317">
        <f t="shared" si="162"/>
        <v>415.8</v>
      </c>
      <c r="J214" s="192" t="s">
        <v>19</v>
      </c>
      <c r="K214" s="382">
        <v>5.8000000000000003E-2</v>
      </c>
      <c r="L214" s="228">
        <f>K214*I214</f>
        <v>24.116400000000002</v>
      </c>
      <c r="M214" s="194">
        <f>IF(VLOOKUP(E214,'HOURLY RATES'!C$6:D$105,2,0)=0,$E$3,VLOOKUP(E214,'HOURLY RATES'!C$6:D$105,2,0))</f>
        <v>38.508412499999999</v>
      </c>
      <c r="N214" s="206">
        <f>M214*L214</f>
        <v>928.68427921500006</v>
      </c>
      <c r="O214" s="377">
        <v>1.67</v>
      </c>
      <c r="P214" s="197">
        <f>O214*I214</f>
        <v>694.38599999999997</v>
      </c>
      <c r="Q214" s="198">
        <f>P214+N214</f>
        <v>1623.070279215</v>
      </c>
      <c r="R214" s="199"/>
      <c r="X214" s="257"/>
    </row>
    <row r="215" spans="1:24" s="12" customFormat="1" x14ac:dyDescent="0.2">
      <c r="A215" s="204" t="str">
        <f>IF(J215&lt;&gt;"",1+MAX($A$18:A214),"")</f>
        <v/>
      </c>
      <c r="B215" s="201"/>
      <c r="C215" s="201"/>
      <c r="D215" s="201"/>
      <c r="E215" s="255"/>
      <c r="F215" s="188"/>
      <c r="G215" s="310"/>
      <c r="H215" s="205"/>
      <c r="I215" s="317"/>
      <c r="J215" s="192"/>
      <c r="K215" s="382"/>
      <c r="L215" s="228"/>
      <c r="M215" s="194"/>
      <c r="N215" s="206"/>
      <c r="O215" s="377"/>
      <c r="P215" s="197"/>
      <c r="Q215" s="198"/>
      <c r="R215" s="199"/>
      <c r="X215" s="257"/>
    </row>
    <row r="216" spans="1:24" s="12" customFormat="1" x14ac:dyDescent="0.2">
      <c r="A216" s="367">
        <f>IF(J216&lt;&gt;"",1+MAX($A$18:A215),"")</f>
        <v>115</v>
      </c>
      <c r="B216" s="368" t="s">
        <v>630</v>
      </c>
      <c r="C216" s="368" t="s">
        <v>630</v>
      </c>
      <c r="D216" s="201" t="s">
        <v>35</v>
      </c>
      <c r="E216" s="255" t="s">
        <v>72</v>
      </c>
      <c r="F216" s="380" t="s">
        <v>667</v>
      </c>
      <c r="G216" s="366">
        <v>149.03</v>
      </c>
      <c r="H216" s="205">
        <f>IF(VLOOKUP(J216,'HOURLY RATES'!B$116:C$124,2,0)=0,$J$3,VLOOKUP(J216,'HOURLY RATES'!B$116:C$124,2,0))</f>
        <v>0.05</v>
      </c>
      <c r="I216" s="317">
        <f>(G216*(1+H216))</f>
        <v>156.48150000000001</v>
      </c>
      <c r="J216" s="192" t="s">
        <v>19</v>
      </c>
      <c r="K216" s="382">
        <v>6.2E-2</v>
      </c>
      <c r="L216" s="228">
        <f>K216*I216</f>
        <v>9.7018529999999998</v>
      </c>
      <c r="M216" s="194">
        <f>IF(VLOOKUP(E216,'HOURLY RATES'!C$6:D$105,2,0)=0,$E$3,VLOOKUP(E216,'HOURLY RATES'!C$6:D$105,2,0))</f>
        <v>38.508412499999999</v>
      </c>
      <c r="N216" s="206">
        <f>M216*L216</f>
        <v>373.6029573383625</v>
      </c>
      <c r="O216" s="377">
        <v>2.02</v>
      </c>
      <c r="P216" s="197">
        <f>O216*I216</f>
        <v>316.09263000000004</v>
      </c>
      <c r="Q216" s="198">
        <f>P216+N216</f>
        <v>689.69558733836254</v>
      </c>
      <c r="R216" s="199"/>
      <c r="X216" s="257"/>
    </row>
    <row r="217" spans="1:24" s="12" customFormat="1" x14ac:dyDescent="0.2">
      <c r="A217" s="367">
        <f>IF(J217&lt;&gt;"",1+MAX($A$18:A216),"")</f>
        <v>116</v>
      </c>
      <c r="B217" s="368" t="s">
        <v>630</v>
      </c>
      <c r="C217" s="368" t="s">
        <v>630</v>
      </c>
      <c r="D217" s="201" t="s">
        <v>35</v>
      </c>
      <c r="E217" s="255" t="s">
        <v>72</v>
      </c>
      <c r="F217" s="380" t="s">
        <v>670</v>
      </c>
      <c r="G217" s="366">
        <v>33</v>
      </c>
      <c r="H217" s="205">
        <f>IF(VLOOKUP(J217,'HOURLY RATES'!B$116:C$124,2,0)=0,$J$3,VLOOKUP(J217,'HOURLY RATES'!B$116:C$124,2,0))</f>
        <v>0.05</v>
      </c>
      <c r="I217" s="317">
        <f t="shared" ref="I217" si="163">(G217*(1+H217))</f>
        <v>34.65</v>
      </c>
      <c r="J217" s="192" t="s">
        <v>19</v>
      </c>
      <c r="K217" s="382">
        <v>5.8000000000000003E-2</v>
      </c>
      <c r="L217" s="228">
        <f t="shared" ref="L217" si="164">K217*I217</f>
        <v>2.0097</v>
      </c>
      <c r="M217" s="194">
        <f>IF(VLOOKUP(E217,'HOURLY RATES'!C$6:D$105,2,0)=0,$E$3,VLOOKUP(E217,'HOURLY RATES'!C$6:D$105,2,0))</f>
        <v>38.508412499999999</v>
      </c>
      <c r="N217" s="206">
        <f t="shared" ref="N217" si="165">M217*L217</f>
        <v>77.390356601250005</v>
      </c>
      <c r="O217" s="377">
        <v>1.87</v>
      </c>
      <c r="P217" s="197">
        <f t="shared" ref="P217" si="166">O217*I217</f>
        <v>64.795500000000004</v>
      </c>
      <c r="Q217" s="198">
        <f t="shared" ref="Q217" si="167">P217+N217</f>
        <v>142.18585660125001</v>
      </c>
      <c r="R217" s="199"/>
      <c r="X217" s="257"/>
    </row>
    <row r="218" spans="1:24" s="12" customFormat="1" x14ac:dyDescent="0.2">
      <c r="A218" s="367" t="str">
        <f>IF(J218&lt;&gt;"",1+MAX($A$18:A217),"")</f>
        <v/>
      </c>
      <c r="B218" s="368"/>
      <c r="C218" s="368"/>
      <c r="D218" s="201"/>
      <c r="E218" s="255"/>
      <c r="F218" s="380"/>
      <c r="G218" s="366"/>
      <c r="H218" s="205"/>
      <c r="I218" s="317"/>
      <c r="J218" s="192"/>
      <c r="K218" s="382"/>
      <c r="L218" s="228"/>
      <c r="M218" s="194"/>
      <c r="N218" s="206"/>
      <c r="O218" s="377"/>
      <c r="P218" s="197"/>
      <c r="Q218" s="198"/>
      <c r="R218" s="199"/>
      <c r="X218" s="257"/>
    </row>
    <row r="219" spans="1:24" s="12" customFormat="1" x14ac:dyDescent="0.2">
      <c r="A219" s="367">
        <f>IF(J219&lt;&gt;"",1+MAX($A$18:A218),"")</f>
        <v>117</v>
      </c>
      <c r="B219" s="368" t="s">
        <v>530</v>
      </c>
      <c r="C219" s="368" t="s">
        <v>529</v>
      </c>
      <c r="D219" s="201" t="s">
        <v>35</v>
      </c>
      <c r="E219" s="255" t="s">
        <v>43</v>
      </c>
      <c r="F219" s="380" t="s">
        <v>772</v>
      </c>
      <c r="G219" s="366">
        <v>645</v>
      </c>
      <c r="H219" s="205">
        <f>IF(VLOOKUP(J219,'HOURLY RATES'!B$116:C$124,2,0)=0,$J$3,VLOOKUP(J219,'HOURLY RATES'!B$116:C$124,2,0))</f>
        <v>0.05</v>
      </c>
      <c r="I219" s="317">
        <f t="shared" ref="I219" si="168">(G219*(1+H219))</f>
        <v>677.25</v>
      </c>
      <c r="J219" s="192" t="s">
        <v>17</v>
      </c>
      <c r="K219" s="382">
        <v>2.1999999999999999E-2</v>
      </c>
      <c r="L219" s="228">
        <f t="shared" ref="L219" si="169">K219*I219</f>
        <v>14.8995</v>
      </c>
      <c r="M219" s="194">
        <f>IF(VLOOKUP(E219,'HOURLY RATES'!C$6:D$105,2,0)=0,$E$3,VLOOKUP(E219,'HOURLY RATES'!C$6:D$105,2,0))</f>
        <v>38.508412499999999</v>
      </c>
      <c r="N219" s="206">
        <f t="shared" ref="N219" si="170">M219*L219</f>
        <v>573.75609204374996</v>
      </c>
      <c r="O219" s="377">
        <f>48.5/32</f>
        <v>1.515625</v>
      </c>
      <c r="P219" s="197">
        <f t="shared" ref="P219" si="171">O219*I219</f>
        <v>1026.45703125</v>
      </c>
      <c r="Q219" s="198">
        <f t="shared" ref="Q219" si="172">P219+N219</f>
        <v>1600.21312329375</v>
      </c>
      <c r="R219" s="199"/>
      <c r="X219" s="257"/>
    </row>
    <row r="220" spans="1:24" s="12" customFormat="1" x14ac:dyDescent="0.2">
      <c r="A220" s="204" t="str">
        <f>IF(J220&lt;&gt;"",1+MAX($A$18:A219),"")</f>
        <v/>
      </c>
      <c r="B220" s="201"/>
      <c r="C220" s="201"/>
      <c r="D220" s="201"/>
      <c r="E220" s="255"/>
      <c r="F220" s="188"/>
      <c r="G220" s="310"/>
      <c r="H220" s="205"/>
      <c r="I220" s="317"/>
      <c r="J220" s="192"/>
      <c r="K220" s="382"/>
      <c r="L220" s="228"/>
      <c r="M220" s="194"/>
      <c r="N220" s="206"/>
      <c r="O220" s="377"/>
      <c r="P220" s="197"/>
      <c r="Q220" s="198"/>
      <c r="R220" s="199"/>
      <c r="X220" s="257"/>
    </row>
    <row r="221" spans="1:24" s="12" customFormat="1" x14ac:dyDescent="0.2">
      <c r="A221" s="204" t="str">
        <f>IF(J221&lt;&gt;"",1+MAX($A$18:A220),"")</f>
        <v/>
      </c>
      <c r="B221" s="201"/>
      <c r="C221" s="201"/>
      <c r="D221" s="201"/>
      <c r="E221" s="255"/>
      <c r="F221" s="202" t="s">
        <v>719</v>
      </c>
      <c r="G221" s="310"/>
      <c r="H221" s="205"/>
      <c r="I221" s="317"/>
      <c r="J221" s="192"/>
      <c r="K221" s="382"/>
      <c r="L221" s="228"/>
      <c r="M221" s="194"/>
      <c r="N221" s="206"/>
      <c r="O221" s="377"/>
      <c r="P221" s="197"/>
      <c r="Q221" s="198"/>
      <c r="R221" s="199"/>
      <c r="X221" s="257"/>
    </row>
    <row r="222" spans="1:24" s="12" customFormat="1" x14ac:dyDescent="0.2">
      <c r="A222" s="204">
        <f>IF(J222&lt;&gt;"",1+MAX($A$18:A221),"")</f>
        <v>118</v>
      </c>
      <c r="B222" s="201" t="s">
        <v>530</v>
      </c>
      <c r="C222" s="201" t="s">
        <v>529</v>
      </c>
      <c r="D222" s="210" t="s">
        <v>84</v>
      </c>
      <c r="E222" s="255" t="s">
        <v>43</v>
      </c>
      <c r="F222" s="188" t="s">
        <v>769</v>
      </c>
      <c r="G222" s="310">
        <f>2*2*22</f>
        <v>88</v>
      </c>
      <c r="H222" s="205">
        <f>IF(VLOOKUP(J222,'HOURLY RATES'!B$116:C$124,2,0)=0,$J$3,VLOOKUP(J222,'HOURLY RATES'!B$116:C$124,2,0))</f>
        <v>0.05</v>
      </c>
      <c r="I222" s="317">
        <f t="shared" ref="I222:I223" si="173">(G222*(1+H222))</f>
        <v>92.4</v>
      </c>
      <c r="J222" s="192" t="s">
        <v>17</v>
      </c>
      <c r="K222" s="382">
        <v>2.1999999999999999E-2</v>
      </c>
      <c r="L222" s="228">
        <f t="shared" ref="L222" si="174">K222*I222</f>
        <v>2.0327999999999999</v>
      </c>
      <c r="M222" s="194">
        <f>IF(VLOOKUP(E222,'HOURLY RATES'!C$6:D$105,2,0)=0,$E$3,VLOOKUP(E222,'HOURLY RATES'!C$6:D$105,2,0))</f>
        <v>38.508412499999999</v>
      </c>
      <c r="N222" s="206">
        <f t="shared" ref="N222" si="175">M222*L222</f>
        <v>78.279900929999997</v>
      </c>
      <c r="O222" s="377">
        <f>48.5/32</f>
        <v>1.515625</v>
      </c>
      <c r="P222" s="197">
        <f t="shared" ref="P222" si="176">O222*I222</f>
        <v>140.04375000000002</v>
      </c>
      <c r="Q222" s="198">
        <f t="shared" ref="Q222" si="177">P222+N222</f>
        <v>218.32365093000001</v>
      </c>
      <c r="R222" s="199"/>
      <c r="X222" s="257"/>
    </row>
    <row r="223" spans="1:24" s="12" customFormat="1" x14ac:dyDescent="0.2">
      <c r="A223" s="204">
        <f>IF(J223&lt;&gt;"",1+MAX($A$18:A222),"")</f>
        <v>119</v>
      </c>
      <c r="B223" s="201" t="s">
        <v>471</v>
      </c>
      <c r="C223" s="201" t="s">
        <v>524</v>
      </c>
      <c r="D223" s="201" t="s">
        <v>35</v>
      </c>
      <c r="E223" s="255" t="s">
        <v>72</v>
      </c>
      <c r="F223" s="188" t="s">
        <v>532</v>
      </c>
      <c r="G223" s="310">
        <v>2</v>
      </c>
      <c r="H223" s="205">
        <f>IF(VLOOKUP(J223,'HOURLY RATES'!B$116:C$124,2,0)=0,$J$3,VLOOKUP(J223,'HOURLY RATES'!B$116:C$124,2,0))</f>
        <v>0</v>
      </c>
      <c r="I223" s="317">
        <f t="shared" si="173"/>
        <v>2</v>
      </c>
      <c r="J223" s="192" t="s">
        <v>16</v>
      </c>
      <c r="K223" s="382">
        <f>0.08*10</f>
        <v>0.8</v>
      </c>
      <c r="L223" s="228">
        <f>K223*I223</f>
        <v>1.6</v>
      </c>
      <c r="M223" s="194">
        <f>IF(VLOOKUP(E223,'HOURLY RATES'!C$6:D$105,2,0)=0,$E$3,VLOOKUP(E223,'HOURLY RATES'!C$6:D$105,2,0))</f>
        <v>38.508412499999999</v>
      </c>
      <c r="N223" s="206">
        <f>M223*L223</f>
        <v>61.613460000000003</v>
      </c>
      <c r="O223" s="377">
        <f>35.73*13/10</f>
        <v>46.448999999999998</v>
      </c>
      <c r="P223" s="197">
        <f>O223*I223</f>
        <v>92.897999999999996</v>
      </c>
      <c r="Q223" s="198">
        <f>P223+N223</f>
        <v>154.51146</v>
      </c>
      <c r="R223" s="199"/>
      <c r="X223" s="257"/>
    </row>
    <row r="224" spans="1:24" s="12" customFormat="1" ht="16.5" thickBot="1" x14ac:dyDescent="0.25">
      <c r="A224" s="263" t="str">
        <f>IF(J224&lt;&gt;"",1+MAX($A$18:A223),"")</f>
        <v/>
      </c>
      <c r="B224" s="264"/>
      <c r="C224" s="264"/>
      <c r="D224" s="264"/>
      <c r="E224" s="404"/>
      <c r="F224" s="265" t="s">
        <v>28</v>
      </c>
      <c r="G224" s="313"/>
      <c r="H224" s="267"/>
      <c r="I224" s="319"/>
      <c r="J224" s="359"/>
      <c r="K224" s="400"/>
      <c r="L224" s="269"/>
      <c r="M224" s="272"/>
      <c r="N224" s="273"/>
      <c r="O224" s="401"/>
      <c r="P224" s="275"/>
      <c r="Q224" s="276"/>
      <c r="R224" s="277"/>
      <c r="X224" s="257"/>
    </row>
    <row r="225" spans="1:24" s="12" customFormat="1" ht="20.100000000000001" customHeight="1" x14ac:dyDescent="0.2">
      <c r="A225" s="475" t="str">
        <f>IF(J225&lt;&gt;"",1+MAX($A$18:A224),"")</f>
        <v/>
      </c>
      <c r="B225" s="476"/>
      <c r="C225" s="476"/>
      <c r="D225" s="476" t="s">
        <v>48</v>
      </c>
      <c r="E225" s="481"/>
      <c r="F225" s="477" t="s">
        <v>49</v>
      </c>
      <c r="G225" s="482"/>
      <c r="H225" s="479"/>
      <c r="I225" s="483"/>
      <c r="J225" s="483"/>
      <c r="K225" s="484"/>
      <c r="L225" s="479"/>
      <c r="M225" s="479"/>
      <c r="N225" s="479"/>
      <c r="O225" s="484"/>
      <c r="P225" s="479"/>
      <c r="Q225" s="479"/>
      <c r="R225" s="480">
        <f>SUM(Q226:Q280)</f>
        <v>249374.16977371741</v>
      </c>
      <c r="X225" s="257"/>
    </row>
    <row r="226" spans="1:24" s="12" customFormat="1" x14ac:dyDescent="0.2">
      <c r="A226" s="204" t="str">
        <f>IF(J226&lt;&gt;"",1+MAX($A$18:A225),"")</f>
        <v/>
      </c>
      <c r="B226" s="201"/>
      <c r="C226" s="201"/>
      <c r="D226" s="201"/>
      <c r="E226" s="255"/>
      <c r="F226" s="240" t="s">
        <v>28</v>
      </c>
      <c r="G226" s="316"/>
      <c r="H226" s="190"/>
      <c r="I226" s="317"/>
      <c r="J226" s="192"/>
      <c r="K226" s="241"/>
      <c r="L226" s="13"/>
      <c r="M226" s="194"/>
      <c r="N226" s="206"/>
      <c r="O226" s="377"/>
      <c r="P226" s="197"/>
      <c r="Q226" s="198"/>
      <c r="R226" s="199"/>
      <c r="X226" s="257"/>
    </row>
    <row r="227" spans="1:24" s="12" customFormat="1" x14ac:dyDescent="0.2">
      <c r="A227" s="204" t="str">
        <f>IF(J227&lt;&gt;"",1+MAX($A$18:A226),"")</f>
        <v/>
      </c>
      <c r="B227" s="201"/>
      <c r="C227" s="201"/>
      <c r="D227" s="201"/>
      <c r="E227" s="255"/>
      <c r="F227" s="202" t="s">
        <v>50</v>
      </c>
      <c r="G227" s="311"/>
      <c r="H227" s="190"/>
      <c r="I227" s="317"/>
      <c r="J227" s="192"/>
      <c r="K227" s="373"/>
      <c r="L227" s="228"/>
      <c r="M227" s="194"/>
      <c r="N227" s="206"/>
      <c r="O227" s="377"/>
      <c r="P227" s="197"/>
      <c r="Q227" s="198"/>
      <c r="R227" s="199"/>
      <c r="X227" s="257"/>
    </row>
    <row r="228" spans="1:24" s="12" customFormat="1" x14ac:dyDescent="0.2">
      <c r="A228" s="204">
        <f>IF(J228&lt;&gt;"",1+MAX($A$18:A227),"")</f>
        <v>120</v>
      </c>
      <c r="B228" s="201" t="s">
        <v>419</v>
      </c>
      <c r="C228" s="201" t="s">
        <v>419</v>
      </c>
      <c r="D228" s="201" t="s">
        <v>48</v>
      </c>
      <c r="E228" s="255" t="s">
        <v>62</v>
      </c>
      <c r="F228" s="246" t="s">
        <v>395</v>
      </c>
      <c r="G228" s="310">
        <f>10302.82+(403.16*2.5)</f>
        <v>11310.72</v>
      </c>
      <c r="H228" s="205">
        <f>IF(VLOOKUP(J228,'HOURLY RATES'!B$116:C$124,2,0)=0,$J$3,VLOOKUP(J228,'HOURLY RATES'!B$116:C$124,2,0))</f>
        <v>0.05</v>
      </c>
      <c r="I228" s="317">
        <f t="shared" ref="I228:I239" si="178">(G228*(1+H228))</f>
        <v>11876.255999999999</v>
      </c>
      <c r="J228" s="192" t="s">
        <v>17</v>
      </c>
      <c r="K228" s="382">
        <v>1.2E-2</v>
      </c>
      <c r="L228" s="228">
        <f>K228*I228</f>
        <v>142.515072</v>
      </c>
      <c r="M228" s="194">
        <f>IF(VLOOKUP(E228,'HOURLY RATES'!C$6:D$105,2,0)=0,$E$3,VLOOKUP(E228,'HOURLY RATES'!C$6:D$105,2,0))</f>
        <v>55.8166875</v>
      </c>
      <c r="N228" s="206">
        <f>M228*L228</f>
        <v>7954.7192378640002</v>
      </c>
      <c r="O228" s="377">
        <v>1.2</v>
      </c>
      <c r="P228" s="197">
        <f>O228*I228</f>
        <v>14251.507199999998</v>
      </c>
      <c r="Q228" s="198">
        <f>P228+N228</f>
        <v>22206.226437863999</v>
      </c>
      <c r="R228" s="199"/>
      <c r="X228" s="257"/>
    </row>
    <row r="229" spans="1:24" s="12" customFormat="1" ht="31.5" x14ac:dyDescent="0.2">
      <c r="A229" s="204">
        <f>IF(J229&lt;&gt;"",1+MAX($A$18:A228),"")</f>
        <v>121</v>
      </c>
      <c r="B229" s="201" t="s">
        <v>419</v>
      </c>
      <c r="C229" s="201" t="s">
        <v>419</v>
      </c>
      <c r="D229" s="201" t="s">
        <v>48</v>
      </c>
      <c r="E229" s="255" t="s">
        <v>294</v>
      </c>
      <c r="F229" s="246" t="s">
        <v>406</v>
      </c>
      <c r="G229" s="310">
        <v>10302.82</v>
      </c>
      <c r="H229" s="205">
        <f>IF(VLOOKUP(J229,'HOURLY RATES'!B$116:C$124,2,0)=0,$J$3,VLOOKUP(J229,'HOURLY RATES'!B$116:C$124,2,0))</f>
        <v>0.05</v>
      </c>
      <c r="I229" s="317">
        <f t="shared" ref="I229:I231" si="179">(G229*(1+H229))</f>
        <v>10817.960999999999</v>
      </c>
      <c r="J229" s="192" t="s">
        <v>17</v>
      </c>
      <c r="K229" s="382">
        <v>4.0000000000000001E-3</v>
      </c>
      <c r="L229" s="228">
        <f t="shared" ref="L229:L231" si="180">K229*I229</f>
        <v>43.271844000000002</v>
      </c>
      <c r="M229" s="194">
        <f>IF(VLOOKUP(E229,'HOURLY RATES'!C$6:D$105,2,0)=0,$E$3,VLOOKUP(E229,'HOURLY RATES'!C$6:D$105,2,0))</f>
        <v>69.352762499999983</v>
      </c>
      <c r="N229" s="206">
        <f t="shared" ref="N229:N231" si="181">M229*L229</f>
        <v>3001.0219198690493</v>
      </c>
      <c r="O229" s="377">
        <v>0.2</v>
      </c>
      <c r="P229" s="197">
        <f t="shared" ref="P229:P231" si="182">O229*I229</f>
        <v>2163.5922</v>
      </c>
      <c r="Q229" s="198">
        <f t="shared" ref="Q229:Q231" si="183">P229+N229</f>
        <v>5164.6141198690493</v>
      </c>
      <c r="R229" s="199"/>
      <c r="X229" s="257"/>
    </row>
    <row r="230" spans="1:24" s="12" customFormat="1" ht="31.5" x14ac:dyDescent="0.2">
      <c r="A230" s="204">
        <f>IF(J230&lt;&gt;"",1+MAX($A$18:A229),"")</f>
        <v>122</v>
      </c>
      <c r="B230" s="201" t="s">
        <v>419</v>
      </c>
      <c r="C230" s="201" t="s">
        <v>419</v>
      </c>
      <c r="D230" s="201" t="s">
        <v>48</v>
      </c>
      <c r="E230" s="255" t="s">
        <v>294</v>
      </c>
      <c r="F230" s="246" t="s">
        <v>407</v>
      </c>
      <c r="G230" s="310">
        <v>10302.82</v>
      </c>
      <c r="H230" s="205">
        <f>IF(VLOOKUP(J230,'HOURLY RATES'!B$116:C$124,2,0)=0,$J$3,VLOOKUP(J230,'HOURLY RATES'!B$116:C$124,2,0))</f>
        <v>0.05</v>
      </c>
      <c r="I230" s="317">
        <f t="shared" si="179"/>
        <v>10817.960999999999</v>
      </c>
      <c r="J230" s="192" t="s">
        <v>17</v>
      </c>
      <c r="K230" s="382">
        <v>2.5000000000000001E-2</v>
      </c>
      <c r="L230" s="228">
        <f t="shared" si="180"/>
        <v>270.44902500000001</v>
      </c>
      <c r="M230" s="194">
        <f>IF(VLOOKUP(E230,'HOURLY RATES'!C$6:D$105,2,0)=0,$E$3,VLOOKUP(E230,'HOURLY RATES'!C$6:D$105,2,0))</f>
        <v>69.352762499999983</v>
      </c>
      <c r="N230" s="206">
        <f t="shared" si="181"/>
        <v>18756.386999181559</v>
      </c>
      <c r="O230" s="377">
        <f>(7232.88/320/6)*5.5/4.5</f>
        <v>4.6042638888888892</v>
      </c>
      <c r="P230" s="197">
        <f t="shared" si="182"/>
        <v>49808.747183708336</v>
      </c>
      <c r="Q230" s="198">
        <f t="shared" si="183"/>
        <v>68565.134182889888</v>
      </c>
      <c r="R230" s="199"/>
      <c r="X230" s="257"/>
    </row>
    <row r="231" spans="1:24" s="12" customFormat="1" x14ac:dyDescent="0.2">
      <c r="A231" s="204">
        <f>IF(J231&lt;&gt;"",1+MAX($A$18:A230),"")</f>
        <v>123</v>
      </c>
      <c r="B231" s="201" t="s">
        <v>419</v>
      </c>
      <c r="C231" s="201" t="s">
        <v>419</v>
      </c>
      <c r="D231" s="201" t="s">
        <v>48</v>
      </c>
      <c r="E231" s="255" t="s">
        <v>62</v>
      </c>
      <c r="F231" s="246" t="s">
        <v>408</v>
      </c>
      <c r="G231" s="310">
        <v>10302.82</v>
      </c>
      <c r="H231" s="205">
        <f>IF(VLOOKUP(J231,'HOURLY RATES'!B$116:C$124,2,0)=0,$J$3,VLOOKUP(J231,'HOURLY RATES'!B$116:C$124,2,0))</f>
        <v>0.05</v>
      </c>
      <c r="I231" s="317">
        <f t="shared" si="179"/>
        <v>10817.960999999999</v>
      </c>
      <c r="J231" s="192" t="s">
        <v>17</v>
      </c>
      <c r="K231" s="382">
        <v>1.2E-2</v>
      </c>
      <c r="L231" s="228">
        <f t="shared" si="180"/>
        <v>129.81553199999999</v>
      </c>
      <c r="M231" s="194">
        <f>IF(VLOOKUP(E231,'HOURLY RATES'!C$6:D$105,2,0)=0,$E$3,VLOOKUP(E231,'HOURLY RATES'!C$6:D$105,2,0))</f>
        <v>55.8166875</v>
      </c>
      <c r="N231" s="206">
        <f t="shared" si="181"/>
        <v>7245.8729822902496</v>
      </c>
      <c r="O231" s="229">
        <f>26.99/32</f>
        <v>0.84343749999999995</v>
      </c>
      <c r="P231" s="197">
        <f t="shared" si="182"/>
        <v>9124.2739809374998</v>
      </c>
      <c r="Q231" s="198">
        <f t="shared" si="183"/>
        <v>16370.146963227749</v>
      </c>
      <c r="R231" s="199"/>
      <c r="X231" s="257"/>
    </row>
    <row r="232" spans="1:24" s="12" customFormat="1" x14ac:dyDescent="0.2">
      <c r="A232" s="204" t="str">
        <f>IF(J232&lt;&gt;"",1+MAX($A$18:A231),"")</f>
        <v/>
      </c>
      <c r="B232" s="201"/>
      <c r="C232" s="201"/>
      <c r="D232" s="201"/>
      <c r="E232" s="255"/>
      <c r="F232" s="246"/>
      <c r="G232" s="310"/>
      <c r="H232" s="205"/>
      <c r="I232" s="317"/>
      <c r="J232" s="192"/>
      <c r="K232" s="382"/>
      <c r="L232" s="228"/>
      <c r="M232" s="194"/>
      <c r="N232" s="206"/>
      <c r="O232" s="229"/>
      <c r="P232" s="197"/>
      <c r="Q232" s="198"/>
      <c r="R232" s="199"/>
      <c r="X232" s="257"/>
    </row>
    <row r="233" spans="1:24" s="12" customFormat="1" x14ac:dyDescent="0.2">
      <c r="A233" s="204">
        <f>IF(J233&lt;&gt;"",1+MAX($A$18:A232),"")</f>
        <v>124</v>
      </c>
      <c r="B233" s="201" t="s">
        <v>419</v>
      </c>
      <c r="C233" s="201" t="s">
        <v>420</v>
      </c>
      <c r="D233" s="201" t="s">
        <v>48</v>
      </c>
      <c r="E233" s="255" t="s">
        <v>62</v>
      </c>
      <c r="F233" s="246" t="s">
        <v>421</v>
      </c>
      <c r="G233" s="310">
        <f>(463.99*1.02)</f>
        <v>473.26980000000003</v>
      </c>
      <c r="H233" s="205">
        <f>IF(VLOOKUP(J233,'HOURLY RATES'!B$116:C$124,2,0)=0,$J$3,VLOOKUP(J233,'HOURLY RATES'!B$116:C$124,2,0))</f>
        <v>0.05</v>
      </c>
      <c r="I233" s="317">
        <f t="shared" si="178"/>
        <v>496.93329000000006</v>
      </c>
      <c r="J233" s="192" t="s">
        <v>17</v>
      </c>
      <c r="K233" s="382">
        <v>6.5000000000000002E-2</v>
      </c>
      <c r="L233" s="228">
        <f>K233*I233</f>
        <v>32.300663850000007</v>
      </c>
      <c r="M233" s="194">
        <f>IF(VLOOKUP(E233,'HOURLY RATES'!C$6:D$105,2,0)=0,$E$3,VLOOKUP(E233,'HOURLY RATES'!C$6:D$105,2,0))</f>
        <v>55.8166875</v>
      </c>
      <c r="N233" s="206">
        <f>M233*L233</f>
        <v>1802.9160601579972</v>
      </c>
      <c r="O233" s="229">
        <v>3.2</v>
      </c>
      <c r="P233" s="197">
        <f>O233*I233</f>
        <v>1590.1865280000002</v>
      </c>
      <c r="Q233" s="198">
        <f>P233+N233</f>
        <v>3393.1025881579972</v>
      </c>
      <c r="R233" s="199"/>
      <c r="X233" s="257"/>
    </row>
    <row r="234" spans="1:24" s="12" customFormat="1" ht="31.5" x14ac:dyDescent="0.2">
      <c r="A234" s="204">
        <f>IF(J234&lt;&gt;"",1+MAX($A$18:A233),"")</f>
        <v>125</v>
      </c>
      <c r="B234" s="201" t="s">
        <v>419</v>
      </c>
      <c r="C234" s="201" t="s">
        <v>420</v>
      </c>
      <c r="D234" s="201" t="s">
        <v>48</v>
      </c>
      <c r="E234" s="255" t="s">
        <v>294</v>
      </c>
      <c r="F234" s="246" t="s">
        <v>418</v>
      </c>
      <c r="G234" s="310">
        <f t="shared" ref="G234:G237" si="184">(463.99*1.02)</f>
        <v>473.26980000000003</v>
      </c>
      <c r="H234" s="205">
        <f>IF(VLOOKUP(J234,'HOURLY RATES'!B$116:C$124,2,0)=0,$J$3,VLOOKUP(J234,'HOURLY RATES'!B$116:C$124,2,0))</f>
        <v>0.05</v>
      </c>
      <c r="I234" s="317">
        <f t="shared" ref="I234:I236" si="185">(G234*(1+H234))</f>
        <v>496.93329000000006</v>
      </c>
      <c r="J234" s="192" t="s">
        <v>17</v>
      </c>
      <c r="K234" s="233">
        <v>0.01</v>
      </c>
      <c r="L234" s="228">
        <f t="shared" ref="L234:L236" si="186">K234*I234</f>
        <v>4.9693329000000004</v>
      </c>
      <c r="M234" s="194">
        <f>IF(VLOOKUP(E234,'HOURLY RATES'!C$6:D$105,2,0)=0,$E$3,VLOOKUP(E234,'HOURLY RATES'!C$6:D$105,2,0))</f>
        <v>69.352762499999983</v>
      </c>
      <c r="N234" s="206">
        <f t="shared" ref="N234:N236" si="187">M234*L234</f>
        <v>344.63696439713618</v>
      </c>
      <c r="O234" s="229">
        <v>1.1000000000000001</v>
      </c>
      <c r="P234" s="197">
        <f t="shared" ref="P234:P236" si="188">O234*I234</f>
        <v>546.62661900000012</v>
      </c>
      <c r="Q234" s="198">
        <f t="shared" ref="Q234:Q236" si="189">P234+N234</f>
        <v>891.26358339713624</v>
      </c>
      <c r="R234" s="199"/>
      <c r="X234" s="257"/>
    </row>
    <row r="235" spans="1:24" s="12" customFormat="1" ht="31.5" x14ac:dyDescent="0.2">
      <c r="A235" s="204">
        <f>IF(J235&lt;&gt;"",1+MAX($A$18:A234),"")</f>
        <v>126</v>
      </c>
      <c r="B235" s="201" t="s">
        <v>419</v>
      </c>
      <c r="C235" s="201" t="s">
        <v>420</v>
      </c>
      <c r="D235" s="201" t="s">
        <v>48</v>
      </c>
      <c r="E235" s="255" t="s">
        <v>294</v>
      </c>
      <c r="F235" s="246" t="s">
        <v>406</v>
      </c>
      <c r="G235" s="310">
        <f t="shared" si="184"/>
        <v>473.26980000000003</v>
      </c>
      <c r="H235" s="205">
        <f>IF(VLOOKUP(J235,'HOURLY RATES'!B$116:C$124,2,0)=0,$J$3,VLOOKUP(J235,'HOURLY RATES'!B$116:C$124,2,0))</f>
        <v>0.05</v>
      </c>
      <c r="I235" s="317">
        <f t="shared" si="185"/>
        <v>496.93329000000006</v>
      </c>
      <c r="J235" s="192" t="s">
        <v>17</v>
      </c>
      <c r="K235" s="233">
        <v>4.0000000000000001E-3</v>
      </c>
      <c r="L235" s="228">
        <f t="shared" si="186"/>
        <v>1.9877331600000003</v>
      </c>
      <c r="M235" s="194">
        <f>IF(VLOOKUP(E235,'HOURLY RATES'!C$6:D$105,2,0)=0,$E$3,VLOOKUP(E235,'HOURLY RATES'!C$6:D$105,2,0))</f>
        <v>69.352762499999983</v>
      </c>
      <c r="N235" s="206">
        <f t="shared" si="187"/>
        <v>137.85478575885449</v>
      </c>
      <c r="O235" s="229">
        <v>0.2</v>
      </c>
      <c r="P235" s="197">
        <f t="shared" si="188"/>
        <v>99.386658000000011</v>
      </c>
      <c r="Q235" s="198">
        <f t="shared" si="189"/>
        <v>237.2414437588545</v>
      </c>
      <c r="R235" s="199"/>
      <c r="X235" s="257"/>
    </row>
    <row r="236" spans="1:24" s="12" customFormat="1" x14ac:dyDescent="0.2">
      <c r="A236" s="204">
        <f>IF(J236&lt;&gt;"",1+MAX($A$18:A235),"")</f>
        <v>127</v>
      </c>
      <c r="B236" s="201" t="s">
        <v>419</v>
      </c>
      <c r="C236" s="201" t="s">
        <v>420</v>
      </c>
      <c r="D236" s="201" t="s">
        <v>48</v>
      </c>
      <c r="E236" s="255" t="s">
        <v>62</v>
      </c>
      <c r="F236" s="246" t="s">
        <v>720</v>
      </c>
      <c r="G236" s="310">
        <f t="shared" si="184"/>
        <v>473.26980000000003</v>
      </c>
      <c r="H236" s="205">
        <f>IF(VLOOKUP(J236,'HOURLY RATES'!B$116:C$124,2,0)=0,$J$3,VLOOKUP(J236,'HOURLY RATES'!B$116:C$124,2,0))</f>
        <v>0.05</v>
      </c>
      <c r="I236" s="317">
        <f t="shared" si="185"/>
        <v>496.93329000000006</v>
      </c>
      <c r="J236" s="192" t="s">
        <v>17</v>
      </c>
      <c r="K236" s="382">
        <v>1.2E-2</v>
      </c>
      <c r="L236" s="228">
        <f t="shared" si="186"/>
        <v>5.963199480000001</v>
      </c>
      <c r="M236" s="194">
        <f>IF(VLOOKUP(E236,'HOURLY RATES'!C$6:D$105,2,0)=0,$E$3,VLOOKUP(E236,'HOURLY RATES'!C$6:D$105,2,0))</f>
        <v>55.8166875</v>
      </c>
      <c r="N236" s="206">
        <f t="shared" si="187"/>
        <v>332.84604187532256</v>
      </c>
      <c r="O236" s="229">
        <f>26.99/32</f>
        <v>0.84343749999999995</v>
      </c>
      <c r="P236" s="197">
        <f t="shared" si="188"/>
        <v>419.13217178437503</v>
      </c>
      <c r="Q236" s="198">
        <f t="shared" si="189"/>
        <v>751.97821365969753</v>
      </c>
      <c r="R236" s="199"/>
      <c r="X236" s="257"/>
    </row>
    <row r="237" spans="1:24" s="12" customFormat="1" x14ac:dyDescent="0.2">
      <c r="A237" s="204">
        <f>IF(J237&lt;&gt;"",1+MAX($A$18:A236),"")</f>
        <v>128</v>
      </c>
      <c r="B237" s="201" t="s">
        <v>419</v>
      </c>
      <c r="C237" s="201" t="s">
        <v>420</v>
      </c>
      <c r="D237" s="201" t="s">
        <v>48</v>
      </c>
      <c r="E237" s="255" t="s">
        <v>62</v>
      </c>
      <c r="F237" s="246" t="s">
        <v>721</v>
      </c>
      <c r="G237" s="310">
        <f t="shared" si="184"/>
        <v>473.26980000000003</v>
      </c>
      <c r="H237" s="205">
        <f>IF(VLOOKUP(J237,'HOURLY RATES'!B$116:C$124,2,0)=0,$J$3,VLOOKUP(J237,'HOURLY RATES'!B$116:C$124,2,0))</f>
        <v>0.05</v>
      </c>
      <c r="I237" s="317">
        <f t="shared" ref="I237" si="190">(G237*(1+H237))</f>
        <v>496.93329000000006</v>
      </c>
      <c r="J237" s="192" t="s">
        <v>17</v>
      </c>
      <c r="K237" s="233">
        <v>0.01</v>
      </c>
      <c r="L237" s="228">
        <f t="shared" ref="L237" si="191">K237*I237</f>
        <v>4.9693329000000004</v>
      </c>
      <c r="M237" s="194">
        <f>IF(VLOOKUP(E237,'HOURLY RATES'!C$6:D$105,2,0)=0,$E$3,VLOOKUP(E237,'HOURLY RATES'!C$6:D$105,2,0))</f>
        <v>55.8166875</v>
      </c>
      <c r="N237" s="206">
        <f t="shared" ref="N237" si="192">M237*L237</f>
        <v>277.37170156276875</v>
      </c>
      <c r="O237" s="229">
        <f>235.87/225</f>
        <v>1.0483111111111112</v>
      </c>
      <c r="P237" s="197">
        <f t="shared" ref="P237" si="193">O237*I237</f>
        <v>520.94068938800012</v>
      </c>
      <c r="Q237" s="198">
        <f t="shared" ref="Q237" si="194">P237+N237</f>
        <v>798.31239095076887</v>
      </c>
      <c r="R237" s="199"/>
      <c r="X237" s="257"/>
    </row>
    <row r="238" spans="1:24" s="12" customFormat="1" x14ac:dyDescent="0.2">
      <c r="A238" s="204" t="str">
        <f>IF(J238&lt;&gt;"",1+MAX($A$18:A237),"")</f>
        <v/>
      </c>
      <c r="B238" s="201"/>
      <c r="C238" s="201"/>
      <c r="D238" s="201"/>
      <c r="E238" s="255"/>
      <c r="F238" s="246"/>
      <c r="G238" s="310"/>
      <c r="H238" s="205"/>
      <c r="I238" s="317"/>
      <c r="J238" s="192"/>
      <c r="K238" s="233"/>
      <c r="L238" s="228"/>
      <c r="M238" s="194"/>
      <c r="N238" s="206"/>
      <c r="O238" s="229"/>
      <c r="P238" s="197"/>
      <c r="Q238" s="198"/>
      <c r="R238" s="199"/>
      <c r="X238" s="257"/>
    </row>
    <row r="239" spans="1:24" s="12" customFormat="1" x14ac:dyDescent="0.2">
      <c r="A239" s="204">
        <f>IF(J239&lt;&gt;"",1+MAX($A$18:A238),"")</f>
        <v>129</v>
      </c>
      <c r="B239" s="201" t="s">
        <v>419</v>
      </c>
      <c r="C239" s="201" t="s">
        <v>419</v>
      </c>
      <c r="D239" s="201" t="s">
        <v>48</v>
      </c>
      <c r="E239" s="255" t="s">
        <v>62</v>
      </c>
      <c r="F239" s="246" t="s">
        <v>396</v>
      </c>
      <c r="G239" s="310">
        <v>1468.86</v>
      </c>
      <c r="H239" s="205">
        <f>IF(VLOOKUP(J239,'HOURLY RATES'!B$116:C$124,2,0)=0,$J$3,VLOOKUP(J239,'HOURLY RATES'!B$116:C$124,2,0))</f>
        <v>0.05</v>
      </c>
      <c r="I239" s="317">
        <f t="shared" si="178"/>
        <v>1542.3029999999999</v>
      </c>
      <c r="J239" s="192" t="s">
        <v>17</v>
      </c>
      <c r="K239" s="233">
        <v>0.1</v>
      </c>
      <c r="L239" s="228">
        <f>K239*I239</f>
        <v>154.2303</v>
      </c>
      <c r="M239" s="194">
        <f>IF(VLOOKUP(E239,'HOURLY RATES'!C$6:D$105,2,0)=0,$E$3,VLOOKUP(E239,'HOURLY RATES'!C$6:D$105,2,0))</f>
        <v>55.8166875</v>
      </c>
      <c r="N239" s="206">
        <f>M239*L239</f>
        <v>8608.6244581312494</v>
      </c>
      <c r="O239" s="229">
        <v>3.4</v>
      </c>
      <c r="P239" s="197">
        <f>O239*I239</f>
        <v>5243.8301999999994</v>
      </c>
      <c r="Q239" s="198">
        <f>P239+N239</f>
        <v>13852.45465813125</v>
      </c>
      <c r="R239" s="199"/>
      <c r="X239" s="257"/>
    </row>
    <row r="240" spans="1:24" s="12" customFormat="1" x14ac:dyDescent="0.2">
      <c r="A240" s="204">
        <f>IF(J240&lt;&gt;"",1+MAX($A$18:A239),"")</f>
        <v>130</v>
      </c>
      <c r="B240" s="201" t="s">
        <v>419</v>
      </c>
      <c r="C240" s="201" t="s">
        <v>419</v>
      </c>
      <c r="D240" s="201" t="s">
        <v>48</v>
      </c>
      <c r="E240" s="255" t="s">
        <v>62</v>
      </c>
      <c r="F240" s="246" t="s">
        <v>397</v>
      </c>
      <c r="G240" s="310">
        <v>395.84</v>
      </c>
      <c r="H240" s="205">
        <f>IF(VLOOKUP(J240,'HOURLY RATES'!B$116:C$124,2,0)=0,$J$3,VLOOKUP(J240,'HOURLY RATES'!B$116:C$124,2,0))</f>
        <v>0.05</v>
      </c>
      <c r="I240" s="317">
        <f t="shared" ref="I240" si="195">(G240*(1+H240))</f>
        <v>415.63200000000001</v>
      </c>
      <c r="J240" s="192" t="s">
        <v>19</v>
      </c>
      <c r="K240" s="233">
        <v>0.04</v>
      </c>
      <c r="L240" s="228">
        <f>K240*I240</f>
        <v>16.62528</v>
      </c>
      <c r="M240" s="194">
        <f>IF(VLOOKUP(E240,'HOURLY RATES'!C$6:D$105,2,0)=0,$E$3,VLOOKUP(E240,'HOURLY RATES'!C$6:D$105,2,0))</f>
        <v>55.8166875</v>
      </c>
      <c r="N240" s="206">
        <f>M240*L240</f>
        <v>927.96805835999999</v>
      </c>
      <c r="O240" s="229">
        <v>4.4000000000000004</v>
      </c>
      <c r="P240" s="197">
        <f>O240*I240</f>
        <v>1828.7808000000002</v>
      </c>
      <c r="Q240" s="198">
        <f>P240+N240</f>
        <v>2756.7488583600002</v>
      </c>
      <c r="R240" s="199"/>
      <c r="X240" s="257"/>
    </row>
    <row r="241" spans="1:24" s="12" customFormat="1" x14ac:dyDescent="0.2">
      <c r="A241" s="204">
        <f>IF(J241&lt;&gt;"",1+MAX($A$18:A240),"")</f>
        <v>131</v>
      </c>
      <c r="B241" s="201" t="s">
        <v>419</v>
      </c>
      <c r="C241" s="201" t="s">
        <v>419</v>
      </c>
      <c r="D241" s="201" t="s">
        <v>48</v>
      </c>
      <c r="E241" s="255" t="s">
        <v>62</v>
      </c>
      <c r="F241" s="246" t="s">
        <v>398</v>
      </c>
      <c r="G241" s="310">
        <v>13.63</v>
      </c>
      <c r="H241" s="205">
        <f>IF(VLOOKUP(J241,'HOURLY RATES'!B$116:C$124,2,0)=0,$J$3,VLOOKUP(J241,'HOURLY RATES'!B$116:C$124,2,0))</f>
        <v>0.05</v>
      </c>
      <c r="I241" s="317">
        <f t="shared" ref="I241:I252" si="196">(G241*(1+H241))</f>
        <v>14.311500000000001</v>
      </c>
      <c r="J241" s="192" t="s">
        <v>19</v>
      </c>
      <c r="K241" s="233">
        <v>4.1000000000000002E-2</v>
      </c>
      <c r="L241" s="228">
        <f t="shared" ref="L241:L251" si="197">K241*I241</f>
        <v>0.5867715</v>
      </c>
      <c r="M241" s="194">
        <f>IF(VLOOKUP(E241,'HOURLY RATES'!C$6:D$105,2,0)=0,$E$3,VLOOKUP(E241,'HOURLY RATES'!C$6:D$105,2,0))</f>
        <v>55.8166875</v>
      </c>
      <c r="N241" s="206">
        <f t="shared" ref="N241:N251" si="198">M241*L241</f>
        <v>32.75164144940625</v>
      </c>
      <c r="O241" s="229">
        <f>34/8</f>
        <v>4.25</v>
      </c>
      <c r="P241" s="197">
        <f t="shared" ref="P241:P244" si="199">O241*I241</f>
        <v>60.823875000000001</v>
      </c>
      <c r="Q241" s="198">
        <f t="shared" ref="Q241:Q251" si="200">P241+N241</f>
        <v>93.575516449406251</v>
      </c>
      <c r="R241" s="199"/>
      <c r="X241" s="257"/>
    </row>
    <row r="242" spans="1:24" s="12" customFormat="1" x14ac:dyDescent="0.2">
      <c r="A242" s="204">
        <f>IF(J242&lt;&gt;"",1+MAX($A$18:A241),"")</f>
        <v>132</v>
      </c>
      <c r="B242" s="201" t="s">
        <v>419</v>
      </c>
      <c r="C242" s="201" t="s">
        <v>419</v>
      </c>
      <c r="D242" s="201" t="s">
        <v>48</v>
      </c>
      <c r="E242" s="255" t="s">
        <v>62</v>
      </c>
      <c r="F242" s="246" t="s">
        <v>399</v>
      </c>
      <c r="G242" s="310">
        <v>14.84</v>
      </c>
      <c r="H242" s="205">
        <f>IF(VLOOKUP(J242,'HOURLY RATES'!B$116:C$124,2,0)=0,$J$3,VLOOKUP(J242,'HOURLY RATES'!B$116:C$124,2,0))</f>
        <v>0.05</v>
      </c>
      <c r="I242" s="317">
        <f t="shared" si="196"/>
        <v>15.582000000000001</v>
      </c>
      <c r="J242" s="192" t="s">
        <v>19</v>
      </c>
      <c r="K242" s="233">
        <v>4.2000000000000003E-2</v>
      </c>
      <c r="L242" s="228">
        <f>K242*I242</f>
        <v>0.65444400000000003</v>
      </c>
      <c r="M242" s="194">
        <f>IF(VLOOKUP(E242,'HOURLY RATES'!C$6:D$105,2,0)=0,$E$3,VLOOKUP(E242,'HOURLY RATES'!C$6:D$105,2,0))</f>
        <v>55.8166875</v>
      </c>
      <c r="N242" s="206">
        <f>M242*L242</f>
        <v>36.528896234249999</v>
      </c>
      <c r="O242" s="229">
        <v>4.4000000000000004</v>
      </c>
      <c r="P242" s="197">
        <f t="shared" si="199"/>
        <v>68.560800000000015</v>
      </c>
      <c r="Q242" s="198">
        <f t="shared" si="200"/>
        <v>105.08969623425001</v>
      </c>
      <c r="R242" s="199"/>
      <c r="X242" s="257"/>
    </row>
    <row r="243" spans="1:24" s="12" customFormat="1" x14ac:dyDescent="0.2">
      <c r="A243" s="204">
        <f>IF(J243&lt;&gt;"",1+MAX($A$18:A242),"")</f>
        <v>133</v>
      </c>
      <c r="B243" s="201" t="s">
        <v>419</v>
      </c>
      <c r="C243" s="201" t="s">
        <v>419</v>
      </c>
      <c r="D243" s="201" t="s">
        <v>48</v>
      </c>
      <c r="E243" s="255" t="s">
        <v>62</v>
      </c>
      <c r="F243" s="246" t="s">
        <v>669</v>
      </c>
      <c r="G243" s="310">
        <f>32.65+149</f>
        <v>181.65</v>
      </c>
      <c r="H243" s="205">
        <f>IF(VLOOKUP(J243,'HOURLY RATES'!B$116:C$124,2,0)=0,$J$3,VLOOKUP(J243,'HOURLY RATES'!B$116:C$124,2,0))</f>
        <v>0.05</v>
      </c>
      <c r="I243" s="317">
        <f t="shared" ref="I243" si="201">(G243*(1+H243))</f>
        <v>190.73250000000002</v>
      </c>
      <c r="J243" s="192" t="s">
        <v>19</v>
      </c>
      <c r="K243" s="233">
        <v>1.6E-2</v>
      </c>
      <c r="L243" s="228">
        <f t="shared" ref="L243" si="202">K243*I243</f>
        <v>3.0517200000000004</v>
      </c>
      <c r="M243" s="194">
        <f>IF(VLOOKUP(E243,'HOURLY RATES'!C$6:D$105,2,0)=0,$E$3,VLOOKUP(E243,'HOURLY RATES'!C$6:D$105,2,0))</f>
        <v>55.8166875</v>
      </c>
      <c r="N243" s="206">
        <f t="shared" ref="N243" si="203">M243*L243</f>
        <v>170.33690157750002</v>
      </c>
      <c r="O243" s="229">
        <v>0.05</v>
      </c>
      <c r="P243" s="197">
        <f t="shared" ref="P243" si="204">O243*I243</f>
        <v>9.5366250000000008</v>
      </c>
      <c r="Q243" s="198">
        <f t="shared" ref="Q243" si="205">P243+N243</f>
        <v>179.8735265775</v>
      </c>
      <c r="R243" s="199"/>
      <c r="X243" s="257"/>
    </row>
    <row r="244" spans="1:24" s="12" customFormat="1" x14ac:dyDescent="0.2">
      <c r="A244" s="204">
        <f>IF(J244&lt;&gt;"",1+MAX($A$18:A243),"")</f>
        <v>134</v>
      </c>
      <c r="B244" s="201" t="s">
        <v>419</v>
      </c>
      <c r="C244" s="201" t="s">
        <v>419</v>
      </c>
      <c r="D244" s="201" t="s">
        <v>48</v>
      </c>
      <c r="E244" s="255" t="s">
        <v>62</v>
      </c>
      <c r="F244" s="246" t="s">
        <v>400</v>
      </c>
      <c r="G244" s="310">
        <v>40.97</v>
      </c>
      <c r="H244" s="205">
        <f>IF(VLOOKUP(J244,'HOURLY RATES'!B$116:C$124,2,0)=0,$J$3,VLOOKUP(J244,'HOURLY RATES'!B$116:C$124,2,0))</f>
        <v>0.05</v>
      </c>
      <c r="I244" s="317">
        <f t="shared" si="196"/>
        <v>43.018500000000003</v>
      </c>
      <c r="J244" s="192" t="s">
        <v>19</v>
      </c>
      <c r="K244" s="233">
        <v>6.5000000000000002E-2</v>
      </c>
      <c r="L244" s="228">
        <f t="shared" si="197"/>
        <v>2.7962025000000001</v>
      </c>
      <c r="M244" s="194">
        <f>IF(VLOOKUP(E244,'HOURLY RATES'!C$6:D$105,2,0)=0,$E$3,VLOOKUP(E244,'HOURLY RATES'!C$6:D$105,2,0))</f>
        <v>55.8166875</v>
      </c>
      <c r="N244" s="206">
        <f t="shared" si="198"/>
        <v>156.07476112921876</v>
      </c>
      <c r="O244" s="229">
        <v>3.02</v>
      </c>
      <c r="P244" s="197">
        <f t="shared" si="199"/>
        <v>129.91587000000001</v>
      </c>
      <c r="Q244" s="198">
        <f t="shared" si="200"/>
        <v>285.99063112921874</v>
      </c>
      <c r="R244" s="199"/>
      <c r="X244" s="257"/>
    </row>
    <row r="245" spans="1:24" s="12" customFormat="1" x14ac:dyDescent="0.2">
      <c r="A245" s="204">
        <f>IF(J245&lt;&gt;"",1+MAX($A$18:A244),"")</f>
        <v>135</v>
      </c>
      <c r="B245" s="201" t="s">
        <v>419</v>
      </c>
      <c r="C245" s="201" t="s">
        <v>419</v>
      </c>
      <c r="D245" s="201" t="s">
        <v>48</v>
      </c>
      <c r="E245" s="255" t="s">
        <v>62</v>
      </c>
      <c r="F245" s="246" t="s">
        <v>417</v>
      </c>
      <c r="G245" s="310">
        <f>4*15.5</f>
        <v>62</v>
      </c>
      <c r="H245" s="205">
        <f>IF(VLOOKUP(J245,'HOURLY RATES'!B$116:C$124,2,0)=0,$J$3,VLOOKUP(J245,'HOURLY RATES'!B$116:C$124,2,0))</f>
        <v>0.05</v>
      </c>
      <c r="I245" s="317">
        <f t="shared" si="196"/>
        <v>65.100000000000009</v>
      </c>
      <c r="J245" s="192" t="s">
        <v>19</v>
      </c>
      <c r="K245" s="233">
        <v>0.06</v>
      </c>
      <c r="L245" s="228">
        <f t="shared" si="197"/>
        <v>3.9060000000000006</v>
      </c>
      <c r="M245" s="194">
        <f>IF(VLOOKUP(E245,'HOURLY RATES'!C$6:D$105,2,0)=0,$E$3,VLOOKUP(E245,'HOURLY RATES'!C$6:D$105,2,0))</f>
        <v>55.8166875</v>
      </c>
      <c r="N245" s="206">
        <f t="shared" si="198"/>
        <v>218.01998137500004</v>
      </c>
      <c r="O245" s="229">
        <f>(21.81/10)*(3*5/(3*4))</f>
        <v>2.7262500000000003</v>
      </c>
      <c r="P245" s="197">
        <f>O245*I245</f>
        <v>177.47887500000004</v>
      </c>
      <c r="Q245" s="198">
        <f t="shared" si="200"/>
        <v>395.49885637500006</v>
      </c>
      <c r="R245" s="199"/>
      <c r="X245" s="257"/>
    </row>
    <row r="246" spans="1:24" s="12" customFormat="1" x14ac:dyDescent="0.2">
      <c r="A246" s="204">
        <f>IF(J246&lt;&gt;"",1+MAX($A$18:A245),"")</f>
        <v>136</v>
      </c>
      <c r="B246" s="201" t="s">
        <v>419</v>
      </c>
      <c r="C246" s="201" t="s">
        <v>419</v>
      </c>
      <c r="D246" s="201" t="s">
        <v>48</v>
      </c>
      <c r="E246" s="255" t="s">
        <v>62</v>
      </c>
      <c r="F246" s="246" t="s">
        <v>401</v>
      </c>
      <c r="G246" s="310">
        <v>131</v>
      </c>
      <c r="H246" s="205">
        <f>IF(VLOOKUP(J246,'HOURLY RATES'!B$116:C$124,2,0)=0,$J$3,VLOOKUP(J246,'HOURLY RATES'!B$116:C$124,2,0))</f>
        <v>0</v>
      </c>
      <c r="I246" s="317">
        <f t="shared" si="196"/>
        <v>131</v>
      </c>
      <c r="J246" s="192" t="s">
        <v>16</v>
      </c>
      <c r="K246" s="233">
        <v>0.42499999999999999</v>
      </c>
      <c r="L246" s="228">
        <f t="shared" si="197"/>
        <v>55.674999999999997</v>
      </c>
      <c r="M246" s="194">
        <f>IF(VLOOKUP(E246,'HOURLY RATES'!C$6:D$105,2,0)=0,$E$3,VLOOKUP(E246,'HOURLY RATES'!C$6:D$105,2,0))</f>
        <v>55.8166875</v>
      </c>
      <c r="N246" s="206">
        <f t="shared" si="198"/>
        <v>3107.5940765625</v>
      </c>
      <c r="O246" s="229">
        <f>2299.99/90</f>
        <v>25.555444444444444</v>
      </c>
      <c r="P246" s="197">
        <f t="shared" ref="P246" si="206">O246*I246</f>
        <v>3347.7632222222219</v>
      </c>
      <c r="Q246" s="198">
        <f t="shared" si="200"/>
        <v>6455.3572987847219</v>
      </c>
      <c r="R246" s="199"/>
      <c r="X246" s="257"/>
    </row>
    <row r="247" spans="1:24" s="12" customFormat="1" x14ac:dyDescent="0.2">
      <c r="A247" s="204">
        <f>IF(J247&lt;&gt;"",1+MAX($A$18:A246),"")</f>
        <v>137</v>
      </c>
      <c r="B247" s="201" t="s">
        <v>419</v>
      </c>
      <c r="C247" s="201" t="s">
        <v>419</v>
      </c>
      <c r="D247" s="201" t="s">
        <v>48</v>
      </c>
      <c r="E247" s="255" t="s">
        <v>62</v>
      </c>
      <c r="F247" s="246" t="s">
        <v>402</v>
      </c>
      <c r="G247" s="310">
        <f>3*1</f>
        <v>3</v>
      </c>
      <c r="H247" s="205">
        <f>IF(VLOOKUP(J247,'HOURLY RATES'!B$116:C$124,2,0)=0,$J$3,VLOOKUP(J247,'HOURLY RATES'!B$116:C$124,2,0))</f>
        <v>0.05</v>
      </c>
      <c r="I247" s="317">
        <f t="shared" si="196"/>
        <v>3.1500000000000004</v>
      </c>
      <c r="J247" s="192" t="s">
        <v>19</v>
      </c>
      <c r="K247" s="233">
        <v>0.1</v>
      </c>
      <c r="L247" s="228">
        <f t="shared" si="197"/>
        <v>0.31500000000000006</v>
      </c>
      <c r="M247" s="194">
        <f>IF(VLOOKUP(E247,'HOURLY RATES'!C$6:D$105,2,0)=0,$E$3,VLOOKUP(E247,'HOURLY RATES'!C$6:D$105,2,0))</f>
        <v>55.8166875</v>
      </c>
      <c r="N247" s="206">
        <f t="shared" si="198"/>
        <v>17.582256562500003</v>
      </c>
      <c r="O247" s="229">
        <v>1.1000000000000001</v>
      </c>
      <c r="P247" s="197">
        <f>O247*I247</f>
        <v>3.4650000000000007</v>
      </c>
      <c r="Q247" s="198">
        <f t="shared" si="200"/>
        <v>21.047256562500003</v>
      </c>
      <c r="R247" s="199"/>
      <c r="X247" s="257"/>
    </row>
    <row r="248" spans="1:24" s="12" customFormat="1" x14ac:dyDescent="0.2">
      <c r="A248" s="204">
        <f>IF(J248&lt;&gt;"",1+MAX($A$18:A247),"")</f>
        <v>138</v>
      </c>
      <c r="B248" s="201" t="s">
        <v>419</v>
      </c>
      <c r="C248" s="201" t="s">
        <v>419</v>
      </c>
      <c r="D248" s="201" t="s">
        <v>48</v>
      </c>
      <c r="E248" s="255" t="s">
        <v>62</v>
      </c>
      <c r="F248" s="246" t="s">
        <v>415</v>
      </c>
      <c r="G248" s="310">
        <v>3</v>
      </c>
      <c r="H248" s="205">
        <f>IF(VLOOKUP(J248,'HOURLY RATES'!B$116:C$124,2,0)=0,$J$3,VLOOKUP(J248,'HOURLY RATES'!B$116:C$124,2,0))</f>
        <v>0</v>
      </c>
      <c r="I248" s="317">
        <f t="shared" ref="I248:I249" si="207">(G248*(1+H248))</f>
        <v>3</v>
      </c>
      <c r="J248" s="192" t="s">
        <v>16</v>
      </c>
      <c r="K248" s="233">
        <v>0.65</v>
      </c>
      <c r="L248" s="228">
        <f t="shared" ref="L248:L249" si="208">K248*I248</f>
        <v>1.9500000000000002</v>
      </c>
      <c r="M248" s="194">
        <f>IF(VLOOKUP(E248,'HOURLY RATES'!C$6:D$105,2,0)=0,$E$3,VLOOKUP(E248,'HOURLY RATES'!C$6:D$105,2,0))</f>
        <v>55.8166875</v>
      </c>
      <c r="N248" s="206">
        <f t="shared" ref="N248:N249" si="209">M248*L248</f>
        <v>108.84254062500001</v>
      </c>
      <c r="O248" s="229">
        <v>16.8</v>
      </c>
      <c r="P248" s="197">
        <f t="shared" ref="P248:P249" si="210">O248*I248</f>
        <v>50.400000000000006</v>
      </c>
      <c r="Q248" s="198">
        <f t="shared" ref="Q248:Q249" si="211">P248+N248</f>
        <v>159.242540625</v>
      </c>
      <c r="R248" s="199"/>
      <c r="X248" s="257"/>
    </row>
    <row r="249" spans="1:24" s="12" customFormat="1" x14ac:dyDescent="0.2">
      <c r="A249" s="204">
        <f>IF(J249&lt;&gt;"",1+MAX($A$18:A248),"")</f>
        <v>139</v>
      </c>
      <c r="B249" s="201" t="s">
        <v>419</v>
      </c>
      <c r="C249" s="201" t="s">
        <v>419</v>
      </c>
      <c r="D249" s="201" t="s">
        <v>48</v>
      </c>
      <c r="E249" s="255" t="s">
        <v>62</v>
      </c>
      <c r="F249" s="246" t="s">
        <v>416</v>
      </c>
      <c r="G249" s="310">
        <f>3*1</f>
        <v>3</v>
      </c>
      <c r="H249" s="205">
        <f>IF(VLOOKUP(J249,'HOURLY RATES'!B$116:C$124,2,0)=0,$J$3,VLOOKUP(J249,'HOURLY RATES'!B$116:C$124,2,0))</f>
        <v>0.05</v>
      </c>
      <c r="I249" s="317">
        <f t="shared" si="207"/>
        <v>3.1500000000000004</v>
      </c>
      <c r="J249" s="192" t="s">
        <v>19</v>
      </c>
      <c r="K249" s="233">
        <v>0.1</v>
      </c>
      <c r="L249" s="228">
        <f t="shared" si="208"/>
        <v>0.31500000000000006</v>
      </c>
      <c r="M249" s="194">
        <f>IF(VLOOKUP(E249,'HOURLY RATES'!C$6:D$105,2,0)=0,$E$3,VLOOKUP(E249,'HOURLY RATES'!C$6:D$105,2,0))</f>
        <v>55.8166875</v>
      </c>
      <c r="N249" s="206">
        <f t="shared" si="209"/>
        <v>17.582256562500003</v>
      </c>
      <c r="O249" s="229">
        <v>0.876</v>
      </c>
      <c r="P249" s="197">
        <f t="shared" si="210"/>
        <v>2.7594000000000003</v>
      </c>
      <c r="Q249" s="198">
        <f t="shared" si="211"/>
        <v>20.341656562500003</v>
      </c>
      <c r="R249" s="199"/>
      <c r="X249" s="257"/>
    </row>
    <row r="250" spans="1:24" s="12" customFormat="1" x14ac:dyDescent="0.2">
      <c r="A250" s="204">
        <f>IF(J250&lt;&gt;"",1+MAX($A$18:A249),"")</f>
        <v>140</v>
      </c>
      <c r="B250" s="201" t="s">
        <v>419</v>
      </c>
      <c r="C250" s="201" t="s">
        <v>419</v>
      </c>
      <c r="D250" s="201" t="s">
        <v>48</v>
      </c>
      <c r="E250" s="255" t="s">
        <v>62</v>
      </c>
      <c r="F250" s="246" t="s">
        <v>403</v>
      </c>
      <c r="G250" s="310">
        <v>4</v>
      </c>
      <c r="H250" s="205">
        <f>IF(VLOOKUP(J250,'HOURLY RATES'!B$116:C$124,2,0)=0,$J$3,VLOOKUP(J250,'HOURLY RATES'!B$116:C$124,2,0))</f>
        <v>0</v>
      </c>
      <c r="I250" s="317">
        <f t="shared" si="196"/>
        <v>4</v>
      </c>
      <c r="J250" s="192" t="s">
        <v>16</v>
      </c>
      <c r="K250" s="233">
        <v>1.627</v>
      </c>
      <c r="L250" s="228">
        <f t="shared" si="197"/>
        <v>6.508</v>
      </c>
      <c r="M250" s="194">
        <f>IF(VLOOKUP(E250,'HOURLY RATES'!C$6:D$105,2,0)=0,$E$3,VLOOKUP(E250,'HOURLY RATES'!C$6:D$105,2,0))</f>
        <v>55.8166875</v>
      </c>
      <c r="N250" s="206">
        <f t="shared" si="198"/>
        <v>363.25500225000002</v>
      </c>
      <c r="O250" s="229">
        <f>463.99*8/6</f>
        <v>618.65333333333331</v>
      </c>
      <c r="P250" s="197">
        <f t="shared" ref="P250:P251" si="212">O250*I250</f>
        <v>2474.6133333333332</v>
      </c>
      <c r="Q250" s="198">
        <f t="shared" si="200"/>
        <v>2837.8683355833332</v>
      </c>
      <c r="R250" s="199"/>
      <c r="X250" s="257"/>
    </row>
    <row r="251" spans="1:24" s="12" customFormat="1" x14ac:dyDescent="0.2">
      <c r="A251" s="204">
        <f>IF(J251&lt;&gt;"",1+MAX($A$18:A250),"")</f>
        <v>141</v>
      </c>
      <c r="B251" s="201" t="s">
        <v>419</v>
      </c>
      <c r="C251" s="201" t="s">
        <v>419</v>
      </c>
      <c r="D251" s="201" t="s">
        <v>48</v>
      </c>
      <c r="E251" s="255" t="s">
        <v>62</v>
      </c>
      <c r="F251" s="246" t="s">
        <v>404</v>
      </c>
      <c r="G251" s="310">
        <v>4</v>
      </c>
      <c r="H251" s="205">
        <f>IF(VLOOKUP(J251,'HOURLY RATES'!B$116:C$124,2,0)=0,$J$3,VLOOKUP(J251,'HOURLY RATES'!B$116:C$124,2,0))</f>
        <v>0</v>
      </c>
      <c r="I251" s="317">
        <f t="shared" si="196"/>
        <v>4</v>
      </c>
      <c r="J251" s="192" t="s">
        <v>16</v>
      </c>
      <c r="K251" s="233">
        <v>1.248</v>
      </c>
      <c r="L251" s="228">
        <f t="shared" si="197"/>
        <v>4.992</v>
      </c>
      <c r="M251" s="194">
        <f>IF(VLOOKUP(E251,'HOURLY RATES'!C$6:D$105,2,0)=0,$E$3,VLOOKUP(E251,'HOURLY RATES'!C$6:D$105,2,0))</f>
        <v>55.8166875</v>
      </c>
      <c r="N251" s="206">
        <f t="shared" si="198"/>
        <v>278.63690400000002</v>
      </c>
      <c r="O251" s="229">
        <v>95.51</v>
      </c>
      <c r="P251" s="197">
        <f t="shared" si="212"/>
        <v>382.04</v>
      </c>
      <c r="Q251" s="198">
        <f t="shared" si="200"/>
        <v>660.67690400000004</v>
      </c>
      <c r="R251" s="199"/>
      <c r="X251" s="257"/>
    </row>
    <row r="252" spans="1:24" s="12" customFormat="1" x14ac:dyDescent="0.2">
      <c r="A252" s="204">
        <f>IF(J252&lt;&gt;"",1+MAX($A$18:A251),"")</f>
        <v>142</v>
      </c>
      <c r="B252" s="201" t="s">
        <v>419</v>
      </c>
      <c r="C252" s="201" t="s">
        <v>419</v>
      </c>
      <c r="D252" s="201" t="s">
        <v>48</v>
      </c>
      <c r="E252" s="255" t="s">
        <v>62</v>
      </c>
      <c r="F252" s="246" t="s">
        <v>405</v>
      </c>
      <c r="G252" s="310">
        <v>4</v>
      </c>
      <c r="H252" s="205">
        <f>IF(VLOOKUP(J252,'HOURLY RATES'!B$116:C$124,2,0)=0,$J$3,VLOOKUP(J252,'HOURLY RATES'!B$116:C$124,2,0))</f>
        <v>0</v>
      </c>
      <c r="I252" s="317">
        <f t="shared" si="196"/>
        <v>4</v>
      </c>
      <c r="J252" s="192" t="s">
        <v>16</v>
      </c>
      <c r="K252" s="233">
        <v>1.103</v>
      </c>
      <c r="L252" s="228">
        <f>K252*I252</f>
        <v>4.4119999999999999</v>
      </c>
      <c r="M252" s="194">
        <f>IF(VLOOKUP(E252,'HOURLY RATES'!C$6:D$105,2,0)=0,$E$3,VLOOKUP(E252,'HOURLY RATES'!C$6:D$105,2,0))</f>
        <v>55.8166875</v>
      </c>
      <c r="N252" s="206">
        <f>M252*L252</f>
        <v>246.26322525</v>
      </c>
      <c r="O252" s="229">
        <v>57.65</v>
      </c>
      <c r="P252" s="197">
        <f>O252*I252</f>
        <v>230.6</v>
      </c>
      <c r="Q252" s="198">
        <f>P252+N252</f>
        <v>476.86322525000003</v>
      </c>
      <c r="R252" s="199"/>
      <c r="X252" s="257"/>
    </row>
    <row r="253" spans="1:24" s="12" customFormat="1" x14ac:dyDescent="0.2">
      <c r="A253" s="204" t="str">
        <f>IF(J253&lt;&gt;"",1+MAX($A$18:A252),"")</f>
        <v/>
      </c>
      <c r="B253" s="201"/>
      <c r="C253" s="201"/>
      <c r="D253" s="201"/>
      <c r="E253" s="255"/>
      <c r="F253" s="246"/>
      <c r="G253" s="310"/>
      <c r="H253" s="205"/>
      <c r="I253" s="317"/>
      <c r="J253" s="192"/>
      <c r="K253" s="233"/>
      <c r="L253" s="228"/>
      <c r="M253" s="194"/>
      <c r="N253" s="206"/>
      <c r="O253" s="229"/>
      <c r="P253" s="197"/>
      <c r="Q253" s="198"/>
      <c r="R253" s="199"/>
      <c r="X253" s="257"/>
    </row>
    <row r="254" spans="1:24" s="12" customFormat="1" x14ac:dyDescent="0.2">
      <c r="A254" s="204" t="str">
        <f>IF(J254&lt;&gt;"",1+MAX($A$18:A253),"")</f>
        <v/>
      </c>
      <c r="B254" s="201"/>
      <c r="C254" s="201"/>
      <c r="D254" s="201"/>
      <c r="E254" s="255"/>
      <c r="F254" s="365" t="s">
        <v>414</v>
      </c>
      <c r="G254" s="310"/>
      <c r="H254" s="205"/>
      <c r="I254" s="317"/>
      <c r="J254" s="192"/>
      <c r="K254" s="233"/>
      <c r="L254" s="228"/>
      <c r="M254" s="194"/>
      <c r="N254" s="206"/>
      <c r="O254" s="229"/>
      <c r="P254" s="197"/>
      <c r="Q254" s="198"/>
      <c r="R254" s="199"/>
      <c r="X254" s="257"/>
    </row>
    <row r="255" spans="1:24" s="12" customFormat="1" x14ac:dyDescent="0.2">
      <c r="A255" s="204">
        <f>IF(J255&lt;&gt;"",1+MAX($A$18:A254),"")</f>
        <v>143</v>
      </c>
      <c r="B255" s="201" t="s">
        <v>419</v>
      </c>
      <c r="C255" s="201" t="s">
        <v>419</v>
      </c>
      <c r="D255" s="201" t="s">
        <v>48</v>
      </c>
      <c r="E255" s="255" t="s">
        <v>62</v>
      </c>
      <c r="F255" s="246" t="s">
        <v>409</v>
      </c>
      <c r="G255" s="310">
        <f>86.58+(4*8)</f>
        <v>118.58</v>
      </c>
      <c r="H255" s="205">
        <f>IF(VLOOKUP(J255,'HOURLY RATES'!B$116:C$124,2,0)=0,$J$3,VLOOKUP(J255,'HOURLY RATES'!B$116:C$124,2,0))</f>
        <v>0.05</v>
      </c>
      <c r="I255" s="317">
        <f t="shared" ref="I255" si="213">(G255*(1+H255))</f>
        <v>124.509</v>
      </c>
      <c r="J255" s="192" t="s">
        <v>19</v>
      </c>
      <c r="K255" s="233">
        <v>4.2000000000000003E-2</v>
      </c>
      <c r="L255" s="228">
        <f>K255*I255</f>
        <v>5.2293780000000005</v>
      </c>
      <c r="M255" s="194">
        <f>IF(VLOOKUP(E255,'HOURLY RATES'!C$6:D$105,2,0)=0,$E$3,VLOOKUP(E255,'HOURLY RATES'!C$6:D$105,2,0))</f>
        <v>55.8166875</v>
      </c>
      <c r="N255" s="206">
        <f>M255*L255</f>
        <v>291.88655764537504</v>
      </c>
      <c r="O255" s="229">
        <v>3.6</v>
      </c>
      <c r="P255" s="197">
        <f>O255*I255</f>
        <v>448.23239999999998</v>
      </c>
      <c r="Q255" s="198">
        <f>P255+N255</f>
        <v>740.11895764537508</v>
      </c>
      <c r="R255" s="199"/>
      <c r="X255" s="257"/>
    </row>
    <row r="256" spans="1:24" s="12" customFormat="1" x14ac:dyDescent="0.2">
      <c r="A256" s="204">
        <f>IF(J256&lt;&gt;"",1+MAX($A$18:A255),"")</f>
        <v>144</v>
      </c>
      <c r="B256" s="201" t="s">
        <v>419</v>
      </c>
      <c r="C256" s="201" t="s">
        <v>419</v>
      </c>
      <c r="D256" s="201" t="s">
        <v>48</v>
      </c>
      <c r="E256" s="255" t="s">
        <v>62</v>
      </c>
      <c r="F256" s="246" t="s">
        <v>410</v>
      </c>
      <c r="G256" s="310">
        <v>119</v>
      </c>
      <c r="H256" s="205">
        <f>IF(VLOOKUP(J256,'HOURLY RATES'!B$116:C$124,2,0)=0,$J$3,VLOOKUP(J256,'HOURLY RATES'!B$116:C$124,2,0))</f>
        <v>0.05</v>
      </c>
      <c r="I256" s="317">
        <f t="shared" ref="I256:I259" si="214">(G256*(1+H256))</f>
        <v>124.95</v>
      </c>
      <c r="J256" s="192" t="s">
        <v>19</v>
      </c>
      <c r="K256" s="233">
        <v>5.8000000000000003E-2</v>
      </c>
      <c r="L256" s="228">
        <f t="shared" ref="L256:L258" si="215">K256*I256</f>
        <v>7.2471000000000005</v>
      </c>
      <c r="M256" s="194">
        <f>IF(VLOOKUP(E256,'HOURLY RATES'!C$6:D$105,2,0)=0,$E$3,VLOOKUP(E256,'HOURLY RATES'!C$6:D$105,2,0))</f>
        <v>55.8166875</v>
      </c>
      <c r="N256" s="206">
        <f t="shared" ref="N256:N258" si="216">M256*L256</f>
        <v>404.50911598125003</v>
      </c>
      <c r="O256" s="229">
        <v>1.67</v>
      </c>
      <c r="P256" s="197">
        <f t="shared" ref="P256:P259" si="217">O256*I256</f>
        <v>208.66649999999998</v>
      </c>
      <c r="Q256" s="198">
        <f t="shared" ref="Q256:Q259" si="218">P256+N256</f>
        <v>613.17561598125008</v>
      </c>
      <c r="R256" s="199"/>
      <c r="X256" s="257"/>
    </row>
    <row r="257" spans="1:24" s="12" customFormat="1" x14ac:dyDescent="0.2">
      <c r="A257" s="204">
        <f>IF(J257&lt;&gt;"",1+MAX($A$18:A256),"")</f>
        <v>145</v>
      </c>
      <c r="B257" s="201" t="s">
        <v>419</v>
      </c>
      <c r="C257" s="201" t="s">
        <v>419</v>
      </c>
      <c r="D257" s="201" t="s">
        <v>48</v>
      </c>
      <c r="E257" s="255" t="s">
        <v>62</v>
      </c>
      <c r="F257" s="246" t="s">
        <v>411</v>
      </c>
      <c r="G257" s="310">
        <f>119*3</f>
        <v>357</v>
      </c>
      <c r="H257" s="205">
        <f>IF(VLOOKUP(J257,'HOURLY RATES'!B$116:C$124,2,0)=0,$J$3,VLOOKUP(J257,'HOURLY RATES'!B$116:C$124,2,0))</f>
        <v>0.05</v>
      </c>
      <c r="I257" s="317">
        <f t="shared" si="214"/>
        <v>374.85</v>
      </c>
      <c r="J257" s="192" t="s">
        <v>19</v>
      </c>
      <c r="K257" s="233">
        <v>5.3999999999999999E-2</v>
      </c>
      <c r="L257" s="228">
        <f t="shared" si="215"/>
        <v>20.241900000000001</v>
      </c>
      <c r="M257" s="194">
        <f>IF(VLOOKUP(E257,'HOURLY RATES'!C$6:D$105,2,0)=0,$E$3,VLOOKUP(E257,'HOURLY RATES'!C$6:D$105,2,0))</f>
        <v>55.8166875</v>
      </c>
      <c r="N257" s="206">
        <f t="shared" si="216"/>
        <v>1129.83580670625</v>
      </c>
      <c r="O257" s="229">
        <v>1.44</v>
      </c>
      <c r="P257" s="197">
        <f t="shared" si="217"/>
        <v>539.78399999999999</v>
      </c>
      <c r="Q257" s="198">
        <f t="shared" si="218"/>
        <v>1669.6198067062501</v>
      </c>
      <c r="R257" s="199"/>
      <c r="X257" s="257"/>
    </row>
    <row r="258" spans="1:24" s="12" customFormat="1" x14ac:dyDescent="0.2">
      <c r="A258" s="204">
        <f>IF(J258&lt;&gt;"",1+MAX($A$18:A257),"")</f>
        <v>146</v>
      </c>
      <c r="B258" s="201" t="s">
        <v>419</v>
      </c>
      <c r="C258" s="201" t="s">
        <v>419</v>
      </c>
      <c r="D258" s="201" t="s">
        <v>48</v>
      </c>
      <c r="E258" s="255" t="s">
        <v>62</v>
      </c>
      <c r="F258" s="246" t="s">
        <v>412</v>
      </c>
      <c r="G258" s="310">
        <v>119</v>
      </c>
      <c r="H258" s="205">
        <f>IF(VLOOKUP(J258,'HOURLY RATES'!B$116:C$124,2,0)=0,$J$3,VLOOKUP(J258,'HOURLY RATES'!B$116:C$124,2,0))</f>
        <v>0.05</v>
      </c>
      <c r="I258" s="317">
        <f t="shared" si="214"/>
        <v>124.95</v>
      </c>
      <c r="J258" s="192" t="s">
        <v>19</v>
      </c>
      <c r="K258" s="233">
        <v>0.02</v>
      </c>
      <c r="L258" s="228">
        <f t="shared" si="215"/>
        <v>2.4990000000000001</v>
      </c>
      <c r="M258" s="194">
        <f>IF(VLOOKUP(E258,'HOURLY RATES'!C$6:D$105,2,0)=0,$E$3,VLOOKUP(E258,'HOURLY RATES'!C$6:D$105,2,0))</f>
        <v>55.8166875</v>
      </c>
      <c r="N258" s="206">
        <f t="shared" si="216"/>
        <v>139.4859020625</v>
      </c>
      <c r="O258" s="229">
        <v>0.32</v>
      </c>
      <c r="P258" s="197">
        <f t="shared" si="217"/>
        <v>39.984000000000002</v>
      </c>
      <c r="Q258" s="198">
        <f t="shared" si="218"/>
        <v>179.46990206250001</v>
      </c>
      <c r="R258" s="199"/>
      <c r="X258" s="257"/>
    </row>
    <row r="259" spans="1:24" s="12" customFormat="1" x14ac:dyDescent="0.2">
      <c r="A259" s="204">
        <f>IF(J259&lt;&gt;"",1+MAX($A$18:A258),"")</f>
        <v>147</v>
      </c>
      <c r="B259" s="201" t="s">
        <v>419</v>
      </c>
      <c r="C259" s="201" t="s">
        <v>419</v>
      </c>
      <c r="D259" s="201" t="s">
        <v>48</v>
      </c>
      <c r="E259" s="255" t="s">
        <v>62</v>
      </c>
      <c r="F259" s="246" t="s">
        <v>413</v>
      </c>
      <c r="G259" s="310">
        <v>119</v>
      </c>
      <c r="H259" s="205">
        <f>IF(VLOOKUP(J259,'HOURLY RATES'!B$116:C$124,2,0)=0,$J$3,VLOOKUP(J259,'HOURLY RATES'!B$116:C$124,2,0))</f>
        <v>0.05</v>
      </c>
      <c r="I259" s="317">
        <f t="shared" si="214"/>
        <v>124.95</v>
      </c>
      <c r="J259" s="192" t="s">
        <v>19</v>
      </c>
      <c r="K259" s="233">
        <v>4.2000000000000003E-2</v>
      </c>
      <c r="L259" s="228">
        <f>K259*I259</f>
        <v>5.2479000000000005</v>
      </c>
      <c r="M259" s="194">
        <f>IF(VLOOKUP(E259,'HOURLY RATES'!C$6:D$105,2,0)=0,$E$3,VLOOKUP(E259,'HOURLY RATES'!C$6:D$105,2,0))</f>
        <v>55.8166875</v>
      </c>
      <c r="N259" s="206">
        <f>M259*L259</f>
        <v>292.92039433125001</v>
      </c>
      <c r="O259" s="229">
        <v>3.6</v>
      </c>
      <c r="P259" s="197">
        <f t="shared" si="217"/>
        <v>449.82</v>
      </c>
      <c r="Q259" s="198">
        <f t="shared" si="218"/>
        <v>742.74039433124995</v>
      </c>
      <c r="R259" s="199"/>
      <c r="X259" s="257"/>
    </row>
    <row r="260" spans="1:24" s="12" customFormat="1" x14ac:dyDescent="0.2">
      <c r="A260" s="204" t="str">
        <f>IF(J260&lt;&gt;"",1+MAX($A$18:A259),"")</f>
        <v/>
      </c>
      <c r="B260" s="201"/>
      <c r="C260" s="201"/>
      <c r="D260" s="201"/>
      <c r="E260" s="255"/>
      <c r="F260" s="246"/>
      <c r="G260" s="310"/>
      <c r="H260" s="190"/>
      <c r="I260" s="317"/>
      <c r="J260" s="192"/>
      <c r="K260" s="233"/>
      <c r="L260" s="228"/>
      <c r="M260" s="194"/>
      <c r="N260" s="206"/>
      <c r="O260" s="229"/>
      <c r="P260" s="197"/>
      <c r="Q260" s="198"/>
      <c r="R260" s="199"/>
      <c r="X260" s="257"/>
    </row>
    <row r="261" spans="1:24" s="12" customFormat="1" x14ac:dyDescent="0.2">
      <c r="A261" s="367" t="str">
        <f>IF(J261&lt;&gt;"",1+MAX($A$18:A260),"")</f>
        <v/>
      </c>
      <c r="B261" s="368"/>
      <c r="C261" s="368"/>
      <c r="D261" s="368"/>
      <c r="E261" s="255"/>
      <c r="F261" s="369" t="s">
        <v>629</v>
      </c>
      <c r="G261" s="366"/>
      <c r="H261" s="205"/>
      <c r="I261" s="317"/>
      <c r="J261" s="192"/>
      <c r="K261" s="233"/>
      <c r="L261" s="228"/>
      <c r="M261" s="194"/>
      <c r="N261" s="206"/>
      <c r="O261" s="229"/>
      <c r="P261" s="197"/>
      <c r="Q261" s="198"/>
      <c r="R261" s="199"/>
      <c r="X261" s="257"/>
    </row>
    <row r="262" spans="1:24" s="12" customFormat="1" ht="31.5" x14ac:dyDescent="0.2">
      <c r="A262" s="367">
        <f>IF(J262&lt;&gt;"",1+MAX($A$18:A261),"")</f>
        <v>148</v>
      </c>
      <c r="B262" s="368" t="s">
        <v>630</v>
      </c>
      <c r="C262" s="368" t="s">
        <v>630</v>
      </c>
      <c r="D262" s="201" t="s">
        <v>48</v>
      </c>
      <c r="E262" s="255" t="s">
        <v>293</v>
      </c>
      <c r="F262" s="380" t="s">
        <v>631</v>
      </c>
      <c r="G262" s="310">
        <f>2952.79+(5.33*11.83)</f>
        <v>3015.8438999999998</v>
      </c>
      <c r="H262" s="205">
        <f>IF(VLOOKUP(J262,'HOURLY RATES'!B$116:C$124,2,0)=0,$J$3,VLOOKUP(J262,'HOURLY RATES'!B$116:C$124,2,0))</f>
        <v>0.05</v>
      </c>
      <c r="I262" s="317">
        <f>(G262*(1+H262))</f>
        <v>3166.6360949999998</v>
      </c>
      <c r="J262" s="192" t="s">
        <v>17</v>
      </c>
      <c r="K262" s="233">
        <v>0.12</v>
      </c>
      <c r="L262" s="228">
        <f>K262*I262</f>
        <v>379.99633139999997</v>
      </c>
      <c r="M262" s="194">
        <f>IF(VLOOKUP(E262,'HOURLY RATES'!C$6:D$105,2,0)=0,$E$3,VLOOKUP(E262,'HOURLY RATES'!C$6:D$105,2,0))</f>
        <v>65.462710625</v>
      </c>
      <c r="N262" s="206">
        <f>M262*L262</f>
        <v>24875.5898809998</v>
      </c>
      <c r="O262" s="229">
        <v>15.5</v>
      </c>
      <c r="P262" s="197">
        <f>O262*I262</f>
        <v>49082.8594725</v>
      </c>
      <c r="Q262" s="198">
        <f>P262+N262</f>
        <v>73958.449353499804</v>
      </c>
      <c r="R262" s="199"/>
      <c r="X262" s="257"/>
    </row>
    <row r="263" spans="1:24" s="12" customFormat="1" ht="31.5" x14ac:dyDescent="0.2">
      <c r="A263" s="367">
        <f>IF(J263&lt;&gt;"",1+MAX($A$18:A262),"")</f>
        <v>149</v>
      </c>
      <c r="B263" s="368" t="s">
        <v>630</v>
      </c>
      <c r="C263" s="368" t="s">
        <v>630</v>
      </c>
      <c r="D263" s="201" t="s">
        <v>48</v>
      </c>
      <c r="E263" s="255" t="s">
        <v>61</v>
      </c>
      <c r="F263" s="380" t="s">
        <v>632</v>
      </c>
      <c r="G263" s="366">
        <v>1380.94</v>
      </c>
      <c r="H263" s="205">
        <f>IF(VLOOKUP(J263,'HOURLY RATES'!B$116:C$124,2,0)=0,$J$3,VLOOKUP(J263,'HOURLY RATES'!B$116:C$124,2,0))</f>
        <v>0.05</v>
      </c>
      <c r="I263" s="317">
        <f>(G263*(1+H263))</f>
        <v>1449.9870000000001</v>
      </c>
      <c r="J263" s="192" t="s">
        <v>17</v>
      </c>
      <c r="K263" s="233">
        <v>3.5000000000000003E-2</v>
      </c>
      <c r="L263" s="228">
        <f>K263*I263</f>
        <v>50.749545000000005</v>
      </c>
      <c r="M263" s="194">
        <f>IF(VLOOKUP(E263,'HOURLY RATES'!C$6:D$105,2,0)=0,$E$3,VLOOKUP(E263,'HOURLY RATES'!C$6:D$105,2,0))</f>
        <v>77.172637500000008</v>
      </c>
      <c r="N263" s="206">
        <f>M263*L263</f>
        <v>3916.4762395749381</v>
      </c>
      <c r="O263" s="229">
        <f>19.07/12/0.7</f>
        <v>2.2702380952380952</v>
      </c>
      <c r="P263" s="197">
        <f>O263*I263</f>
        <v>3291.8157249999999</v>
      </c>
      <c r="Q263" s="198">
        <f>P263+N263</f>
        <v>7208.291964574938</v>
      </c>
      <c r="R263" s="199"/>
      <c r="X263" s="257"/>
    </row>
    <row r="264" spans="1:24" s="12" customFormat="1" x14ac:dyDescent="0.2">
      <c r="A264" s="367" t="str">
        <f>IF(J264&lt;&gt;"",1+MAX($A$18:A263),"")</f>
        <v/>
      </c>
      <c r="B264" s="368"/>
      <c r="C264" s="368"/>
      <c r="D264" s="368"/>
      <c r="E264" s="255"/>
      <c r="F264" s="380"/>
      <c r="G264" s="366"/>
      <c r="H264" s="205"/>
      <c r="I264" s="317"/>
      <c r="J264" s="192"/>
      <c r="K264" s="233"/>
      <c r="L264" s="228"/>
      <c r="M264" s="194"/>
      <c r="N264" s="206"/>
      <c r="O264" s="229"/>
      <c r="P264" s="197"/>
      <c r="Q264" s="198"/>
      <c r="R264" s="199"/>
      <c r="X264" s="257"/>
    </row>
    <row r="265" spans="1:24" s="12" customFormat="1" ht="31.5" x14ac:dyDescent="0.2">
      <c r="A265" s="367">
        <f>IF(J265&lt;&gt;"",1+MAX($A$18:A264),"")</f>
        <v>150</v>
      </c>
      <c r="B265" s="368" t="s">
        <v>630</v>
      </c>
      <c r="C265" s="368" t="s">
        <v>630</v>
      </c>
      <c r="D265" s="201" t="s">
        <v>48</v>
      </c>
      <c r="E265" s="255" t="s">
        <v>61</v>
      </c>
      <c r="F265" s="380" t="s">
        <v>663</v>
      </c>
      <c r="G265" s="366">
        <v>149.03</v>
      </c>
      <c r="H265" s="205">
        <f>IF(VLOOKUP(J265,'HOURLY RATES'!B$116:C$124,2,0)=0,$J$3,VLOOKUP(J265,'HOURLY RATES'!B$116:C$124,2,0))</f>
        <v>0.05</v>
      </c>
      <c r="I265" s="317">
        <f>(G265*(1+H265))</f>
        <v>156.48150000000001</v>
      </c>
      <c r="J265" s="192" t="s">
        <v>19</v>
      </c>
      <c r="K265" s="233">
        <v>3.5000000000000003E-2</v>
      </c>
      <c r="L265" s="228">
        <f>K265*I265</f>
        <v>5.4768525000000006</v>
      </c>
      <c r="M265" s="194">
        <f>IF(VLOOKUP(E265,'HOURLY RATES'!C$6:D$105,2,0)=0,$E$3,VLOOKUP(E265,'HOURLY RATES'!C$6:D$105,2,0))</f>
        <v>77.172637500000008</v>
      </c>
      <c r="N265" s="206">
        <f>M265*L265</f>
        <v>422.66315262346882</v>
      </c>
      <c r="O265" s="229">
        <v>2.15</v>
      </c>
      <c r="P265" s="197">
        <f>O265*I265</f>
        <v>336.435225</v>
      </c>
      <c r="Q265" s="198">
        <f>P265+N265</f>
        <v>759.09837762346888</v>
      </c>
      <c r="R265" s="199"/>
      <c r="X265" s="257"/>
    </row>
    <row r="266" spans="1:24" s="12" customFormat="1" x14ac:dyDescent="0.2">
      <c r="A266" s="367">
        <f>IF(J266&lt;&gt;"",1+MAX($A$18:A265),"")</f>
        <v>151</v>
      </c>
      <c r="B266" s="368" t="s">
        <v>630</v>
      </c>
      <c r="C266" s="368" t="s">
        <v>630</v>
      </c>
      <c r="D266" s="201" t="s">
        <v>48</v>
      </c>
      <c r="E266" s="255" t="s">
        <v>61</v>
      </c>
      <c r="F266" s="380" t="s">
        <v>664</v>
      </c>
      <c r="G266" s="366">
        <v>149.03</v>
      </c>
      <c r="H266" s="205">
        <f>IF(VLOOKUP(J266,'HOURLY RATES'!B$116:C$124,2,0)=0,$J$3,VLOOKUP(J266,'HOURLY RATES'!B$116:C$124,2,0))</f>
        <v>0.05</v>
      </c>
      <c r="I266" s="317">
        <f t="shared" ref="I266:I273" si="219">(G266*(1+H266))</f>
        <v>156.48150000000001</v>
      </c>
      <c r="J266" s="192" t="s">
        <v>19</v>
      </c>
      <c r="K266" s="233">
        <v>4.8000000000000001E-2</v>
      </c>
      <c r="L266" s="228">
        <f t="shared" ref="L266:L268" si="220">K266*I266</f>
        <v>7.5111120000000007</v>
      </c>
      <c r="M266" s="194">
        <f>IF(VLOOKUP(E266,'HOURLY RATES'!C$6:D$105,2,0)=0,$E$3,VLOOKUP(E266,'HOURLY RATES'!C$6:D$105,2,0))</f>
        <v>77.172637500000008</v>
      </c>
      <c r="N266" s="206">
        <f t="shared" ref="N266:N268" si="221">M266*L266</f>
        <v>579.65232359790014</v>
      </c>
      <c r="O266" s="229">
        <f>36/8</f>
        <v>4.5</v>
      </c>
      <c r="P266" s="197">
        <f t="shared" ref="P266:P273" si="222">O266*I266</f>
        <v>704.16675000000009</v>
      </c>
      <c r="Q266" s="198">
        <f t="shared" ref="Q266:Q273" si="223">P266+N266</f>
        <v>1283.8190735979001</v>
      </c>
      <c r="R266" s="199"/>
      <c r="X266" s="257"/>
    </row>
    <row r="267" spans="1:24" s="12" customFormat="1" x14ac:dyDescent="0.2">
      <c r="A267" s="367">
        <f>IF(J267&lt;&gt;"",1+MAX($A$18:A266),"")</f>
        <v>152</v>
      </c>
      <c r="B267" s="368" t="s">
        <v>630</v>
      </c>
      <c r="C267" s="368" t="s">
        <v>630</v>
      </c>
      <c r="D267" s="201" t="s">
        <v>48</v>
      </c>
      <c r="E267" s="255" t="s">
        <v>61</v>
      </c>
      <c r="F267" s="380" t="s">
        <v>665</v>
      </c>
      <c r="G267" s="366">
        <v>149.03</v>
      </c>
      <c r="H267" s="205">
        <f>IF(VLOOKUP(J267,'HOURLY RATES'!B$116:C$124,2,0)=0,$J$3,VLOOKUP(J267,'HOURLY RATES'!B$116:C$124,2,0))</f>
        <v>0.05</v>
      </c>
      <c r="I267" s="317">
        <f t="shared" si="219"/>
        <v>156.48150000000001</v>
      </c>
      <c r="J267" s="192" t="s">
        <v>19</v>
      </c>
      <c r="K267" s="233">
        <v>4.2000000000000003E-2</v>
      </c>
      <c r="L267" s="228">
        <f t="shared" si="220"/>
        <v>6.572223000000001</v>
      </c>
      <c r="M267" s="194">
        <f>IF(VLOOKUP(E267,'HOURLY RATES'!C$6:D$105,2,0)=0,$E$3,VLOOKUP(E267,'HOURLY RATES'!C$6:D$105,2,0))</f>
        <v>77.172637500000008</v>
      </c>
      <c r="N267" s="206">
        <f t="shared" si="221"/>
        <v>507.1957831481626</v>
      </c>
      <c r="O267" s="229">
        <v>3.6</v>
      </c>
      <c r="P267" s="197">
        <f t="shared" si="222"/>
        <v>563.3334000000001</v>
      </c>
      <c r="Q267" s="198">
        <f t="shared" si="223"/>
        <v>1070.5291831481627</v>
      </c>
      <c r="R267" s="199"/>
      <c r="X267" s="257"/>
    </row>
    <row r="268" spans="1:24" s="12" customFormat="1" x14ac:dyDescent="0.2">
      <c r="A268" s="367">
        <f>IF(J268&lt;&gt;"",1+MAX($A$18:A267),"")</f>
        <v>153</v>
      </c>
      <c r="B268" s="368" t="s">
        <v>630</v>
      </c>
      <c r="C268" s="368" t="s">
        <v>630</v>
      </c>
      <c r="D268" s="201" t="s">
        <v>48</v>
      </c>
      <c r="E268" s="255" t="s">
        <v>61</v>
      </c>
      <c r="F268" s="380" t="s">
        <v>666</v>
      </c>
      <c r="G268" s="366">
        <v>149.03</v>
      </c>
      <c r="H268" s="205">
        <f>IF(VLOOKUP(J268,'HOURLY RATES'!B$116:C$124,2,0)=0,$J$3,VLOOKUP(J268,'HOURLY RATES'!B$116:C$124,2,0))</f>
        <v>0.05</v>
      </c>
      <c r="I268" s="317">
        <f t="shared" si="219"/>
        <v>156.48150000000001</v>
      </c>
      <c r="J268" s="192" t="s">
        <v>19</v>
      </c>
      <c r="K268" s="233">
        <v>0.03</v>
      </c>
      <c r="L268" s="228">
        <f t="shared" si="220"/>
        <v>4.694445</v>
      </c>
      <c r="M268" s="194">
        <f>IF(VLOOKUP(E268,'HOURLY RATES'!C$6:D$105,2,0)=0,$E$3,VLOOKUP(E268,'HOURLY RATES'!C$6:D$105,2,0))</f>
        <v>77.172637500000008</v>
      </c>
      <c r="N268" s="206">
        <f t="shared" si="221"/>
        <v>362.28270224868754</v>
      </c>
      <c r="O268" s="229">
        <f>20.06/12</f>
        <v>1.6716666666666666</v>
      </c>
      <c r="P268" s="197">
        <f t="shared" si="222"/>
        <v>261.58490749999999</v>
      </c>
      <c r="Q268" s="198">
        <f t="shared" si="223"/>
        <v>623.86760974868753</v>
      </c>
      <c r="R268" s="199"/>
      <c r="X268" s="257"/>
    </row>
    <row r="269" spans="1:24" s="12" customFormat="1" x14ac:dyDescent="0.2">
      <c r="A269" s="367" t="str">
        <f>IF(J269&lt;&gt;"",1+MAX($A$18:A268),"")</f>
        <v/>
      </c>
      <c r="B269" s="368"/>
      <c r="C269" s="368"/>
      <c r="D269" s="368"/>
      <c r="E269" s="255"/>
      <c r="F269" s="380"/>
      <c r="G269" s="366"/>
      <c r="H269" s="205"/>
      <c r="I269" s="317"/>
      <c r="J269" s="192"/>
      <c r="K269" s="233"/>
      <c r="L269" s="228"/>
      <c r="M269" s="194"/>
      <c r="N269" s="206"/>
      <c r="O269" s="229"/>
      <c r="P269" s="197"/>
      <c r="Q269" s="198"/>
      <c r="R269" s="199"/>
      <c r="X269" s="257"/>
    </row>
    <row r="270" spans="1:24" s="12" customFormat="1" x14ac:dyDescent="0.2">
      <c r="A270" s="367">
        <f>IF(J270&lt;&gt;"",1+MAX($A$18:A269),"")</f>
        <v>154</v>
      </c>
      <c r="B270" s="368" t="s">
        <v>630</v>
      </c>
      <c r="C270" s="368" t="s">
        <v>630</v>
      </c>
      <c r="D270" s="201" t="s">
        <v>48</v>
      </c>
      <c r="E270" s="255" t="s">
        <v>61</v>
      </c>
      <c r="F270" s="380" t="s">
        <v>668</v>
      </c>
      <c r="G270" s="366">
        <v>33</v>
      </c>
      <c r="H270" s="205">
        <f>IF(VLOOKUP(J270,'HOURLY RATES'!B$116:C$124,2,0)=0,$J$3,VLOOKUP(J270,'HOURLY RATES'!B$116:C$124,2,0))</f>
        <v>0.05</v>
      </c>
      <c r="I270" s="317">
        <f t="shared" si="219"/>
        <v>34.65</v>
      </c>
      <c r="J270" s="192" t="s">
        <v>19</v>
      </c>
      <c r="K270" s="233">
        <v>3.5000000000000003E-2</v>
      </c>
      <c r="L270" s="228">
        <f>K270*I270</f>
        <v>1.21275</v>
      </c>
      <c r="M270" s="194">
        <f>IF(VLOOKUP(E270,'HOURLY RATES'!C$6:D$105,2,0)=0,$E$3,VLOOKUP(E270,'HOURLY RATES'!C$6:D$105,2,0))</f>
        <v>77.172637500000008</v>
      </c>
      <c r="N270" s="206">
        <f>M270*L270</f>
        <v>93.591116128125009</v>
      </c>
      <c r="O270" s="229">
        <v>2.15</v>
      </c>
      <c r="P270" s="197">
        <f t="shared" si="222"/>
        <v>74.497499999999988</v>
      </c>
      <c r="Q270" s="198">
        <f t="shared" si="223"/>
        <v>168.08861612812501</v>
      </c>
      <c r="R270" s="199"/>
      <c r="X270" s="257"/>
    </row>
    <row r="271" spans="1:24" s="12" customFormat="1" x14ac:dyDescent="0.2">
      <c r="A271" s="367" t="str">
        <f>IF(J271&lt;&gt;"",1+MAX($A$18:A270),"")</f>
        <v/>
      </c>
      <c r="B271" s="368"/>
      <c r="C271" s="368"/>
      <c r="D271" s="368"/>
      <c r="E271" s="255"/>
      <c r="F271" s="380"/>
      <c r="G271" s="366"/>
      <c r="H271" s="205"/>
      <c r="I271" s="317"/>
      <c r="J271" s="192"/>
      <c r="K271" s="233"/>
      <c r="L271" s="228"/>
      <c r="M271" s="194"/>
      <c r="N271" s="206"/>
      <c r="O271" s="229"/>
      <c r="P271" s="197"/>
      <c r="Q271" s="198"/>
      <c r="R271" s="199"/>
      <c r="X271" s="257"/>
    </row>
    <row r="272" spans="1:24" s="12" customFormat="1" x14ac:dyDescent="0.2">
      <c r="A272" s="204">
        <f>IF(J272&lt;&gt;"",1+MAX($A$18:A271),"")</f>
        <v>155</v>
      </c>
      <c r="B272" s="201" t="s">
        <v>463</v>
      </c>
      <c r="C272" s="201" t="s">
        <v>470</v>
      </c>
      <c r="D272" s="201" t="s">
        <v>48</v>
      </c>
      <c r="E272" s="255" t="s">
        <v>76</v>
      </c>
      <c r="F272" s="188" t="s">
        <v>678</v>
      </c>
      <c r="G272" s="310">
        <f>10+187</f>
        <v>197</v>
      </c>
      <c r="H272" s="205">
        <f>IF(VLOOKUP(J272,'HOURLY RATES'!B$116:C$124,2,0)=0,$J$3,VLOOKUP(J272,'HOURLY RATES'!B$116:C$124,2,0))</f>
        <v>0.05</v>
      </c>
      <c r="I272" s="317">
        <f t="shared" si="219"/>
        <v>206.85000000000002</v>
      </c>
      <c r="J272" s="192" t="s">
        <v>19</v>
      </c>
      <c r="K272" s="233">
        <v>4.2000000000000003E-2</v>
      </c>
      <c r="L272" s="228">
        <f t="shared" ref="L272:L273" si="224">K272*I272</f>
        <v>8.6877000000000013</v>
      </c>
      <c r="M272" s="194">
        <f>IF(VLOOKUP(E272,'HOURLY RATES'!C$6:D$105,2,0)=0,$E$3,VLOOKUP(E272,'HOURLY RATES'!C$6:D$105,2,0))</f>
        <v>69.559850000000012</v>
      </c>
      <c r="N272" s="206">
        <f t="shared" ref="N272:N273" si="225">M272*L272</f>
        <v>604.31510884500017</v>
      </c>
      <c r="O272" s="229">
        <v>3.6</v>
      </c>
      <c r="P272" s="197">
        <f t="shared" si="222"/>
        <v>744.66000000000008</v>
      </c>
      <c r="Q272" s="198">
        <f t="shared" si="223"/>
        <v>1348.9751088450002</v>
      </c>
      <c r="R272" s="199"/>
      <c r="X272" s="257"/>
    </row>
    <row r="273" spans="1:24" s="12" customFormat="1" x14ac:dyDescent="0.2">
      <c r="A273" s="204">
        <f>IF(J273&lt;&gt;"",1+MAX($A$18:A272),"")</f>
        <v>156</v>
      </c>
      <c r="B273" s="201" t="s">
        <v>463</v>
      </c>
      <c r="C273" s="201" t="s">
        <v>470</v>
      </c>
      <c r="D273" s="201" t="s">
        <v>48</v>
      </c>
      <c r="E273" s="255" t="s">
        <v>76</v>
      </c>
      <c r="F273" s="188" t="s">
        <v>714</v>
      </c>
      <c r="G273" s="310">
        <f>886.72</f>
        <v>886.72</v>
      </c>
      <c r="H273" s="205">
        <f>IF(VLOOKUP(J273,'HOURLY RATES'!B$116:C$124,2,0)=0,$J$3,VLOOKUP(J273,'HOURLY RATES'!B$116:C$124,2,0))</f>
        <v>0.05</v>
      </c>
      <c r="I273" s="317">
        <f t="shared" si="219"/>
        <v>931.05600000000004</v>
      </c>
      <c r="J273" s="192" t="s">
        <v>19</v>
      </c>
      <c r="K273" s="233">
        <v>4.2000000000000003E-2</v>
      </c>
      <c r="L273" s="228">
        <f t="shared" si="224"/>
        <v>39.104352000000006</v>
      </c>
      <c r="M273" s="194">
        <f>IF(VLOOKUP(E273,'HOURLY RATES'!C$6:D$105,2,0)=0,$E$3,VLOOKUP(E273,'HOURLY RATES'!C$6:D$105,2,0))</f>
        <v>69.559850000000012</v>
      </c>
      <c r="N273" s="206">
        <f t="shared" si="225"/>
        <v>2720.0928594672009</v>
      </c>
      <c r="O273" s="229">
        <v>3.6</v>
      </c>
      <c r="P273" s="197">
        <f t="shared" si="222"/>
        <v>3351.8016000000002</v>
      </c>
      <c r="Q273" s="198">
        <f t="shared" si="223"/>
        <v>6071.8944594672012</v>
      </c>
      <c r="R273" s="199"/>
      <c r="X273" s="257"/>
    </row>
    <row r="274" spans="1:24" s="12" customFormat="1" x14ac:dyDescent="0.2">
      <c r="A274" s="204" t="str">
        <f>IF(J274&lt;&gt;"",1+MAX($A$18:A273),"")</f>
        <v/>
      </c>
      <c r="B274" s="201"/>
      <c r="C274" s="201"/>
      <c r="D274" s="201"/>
      <c r="E274" s="255"/>
      <c r="F274" s="188"/>
      <c r="G274" s="310"/>
      <c r="H274" s="205"/>
      <c r="I274" s="317"/>
      <c r="J274" s="192"/>
      <c r="K274" s="233"/>
      <c r="L274" s="249"/>
      <c r="M274" s="194"/>
      <c r="N274" s="206"/>
      <c r="O274" s="229"/>
      <c r="P274" s="197"/>
      <c r="Q274" s="198"/>
      <c r="R274" s="199"/>
      <c r="X274" s="257"/>
    </row>
    <row r="275" spans="1:24" s="12" customFormat="1" x14ac:dyDescent="0.2">
      <c r="A275" s="204" t="str">
        <f>IF(J275&lt;&gt;"",1+MAX($A$18:A274),"")</f>
        <v/>
      </c>
      <c r="B275" s="201"/>
      <c r="C275" s="201"/>
      <c r="D275" s="201"/>
      <c r="E275" s="255"/>
      <c r="F275" s="369" t="s">
        <v>765</v>
      </c>
      <c r="G275" s="310"/>
      <c r="H275" s="205"/>
      <c r="I275" s="317"/>
      <c r="J275" s="192"/>
      <c r="K275" s="233"/>
      <c r="L275" s="249"/>
      <c r="M275" s="194"/>
      <c r="N275" s="206"/>
      <c r="O275" s="229"/>
      <c r="P275" s="197"/>
      <c r="Q275" s="198"/>
      <c r="R275" s="199"/>
      <c r="X275" s="257"/>
    </row>
    <row r="276" spans="1:24" s="12" customFormat="1" x14ac:dyDescent="0.2">
      <c r="A276" s="204">
        <f>IF(J276&lt;&gt;"",1+MAX($A$18:A275),"")</f>
        <v>157</v>
      </c>
      <c r="B276" s="201"/>
      <c r="C276" s="201"/>
      <c r="D276" s="368" t="s">
        <v>48</v>
      </c>
      <c r="E276" s="255" t="s">
        <v>270</v>
      </c>
      <c r="F276" s="188" t="s">
        <v>679</v>
      </c>
      <c r="G276" s="310">
        <f>44*38</f>
        <v>1672</v>
      </c>
      <c r="H276" s="205">
        <f>IF(VLOOKUP(J276,'HOURLY RATES'!B$116:C$124,2,0)=0,$J$3,VLOOKUP(J276,'HOURLY RATES'!B$116:C$124,2,0))</f>
        <v>0.05</v>
      </c>
      <c r="I276" s="317">
        <f t="shared" ref="I276" si="226">(G276*(1+H276))</f>
        <v>1755.6000000000001</v>
      </c>
      <c r="J276" s="192" t="s">
        <v>19</v>
      </c>
      <c r="K276" s="382">
        <v>1.6E-2</v>
      </c>
      <c r="L276" s="249">
        <f>K276*I276</f>
        <v>28.089600000000004</v>
      </c>
      <c r="M276" s="194">
        <f>IF(VLOOKUP(E276,'HOURLY RATES'!C$6:D$105,2,0)=0,$E$3,VLOOKUP(E276,'HOURLY RATES'!C$6:D$105,2,0))</f>
        <v>66.337424999999996</v>
      </c>
      <c r="N276" s="206">
        <f>M276*L276</f>
        <v>1863.3917332800002</v>
      </c>
      <c r="O276" s="377">
        <v>0.05</v>
      </c>
      <c r="P276" s="197">
        <f t="shared" ref="P276" si="227">O276*I276</f>
        <v>87.780000000000015</v>
      </c>
      <c r="Q276" s="198">
        <f>P276+N276</f>
        <v>1951.1717332800001</v>
      </c>
      <c r="R276" s="199"/>
      <c r="X276" s="257"/>
    </row>
    <row r="277" spans="1:24" s="12" customFormat="1" x14ac:dyDescent="0.2">
      <c r="A277" s="204" t="str">
        <f>IF(J277&lt;&gt;"",1+MAX($A$18:A276),"")</f>
        <v/>
      </c>
      <c r="B277" s="201"/>
      <c r="C277" s="201"/>
      <c r="D277" s="201"/>
      <c r="E277" s="255"/>
      <c r="F277" s="246"/>
      <c r="G277" s="310"/>
      <c r="H277" s="205"/>
      <c r="I277" s="317"/>
      <c r="J277" s="192"/>
      <c r="K277" s="233"/>
      <c r="L277" s="228"/>
      <c r="M277" s="194"/>
      <c r="N277" s="206"/>
      <c r="O277" s="229"/>
      <c r="P277" s="197"/>
      <c r="Q277" s="198"/>
      <c r="R277" s="199"/>
      <c r="X277" s="257"/>
    </row>
    <row r="278" spans="1:24" s="12" customFormat="1" x14ac:dyDescent="0.2">
      <c r="A278" s="204">
        <f>IF(J278&lt;&gt;"",1+MAX($A$18:A277),"")</f>
        <v>158</v>
      </c>
      <c r="B278" s="201"/>
      <c r="C278" s="201"/>
      <c r="D278" s="201" t="s">
        <v>48</v>
      </c>
      <c r="E278" s="255" t="s">
        <v>293</v>
      </c>
      <c r="F278" s="216" t="s">
        <v>672</v>
      </c>
      <c r="G278" s="310">
        <f>327*15</f>
        <v>4905</v>
      </c>
      <c r="H278" s="205">
        <f>IF(VLOOKUP(J278,'HOURLY RATES'!B$116:C$124,2,0)=0,$J$3,VLOOKUP(J278,'HOURLY RATES'!B$116:C$124,2,0))</f>
        <v>0.05</v>
      </c>
      <c r="I278" s="317">
        <f t="shared" ref="I278" si="228">(G278*(1+H278))</f>
        <v>5150.25</v>
      </c>
      <c r="J278" s="192" t="s">
        <v>17</v>
      </c>
      <c r="K278" s="238">
        <f>1.5*0.006</f>
        <v>9.0000000000000011E-3</v>
      </c>
      <c r="L278" s="228">
        <f t="shared" ref="L278" si="229">K278*I278</f>
        <v>46.352250000000005</v>
      </c>
      <c r="M278" s="194">
        <f>IF(VLOOKUP(E278,'HOURLY RATES'!C$6:D$105,2,0)=0,$E$3,VLOOKUP(E278,'HOURLY RATES'!C$6:D$105,2,0))</f>
        <v>65.462710625</v>
      </c>
      <c r="N278" s="206">
        <f t="shared" ref="N278" si="230">M278*L278</f>
        <v>3034.3439285676563</v>
      </c>
      <c r="O278" s="234"/>
      <c r="P278" s="197">
        <f t="shared" ref="P278" si="231">O278*I278</f>
        <v>0</v>
      </c>
      <c r="Q278" s="198">
        <f t="shared" ref="Q278" si="232">P278+N278</f>
        <v>3034.3439285676563</v>
      </c>
      <c r="R278" s="199"/>
      <c r="X278" s="257"/>
    </row>
    <row r="279" spans="1:24" s="12" customFormat="1" x14ac:dyDescent="0.2">
      <c r="A279" s="204">
        <f>IF(J279&lt;&gt;"",1+MAX($A$18:A278),"")</f>
        <v>159</v>
      </c>
      <c r="B279" s="201"/>
      <c r="C279" s="201"/>
      <c r="D279" s="201" t="s">
        <v>48</v>
      </c>
      <c r="E279" s="255" t="s">
        <v>61</v>
      </c>
      <c r="F279" s="216" t="s">
        <v>671</v>
      </c>
      <c r="G279" s="310">
        <f>109*16</f>
        <v>1744</v>
      </c>
      <c r="H279" s="205">
        <f>IF(VLOOKUP(J279,'HOURLY RATES'!B$116:C$124,2,0)=0,$J$3,VLOOKUP(J279,'HOURLY RATES'!B$116:C$124,2,0))</f>
        <v>0.05</v>
      </c>
      <c r="I279" s="317">
        <f t="shared" ref="I279" si="233">(G279*(1+H279))</f>
        <v>1831.2</v>
      </c>
      <c r="J279" s="192" t="s">
        <v>17</v>
      </c>
      <c r="K279" s="238">
        <f>1.5*0.006</f>
        <v>9.0000000000000011E-3</v>
      </c>
      <c r="L279" s="228">
        <f t="shared" ref="L279" si="234">K279*I279</f>
        <v>16.480800000000002</v>
      </c>
      <c r="M279" s="194">
        <f>IF(VLOOKUP(E279,'HOURLY RATES'!C$6:D$105,2,0)=0,$E$3,VLOOKUP(E279,'HOURLY RATES'!C$6:D$105,2,0))</f>
        <v>77.172637500000008</v>
      </c>
      <c r="N279" s="206">
        <f t="shared" ref="N279" si="235">M279*L279</f>
        <v>1271.8668041100002</v>
      </c>
      <c r="O279" s="234"/>
      <c r="P279" s="197">
        <f t="shared" ref="P279" si="236">O279*I279</f>
        <v>0</v>
      </c>
      <c r="Q279" s="198">
        <f t="shared" ref="Q279" si="237">P279+N279</f>
        <v>1271.8668041100002</v>
      </c>
      <c r="R279" s="199"/>
      <c r="X279" s="257"/>
    </row>
    <row r="280" spans="1:24" s="12" customFormat="1" ht="16.5" thickBot="1" x14ac:dyDescent="0.25">
      <c r="A280" s="263" t="str">
        <f>IF(J280&lt;&gt;"",1+MAX($A$18:A279),"")</f>
        <v/>
      </c>
      <c r="B280" s="264"/>
      <c r="C280" s="264"/>
      <c r="D280" s="264"/>
      <c r="E280" s="404"/>
      <c r="F280" s="265" t="s">
        <v>28</v>
      </c>
      <c r="G280" s="313"/>
      <c r="H280" s="267"/>
      <c r="I280" s="319"/>
      <c r="J280" s="359"/>
      <c r="K280" s="291"/>
      <c r="L280" s="269"/>
      <c r="M280" s="272"/>
      <c r="N280" s="273"/>
      <c r="O280" s="292"/>
      <c r="P280" s="275"/>
      <c r="Q280" s="276"/>
      <c r="R280" s="277"/>
      <c r="X280" s="257"/>
    </row>
    <row r="281" spans="1:24" s="12" customFormat="1" ht="20.100000000000001" customHeight="1" x14ac:dyDescent="0.2">
      <c r="A281" s="475" t="str">
        <f>IF(J281&lt;&gt;"",1+MAX($A$18:A280),"")</f>
        <v/>
      </c>
      <c r="B281" s="476"/>
      <c r="C281" s="476"/>
      <c r="D281" s="476" t="s">
        <v>26</v>
      </c>
      <c r="E281" s="481"/>
      <c r="F281" s="477" t="s">
        <v>29</v>
      </c>
      <c r="G281" s="482"/>
      <c r="H281" s="479"/>
      <c r="I281" s="483"/>
      <c r="J281" s="483"/>
      <c r="K281" s="479"/>
      <c r="L281" s="479"/>
      <c r="M281" s="479"/>
      <c r="N281" s="479"/>
      <c r="O281" s="479"/>
      <c r="P281" s="479"/>
      <c r="Q281" s="479"/>
      <c r="R281" s="480">
        <f>SUM(Q282:Q346)</f>
        <v>300262.00417872379</v>
      </c>
      <c r="X281" s="257"/>
    </row>
    <row r="282" spans="1:24" s="12" customFormat="1" x14ac:dyDescent="0.2">
      <c r="A282" s="204" t="str">
        <f>IF(J282&lt;&gt;"",1+MAX($A$18:A281),"")</f>
        <v/>
      </c>
      <c r="B282" s="201"/>
      <c r="C282" s="201"/>
      <c r="D282" s="201"/>
      <c r="E282" s="255"/>
      <c r="F282" s="188" t="s">
        <v>28</v>
      </c>
      <c r="G282" s="310"/>
      <c r="H282" s="190"/>
      <c r="I282" s="317"/>
      <c r="J282" s="192"/>
      <c r="K282" s="242"/>
      <c r="L282" s="192"/>
      <c r="M282" s="194"/>
      <c r="N282" s="206"/>
      <c r="O282" s="234"/>
      <c r="P282" s="197"/>
      <c r="Q282" s="198"/>
      <c r="R282" s="199"/>
      <c r="X282" s="257"/>
    </row>
    <row r="283" spans="1:24" s="12" customFormat="1" x14ac:dyDescent="0.2">
      <c r="A283" s="367" t="str">
        <f>IF(J283&lt;&gt;"",1+MAX($A$18:A282),"")</f>
        <v/>
      </c>
      <c r="B283" s="368"/>
      <c r="C283" s="368"/>
      <c r="D283" s="368"/>
      <c r="E283" s="394"/>
      <c r="F283" s="369" t="s">
        <v>70</v>
      </c>
      <c r="G283" s="366"/>
      <c r="H283" s="370"/>
      <c r="I283" s="371"/>
      <c r="J283" s="372"/>
      <c r="K283" s="373"/>
      <c r="L283" s="374"/>
      <c r="M283" s="375"/>
      <c r="N283" s="376"/>
      <c r="O283" s="377"/>
      <c r="P283" s="378"/>
      <c r="Q283" s="379"/>
      <c r="R283" s="199"/>
      <c r="X283" s="257"/>
    </row>
    <row r="284" spans="1:24" s="12" customFormat="1" x14ac:dyDescent="0.2">
      <c r="A284" s="367">
        <f>IF(J284&lt;&gt;"",1+MAX($A$18:A283),"")</f>
        <v>160</v>
      </c>
      <c r="B284" s="368" t="s">
        <v>541</v>
      </c>
      <c r="C284" s="368" t="s">
        <v>541</v>
      </c>
      <c r="D284" s="368" t="s">
        <v>26</v>
      </c>
      <c r="E284" s="255" t="s">
        <v>148</v>
      </c>
      <c r="F284" s="380" t="s">
        <v>722</v>
      </c>
      <c r="G284" s="366">
        <v>3</v>
      </c>
      <c r="H284" s="205">
        <f>IF(VLOOKUP(J284,'HOURLY RATES'!B$116:C$124,2,0)=0,$J$3,VLOOKUP(J284,'HOURLY RATES'!B$116:C$124,2,0))</f>
        <v>0</v>
      </c>
      <c r="I284" s="317">
        <f t="shared" ref="I284:I299" si="238">(G284*(1+H284))</f>
        <v>3</v>
      </c>
      <c r="J284" s="192" t="s">
        <v>16</v>
      </c>
      <c r="K284" s="382">
        <v>7.12</v>
      </c>
      <c r="L284" s="228">
        <f t="shared" ref="L284:L299" si="239">K284*I284</f>
        <v>21.36</v>
      </c>
      <c r="M284" s="194">
        <f>IF(VLOOKUP(E284,'HOURLY RATES'!C$6:D$105,2,0)=0,$E$3,VLOOKUP(E284,'HOURLY RATES'!C$6:D$105,2,0))</f>
        <v>69.559850000000012</v>
      </c>
      <c r="N284" s="206">
        <f t="shared" ref="N284:N299" si="240">M284*L284</f>
        <v>1485.7983960000001</v>
      </c>
      <c r="O284" s="377">
        <f>48.5*6*8</f>
        <v>2328</v>
      </c>
      <c r="P284" s="197">
        <f t="shared" ref="P284:P299" si="241">O284*I284</f>
        <v>6984</v>
      </c>
      <c r="Q284" s="198">
        <f t="shared" ref="Q284:Q299" si="242">P284+N284</f>
        <v>8469.7983960000001</v>
      </c>
      <c r="R284" s="199"/>
      <c r="X284" s="257"/>
    </row>
    <row r="285" spans="1:24" s="12" customFormat="1" x14ac:dyDescent="0.2">
      <c r="A285" s="367">
        <f>IF(J285&lt;&gt;"",1+MAX($A$18:A284),"")</f>
        <v>161</v>
      </c>
      <c r="B285" s="368" t="s">
        <v>541</v>
      </c>
      <c r="C285" s="368" t="s">
        <v>541</v>
      </c>
      <c r="D285" s="368" t="s">
        <v>26</v>
      </c>
      <c r="E285" s="255" t="s">
        <v>148</v>
      </c>
      <c r="F285" s="380" t="s">
        <v>542</v>
      </c>
      <c r="G285" s="366">
        <v>2</v>
      </c>
      <c r="H285" s="205">
        <f>IF(VLOOKUP(J285,'HOURLY RATES'!B$116:C$124,2,0)=0,$J$3,VLOOKUP(J285,'HOURLY RATES'!B$116:C$124,2,0))</f>
        <v>0</v>
      </c>
      <c r="I285" s="317">
        <f t="shared" si="238"/>
        <v>2</v>
      </c>
      <c r="J285" s="192" t="s">
        <v>16</v>
      </c>
      <c r="K285" s="382">
        <v>4.665</v>
      </c>
      <c r="L285" s="228">
        <f t="shared" si="239"/>
        <v>9.33</v>
      </c>
      <c r="M285" s="194">
        <f>IF(VLOOKUP(E285,'HOURLY RATES'!C$6:D$105,2,0)=0,$E$3,VLOOKUP(E285,'HOURLY RATES'!C$6:D$105,2,0))</f>
        <v>69.559850000000012</v>
      </c>
      <c r="N285" s="206">
        <f t="shared" si="240"/>
        <v>648.99340050000012</v>
      </c>
      <c r="O285" s="377">
        <f>28.5*3*8</f>
        <v>684</v>
      </c>
      <c r="P285" s="197">
        <f t="shared" si="241"/>
        <v>1368</v>
      </c>
      <c r="Q285" s="198">
        <f t="shared" si="242"/>
        <v>2016.9934005</v>
      </c>
      <c r="R285" s="199"/>
      <c r="X285" s="257"/>
    </row>
    <row r="286" spans="1:24" s="12" customFormat="1" x14ac:dyDescent="0.2">
      <c r="A286" s="367">
        <f>IF(J286&lt;&gt;"",1+MAX($A$18:A285),"")</f>
        <v>162</v>
      </c>
      <c r="B286" s="368" t="s">
        <v>541</v>
      </c>
      <c r="C286" s="368" t="s">
        <v>541</v>
      </c>
      <c r="D286" s="368" t="s">
        <v>26</v>
      </c>
      <c r="E286" s="255" t="s">
        <v>148</v>
      </c>
      <c r="F286" s="380" t="s">
        <v>543</v>
      </c>
      <c r="G286" s="366">
        <v>1</v>
      </c>
      <c r="H286" s="205">
        <f>IF(VLOOKUP(J286,'HOURLY RATES'!B$116:C$124,2,0)=0,$J$3,VLOOKUP(J286,'HOURLY RATES'!B$116:C$124,2,0))</f>
        <v>0</v>
      </c>
      <c r="I286" s="317">
        <f t="shared" si="238"/>
        <v>1</v>
      </c>
      <c r="J286" s="192" t="s">
        <v>16</v>
      </c>
      <c r="K286" s="382">
        <v>5.125</v>
      </c>
      <c r="L286" s="228">
        <f t="shared" si="239"/>
        <v>5.125</v>
      </c>
      <c r="M286" s="194">
        <f>IF(VLOOKUP(E286,'HOURLY RATES'!C$6:D$105,2,0)=0,$E$3,VLOOKUP(E286,'HOURLY RATES'!C$6:D$105,2,0))</f>
        <v>69.559850000000012</v>
      </c>
      <c r="N286" s="206">
        <f t="shared" si="240"/>
        <v>356.49423125000004</v>
      </c>
      <c r="O286" s="377">
        <f>45.5*3*8</f>
        <v>1092</v>
      </c>
      <c r="P286" s="197">
        <f t="shared" si="241"/>
        <v>1092</v>
      </c>
      <c r="Q286" s="198">
        <f t="shared" si="242"/>
        <v>1448.49423125</v>
      </c>
      <c r="R286" s="199"/>
      <c r="X286" s="257"/>
    </row>
    <row r="287" spans="1:24" s="12" customFormat="1" x14ac:dyDescent="0.2">
      <c r="A287" s="367">
        <f>IF(J287&lt;&gt;"",1+MAX($A$18:A286),"")</f>
        <v>163</v>
      </c>
      <c r="B287" s="368" t="s">
        <v>541</v>
      </c>
      <c r="C287" s="368" t="s">
        <v>541</v>
      </c>
      <c r="D287" s="368" t="s">
        <v>26</v>
      </c>
      <c r="E287" s="255" t="s">
        <v>148</v>
      </c>
      <c r="F287" s="380" t="s">
        <v>544</v>
      </c>
      <c r="G287" s="366">
        <v>1</v>
      </c>
      <c r="H287" s="205">
        <f>IF(VLOOKUP(J287,'HOURLY RATES'!B$116:C$124,2,0)=0,$J$3,VLOOKUP(J287,'HOURLY RATES'!B$116:C$124,2,0))</f>
        <v>0</v>
      </c>
      <c r="I287" s="317">
        <f t="shared" si="238"/>
        <v>1</v>
      </c>
      <c r="J287" s="192" t="s">
        <v>16</v>
      </c>
      <c r="K287" s="382">
        <v>4.665</v>
      </c>
      <c r="L287" s="228">
        <f t="shared" ref="L287:L288" si="243">K287*I287</f>
        <v>4.665</v>
      </c>
      <c r="M287" s="194">
        <f>IF(VLOOKUP(E287,'HOURLY RATES'!C$6:D$105,2,0)=0,$E$3,VLOOKUP(E287,'HOURLY RATES'!C$6:D$105,2,0))</f>
        <v>69.559850000000012</v>
      </c>
      <c r="N287" s="206">
        <f t="shared" ref="N287:N288" si="244">M287*L287</f>
        <v>324.49670025000006</v>
      </c>
      <c r="O287" s="377">
        <f>28.5*3*8</f>
        <v>684</v>
      </c>
      <c r="P287" s="197">
        <f t="shared" si="241"/>
        <v>684</v>
      </c>
      <c r="Q287" s="198">
        <f t="shared" si="242"/>
        <v>1008.49670025</v>
      </c>
      <c r="R287" s="199"/>
      <c r="X287" s="257"/>
    </row>
    <row r="288" spans="1:24" s="12" customFormat="1" x14ac:dyDescent="0.2">
      <c r="A288" s="367">
        <f>IF(J288&lt;&gt;"",1+MAX($A$18:A287),"")</f>
        <v>164</v>
      </c>
      <c r="B288" s="368" t="s">
        <v>541</v>
      </c>
      <c r="C288" s="368" t="s">
        <v>541</v>
      </c>
      <c r="D288" s="368" t="s">
        <v>26</v>
      </c>
      <c r="E288" s="255" t="s">
        <v>148</v>
      </c>
      <c r="F288" s="380" t="s">
        <v>545</v>
      </c>
      <c r="G288" s="366">
        <v>2</v>
      </c>
      <c r="H288" s="205">
        <f>IF(VLOOKUP(J288,'HOURLY RATES'!B$116:C$124,2,0)=0,$J$3,VLOOKUP(J288,'HOURLY RATES'!B$116:C$124,2,0))</f>
        <v>0</v>
      </c>
      <c r="I288" s="317">
        <f t="shared" si="238"/>
        <v>2</v>
      </c>
      <c r="J288" s="192" t="s">
        <v>16</v>
      </c>
      <c r="K288" s="382">
        <v>5.125</v>
      </c>
      <c r="L288" s="228">
        <f t="shared" si="243"/>
        <v>10.25</v>
      </c>
      <c r="M288" s="194">
        <f>IF(VLOOKUP(E288,'HOURLY RATES'!C$6:D$105,2,0)=0,$E$3,VLOOKUP(E288,'HOURLY RATES'!C$6:D$105,2,0))</f>
        <v>69.559850000000012</v>
      </c>
      <c r="N288" s="206">
        <f t="shared" si="244"/>
        <v>712.98846250000008</v>
      </c>
      <c r="O288" s="377">
        <f>45.5*3*8</f>
        <v>1092</v>
      </c>
      <c r="P288" s="197">
        <f t="shared" si="241"/>
        <v>2184</v>
      </c>
      <c r="Q288" s="198">
        <f t="shared" si="242"/>
        <v>2896.9884625</v>
      </c>
      <c r="R288" s="199"/>
      <c r="X288" s="257"/>
    </row>
    <row r="289" spans="1:24" s="12" customFormat="1" x14ac:dyDescent="0.2">
      <c r="A289" s="367">
        <f>IF(J289&lt;&gt;"",1+MAX($A$18:A288),"")</f>
        <v>165</v>
      </c>
      <c r="B289" s="368" t="s">
        <v>541</v>
      </c>
      <c r="C289" s="368" t="s">
        <v>541</v>
      </c>
      <c r="D289" s="368" t="s">
        <v>26</v>
      </c>
      <c r="E289" s="255" t="s">
        <v>148</v>
      </c>
      <c r="F289" s="380" t="s">
        <v>546</v>
      </c>
      <c r="G289" s="366">
        <v>1</v>
      </c>
      <c r="H289" s="205">
        <f>IF(VLOOKUP(J289,'HOURLY RATES'!B$116:C$124,2,0)=0,$J$3,VLOOKUP(J289,'HOURLY RATES'!B$116:C$124,2,0))</f>
        <v>0</v>
      </c>
      <c r="I289" s="317">
        <f t="shared" si="238"/>
        <v>1</v>
      </c>
      <c r="J289" s="192" t="s">
        <v>16</v>
      </c>
      <c r="K289" s="382">
        <v>3.8250000000000002</v>
      </c>
      <c r="L289" s="228">
        <f t="shared" si="239"/>
        <v>3.8250000000000002</v>
      </c>
      <c r="M289" s="194">
        <f>IF(VLOOKUP(E289,'HOURLY RATES'!C$6:D$105,2,0)=0,$E$3,VLOOKUP(E289,'HOURLY RATES'!C$6:D$105,2,0))</f>
        <v>69.559850000000012</v>
      </c>
      <c r="N289" s="206">
        <f t="shared" si="240"/>
        <v>266.06642625000006</v>
      </c>
      <c r="O289" s="377">
        <f>28.5*2*8</f>
        <v>456</v>
      </c>
      <c r="P289" s="197">
        <f t="shared" si="241"/>
        <v>456</v>
      </c>
      <c r="Q289" s="198">
        <f t="shared" si="242"/>
        <v>722.06642625000006</v>
      </c>
      <c r="R289" s="199"/>
      <c r="X289" s="257"/>
    </row>
    <row r="290" spans="1:24" s="12" customFormat="1" x14ac:dyDescent="0.2">
      <c r="A290" s="367">
        <f>IF(J290&lt;&gt;"",1+MAX($A$18:A289),"")</f>
        <v>166</v>
      </c>
      <c r="B290" s="368" t="s">
        <v>541</v>
      </c>
      <c r="C290" s="368" t="s">
        <v>541</v>
      </c>
      <c r="D290" s="368" t="s">
        <v>26</v>
      </c>
      <c r="E290" s="255" t="s">
        <v>148</v>
      </c>
      <c r="F290" s="380" t="s">
        <v>547</v>
      </c>
      <c r="G290" s="366">
        <v>1</v>
      </c>
      <c r="H290" s="205">
        <f>IF(VLOOKUP(J290,'HOURLY RATES'!B$116:C$124,2,0)=0,$J$3,VLOOKUP(J290,'HOURLY RATES'!B$116:C$124,2,0))</f>
        <v>0</v>
      </c>
      <c r="I290" s="317">
        <f t="shared" si="238"/>
        <v>1</v>
      </c>
      <c r="J290" s="192" t="s">
        <v>16</v>
      </c>
      <c r="K290" s="382">
        <v>5.125</v>
      </c>
      <c r="L290" s="228">
        <f t="shared" si="239"/>
        <v>5.125</v>
      </c>
      <c r="M290" s="194">
        <f>IF(VLOOKUP(E290,'HOURLY RATES'!C$6:D$105,2,0)=0,$E$3,VLOOKUP(E290,'HOURLY RATES'!C$6:D$105,2,0))</f>
        <v>69.559850000000012</v>
      </c>
      <c r="N290" s="206">
        <f t="shared" si="240"/>
        <v>356.49423125000004</v>
      </c>
      <c r="O290" s="377">
        <f>45.5*3*8</f>
        <v>1092</v>
      </c>
      <c r="P290" s="197">
        <f t="shared" si="241"/>
        <v>1092</v>
      </c>
      <c r="Q290" s="198">
        <f t="shared" si="242"/>
        <v>1448.49423125</v>
      </c>
      <c r="R290" s="199"/>
      <c r="X290" s="257"/>
    </row>
    <row r="291" spans="1:24" s="12" customFormat="1" x14ac:dyDescent="0.2">
      <c r="A291" s="367">
        <f>IF(J291&lt;&gt;"",1+MAX($A$18:A290),"")</f>
        <v>167</v>
      </c>
      <c r="B291" s="368" t="s">
        <v>541</v>
      </c>
      <c r="C291" s="368" t="s">
        <v>541</v>
      </c>
      <c r="D291" s="368" t="s">
        <v>26</v>
      </c>
      <c r="E291" s="255" t="s">
        <v>148</v>
      </c>
      <c r="F291" s="380" t="s">
        <v>548</v>
      </c>
      <c r="G291" s="366">
        <v>22</v>
      </c>
      <c r="H291" s="205">
        <f>IF(VLOOKUP(J291,'HOURLY RATES'!B$116:C$124,2,0)=0,$J$3,VLOOKUP(J291,'HOURLY RATES'!B$116:C$124,2,0))</f>
        <v>0</v>
      </c>
      <c r="I291" s="317">
        <f t="shared" si="238"/>
        <v>22</v>
      </c>
      <c r="J291" s="192" t="s">
        <v>16</v>
      </c>
      <c r="K291" s="382">
        <v>4.665</v>
      </c>
      <c r="L291" s="228">
        <f t="shared" si="239"/>
        <v>102.63</v>
      </c>
      <c r="M291" s="194">
        <f>IF(VLOOKUP(E291,'HOURLY RATES'!C$6:D$105,2,0)=0,$E$3,VLOOKUP(E291,'HOURLY RATES'!C$6:D$105,2,0))</f>
        <v>69.559850000000012</v>
      </c>
      <c r="N291" s="206">
        <f t="shared" si="240"/>
        <v>7138.9274055000005</v>
      </c>
      <c r="O291" s="377">
        <f>28.5*3*8</f>
        <v>684</v>
      </c>
      <c r="P291" s="197">
        <f t="shared" si="241"/>
        <v>15048</v>
      </c>
      <c r="Q291" s="198">
        <f t="shared" si="242"/>
        <v>22186.927405499999</v>
      </c>
      <c r="R291" s="199"/>
      <c r="X291" s="257"/>
    </row>
    <row r="292" spans="1:24" s="12" customFormat="1" x14ac:dyDescent="0.2">
      <c r="A292" s="367">
        <f>IF(J292&lt;&gt;"",1+MAX($A$18:A291),"")</f>
        <v>168</v>
      </c>
      <c r="B292" s="368" t="s">
        <v>541</v>
      </c>
      <c r="C292" s="368" t="s">
        <v>541</v>
      </c>
      <c r="D292" s="368" t="s">
        <v>26</v>
      </c>
      <c r="E292" s="255" t="s">
        <v>148</v>
      </c>
      <c r="F292" s="380" t="s">
        <v>723</v>
      </c>
      <c r="G292" s="366">
        <v>2</v>
      </c>
      <c r="H292" s="205">
        <f>IF(VLOOKUP(J292,'HOURLY RATES'!B$116:C$124,2,0)=0,$J$3,VLOOKUP(J292,'HOURLY RATES'!B$116:C$124,2,0))</f>
        <v>0</v>
      </c>
      <c r="I292" s="317">
        <f t="shared" si="238"/>
        <v>2</v>
      </c>
      <c r="J292" s="192" t="s">
        <v>16</v>
      </c>
      <c r="K292" s="382">
        <v>4.9450000000000003</v>
      </c>
      <c r="L292" s="228">
        <f t="shared" si="239"/>
        <v>9.89</v>
      </c>
      <c r="M292" s="194">
        <f>IF(VLOOKUP(E292,'HOURLY RATES'!C$6:D$105,2,0)=0,$E$3,VLOOKUP(E292,'HOURLY RATES'!C$6:D$105,2,0))</f>
        <v>69.559850000000012</v>
      </c>
      <c r="N292" s="206">
        <f t="shared" si="240"/>
        <v>687.94691650000016</v>
      </c>
      <c r="O292" s="377">
        <f>48.5*3*8</f>
        <v>1164</v>
      </c>
      <c r="P292" s="197">
        <f t="shared" si="241"/>
        <v>2328</v>
      </c>
      <c r="Q292" s="198">
        <f t="shared" si="242"/>
        <v>3015.9469165</v>
      </c>
      <c r="R292" s="199"/>
      <c r="X292" s="257"/>
    </row>
    <row r="293" spans="1:24" s="12" customFormat="1" x14ac:dyDescent="0.2">
      <c r="A293" s="367">
        <f>IF(J293&lt;&gt;"",1+MAX($A$18:A292),"")</f>
        <v>169</v>
      </c>
      <c r="B293" s="368" t="s">
        <v>541</v>
      </c>
      <c r="C293" s="368" t="s">
        <v>541</v>
      </c>
      <c r="D293" s="368" t="s">
        <v>26</v>
      </c>
      <c r="E293" s="255" t="s">
        <v>148</v>
      </c>
      <c r="F293" s="380" t="s">
        <v>724</v>
      </c>
      <c r="G293" s="366">
        <v>1</v>
      </c>
      <c r="H293" s="205">
        <f>IF(VLOOKUP(J293,'HOURLY RATES'!B$116:C$124,2,0)=0,$J$3,VLOOKUP(J293,'HOURLY RATES'!B$116:C$124,2,0))</f>
        <v>0</v>
      </c>
      <c r="I293" s="317">
        <f t="shared" si="238"/>
        <v>1</v>
      </c>
      <c r="J293" s="192" t="s">
        <v>16</v>
      </c>
      <c r="K293" s="382">
        <v>4.9450000000000003</v>
      </c>
      <c r="L293" s="228">
        <f t="shared" si="239"/>
        <v>4.9450000000000003</v>
      </c>
      <c r="M293" s="194">
        <f>IF(VLOOKUP(E293,'HOURLY RATES'!C$6:D$105,2,0)=0,$E$3,VLOOKUP(E293,'HOURLY RATES'!C$6:D$105,2,0))</f>
        <v>69.559850000000012</v>
      </c>
      <c r="N293" s="206">
        <f t="shared" si="240"/>
        <v>343.97345825000008</v>
      </c>
      <c r="O293" s="377">
        <f>48.5*3*8</f>
        <v>1164</v>
      </c>
      <c r="P293" s="197">
        <f t="shared" si="241"/>
        <v>1164</v>
      </c>
      <c r="Q293" s="198">
        <f t="shared" si="242"/>
        <v>1507.97345825</v>
      </c>
      <c r="R293" s="199"/>
      <c r="X293" s="257"/>
    </row>
    <row r="294" spans="1:24" s="12" customFormat="1" x14ac:dyDescent="0.2">
      <c r="A294" s="367">
        <f>IF(J294&lt;&gt;"",1+MAX($A$18:A293),"")</f>
        <v>170</v>
      </c>
      <c r="B294" s="368" t="s">
        <v>541</v>
      </c>
      <c r="C294" s="368" t="s">
        <v>541</v>
      </c>
      <c r="D294" s="368" t="s">
        <v>26</v>
      </c>
      <c r="E294" s="255" t="s">
        <v>148</v>
      </c>
      <c r="F294" s="380" t="s">
        <v>549</v>
      </c>
      <c r="G294" s="366">
        <v>8</v>
      </c>
      <c r="H294" s="205">
        <f>IF(VLOOKUP(J294,'HOURLY RATES'!B$116:C$124,2,0)=0,$J$3,VLOOKUP(J294,'HOURLY RATES'!B$116:C$124,2,0))</f>
        <v>0</v>
      </c>
      <c r="I294" s="317">
        <f t="shared" si="238"/>
        <v>8</v>
      </c>
      <c r="J294" s="192" t="s">
        <v>16</v>
      </c>
      <c r="K294" s="382">
        <v>4.665</v>
      </c>
      <c r="L294" s="228">
        <f t="shared" si="239"/>
        <v>37.32</v>
      </c>
      <c r="M294" s="194">
        <f>IF(VLOOKUP(E294,'HOURLY RATES'!C$6:D$105,2,0)=0,$E$3,VLOOKUP(E294,'HOURLY RATES'!C$6:D$105,2,0))</f>
        <v>69.559850000000012</v>
      </c>
      <c r="N294" s="206">
        <f t="shared" si="240"/>
        <v>2595.9736020000005</v>
      </c>
      <c r="O294" s="377">
        <f t="shared" ref="O294:O295" si="245">28.5*3*8</f>
        <v>684</v>
      </c>
      <c r="P294" s="197">
        <f t="shared" si="241"/>
        <v>5472</v>
      </c>
      <c r="Q294" s="198">
        <f t="shared" si="242"/>
        <v>8067.973602</v>
      </c>
      <c r="R294" s="199"/>
      <c r="X294" s="257"/>
    </row>
    <row r="295" spans="1:24" s="12" customFormat="1" x14ac:dyDescent="0.2">
      <c r="A295" s="367">
        <f>IF(J295&lt;&gt;"",1+MAX($A$18:A294),"")</f>
        <v>171</v>
      </c>
      <c r="B295" s="368" t="s">
        <v>541</v>
      </c>
      <c r="C295" s="368" t="s">
        <v>541</v>
      </c>
      <c r="D295" s="368" t="s">
        <v>26</v>
      </c>
      <c r="E295" s="255" t="s">
        <v>148</v>
      </c>
      <c r="F295" s="380" t="s">
        <v>550</v>
      </c>
      <c r="G295" s="366">
        <v>4</v>
      </c>
      <c r="H295" s="205">
        <f>IF(VLOOKUP(J295,'HOURLY RATES'!B$116:C$124,2,0)=0,$J$3,VLOOKUP(J295,'HOURLY RATES'!B$116:C$124,2,0))</f>
        <v>0</v>
      </c>
      <c r="I295" s="317">
        <f t="shared" si="238"/>
        <v>4</v>
      </c>
      <c r="J295" s="192" t="s">
        <v>16</v>
      </c>
      <c r="K295" s="382">
        <v>4.665</v>
      </c>
      <c r="L295" s="228">
        <f t="shared" si="239"/>
        <v>18.66</v>
      </c>
      <c r="M295" s="194">
        <f>IF(VLOOKUP(E295,'HOURLY RATES'!C$6:D$105,2,0)=0,$E$3,VLOOKUP(E295,'HOURLY RATES'!C$6:D$105,2,0))</f>
        <v>69.559850000000012</v>
      </c>
      <c r="N295" s="206">
        <f t="shared" si="240"/>
        <v>1297.9868010000002</v>
      </c>
      <c r="O295" s="377">
        <f t="shared" si="245"/>
        <v>684</v>
      </c>
      <c r="P295" s="197">
        <f t="shared" si="241"/>
        <v>2736</v>
      </c>
      <c r="Q295" s="198">
        <f t="shared" si="242"/>
        <v>4033.986801</v>
      </c>
      <c r="R295" s="199"/>
      <c r="X295" s="257"/>
    </row>
    <row r="296" spans="1:24" s="12" customFormat="1" x14ac:dyDescent="0.2">
      <c r="A296" s="367">
        <f>IF(J296&lt;&gt;"",1+MAX($A$18:A295),"")</f>
        <v>172</v>
      </c>
      <c r="B296" s="368" t="s">
        <v>541</v>
      </c>
      <c r="C296" s="368" t="s">
        <v>541</v>
      </c>
      <c r="D296" s="368" t="s">
        <v>26</v>
      </c>
      <c r="E296" s="255" t="s">
        <v>148</v>
      </c>
      <c r="F296" s="380" t="s">
        <v>551</v>
      </c>
      <c r="G296" s="366">
        <v>1</v>
      </c>
      <c r="H296" s="205">
        <f>IF(VLOOKUP(J296,'HOURLY RATES'!B$116:C$124,2,0)=0,$J$3,VLOOKUP(J296,'HOURLY RATES'!B$116:C$124,2,0))</f>
        <v>0</v>
      </c>
      <c r="I296" s="317">
        <f t="shared" si="238"/>
        <v>1</v>
      </c>
      <c r="J296" s="192" t="s">
        <v>16</v>
      </c>
      <c r="K296" s="382">
        <v>4.8890000000000002</v>
      </c>
      <c r="L296" s="228">
        <f t="shared" si="239"/>
        <v>4.8890000000000002</v>
      </c>
      <c r="M296" s="194">
        <f>IF(VLOOKUP(E296,'HOURLY RATES'!C$6:D$105,2,0)=0,$E$3,VLOOKUP(E296,'HOURLY RATES'!C$6:D$105,2,0))</f>
        <v>69.559850000000012</v>
      </c>
      <c r="N296" s="206">
        <f t="shared" si="240"/>
        <v>340.07810665000005</v>
      </c>
      <c r="O296" s="377">
        <f>28.5*4*8</f>
        <v>912</v>
      </c>
      <c r="P296" s="197">
        <f t="shared" si="241"/>
        <v>912</v>
      </c>
      <c r="Q296" s="198">
        <f t="shared" si="242"/>
        <v>1252.0781066500001</v>
      </c>
      <c r="R296" s="199"/>
      <c r="X296" s="257"/>
    </row>
    <row r="297" spans="1:24" s="12" customFormat="1" x14ac:dyDescent="0.2">
      <c r="A297" s="367">
        <f>IF(J297&lt;&gt;"",1+MAX($A$18:A296),"")</f>
        <v>173</v>
      </c>
      <c r="B297" s="368" t="s">
        <v>541</v>
      </c>
      <c r="C297" s="368" t="s">
        <v>541</v>
      </c>
      <c r="D297" s="368" t="s">
        <v>26</v>
      </c>
      <c r="E297" s="255" t="s">
        <v>148</v>
      </c>
      <c r="F297" s="380" t="s">
        <v>725</v>
      </c>
      <c r="G297" s="366">
        <v>1</v>
      </c>
      <c r="H297" s="205">
        <f>IF(VLOOKUP(J297,'HOURLY RATES'!B$116:C$124,2,0)=0,$J$3,VLOOKUP(J297,'HOURLY RATES'!B$116:C$124,2,0))</f>
        <v>0</v>
      </c>
      <c r="I297" s="317">
        <f t="shared" si="238"/>
        <v>1</v>
      </c>
      <c r="J297" s="192" t="s">
        <v>16</v>
      </c>
      <c r="K297" s="382">
        <v>4.9450000000000003</v>
      </c>
      <c r="L297" s="228">
        <f t="shared" ref="L297:L298" si="246">K297*I297</f>
        <v>4.9450000000000003</v>
      </c>
      <c r="M297" s="194">
        <f>IF(VLOOKUP(E297,'HOURLY RATES'!C$6:D$105,2,0)=0,$E$3,VLOOKUP(E297,'HOURLY RATES'!C$6:D$105,2,0))</f>
        <v>69.559850000000012</v>
      </c>
      <c r="N297" s="206">
        <f t="shared" ref="N297:N298" si="247">M297*L297</f>
        <v>343.97345825000008</v>
      </c>
      <c r="O297" s="377">
        <f t="shared" ref="O297:O298" si="248">48.5*3*8</f>
        <v>1164</v>
      </c>
      <c r="P297" s="197">
        <f t="shared" si="241"/>
        <v>1164</v>
      </c>
      <c r="Q297" s="198">
        <f t="shared" si="242"/>
        <v>1507.97345825</v>
      </c>
      <c r="R297" s="199"/>
      <c r="X297" s="257"/>
    </row>
    <row r="298" spans="1:24" s="12" customFormat="1" x14ac:dyDescent="0.2">
      <c r="A298" s="367">
        <f>IF(J298&lt;&gt;"",1+MAX($A$18:A297),"")</f>
        <v>174</v>
      </c>
      <c r="B298" s="368" t="s">
        <v>541</v>
      </c>
      <c r="C298" s="368" t="s">
        <v>541</v>
      </c>
      <c r="D298" s="368" t="s">
        <v>26</v>
      </c>
      <c r="E298" s="255" t="s">
        <v>148</v>
      </c>
      <c r="F298" s="380" t="s">
        <v>726</v>
      </c>
      <c r="G298" s="366">
        <v>2</v>
      </c>
      <c r="H298" s="205">
        <f>IF(VLOOKUP(J298,'HOURLY RATES'!B$116:C$124,2,0)=0,$J$3,VLOOKUP(J298,'HOURLY RATES'!B$116:C$124,2,0))</f>
        <v>0</v>
      </c>
      <c r="I298" s="317">
        <f t="shared" si="238"/>
        <v>2</v>
      </c>
      <c r="J298" s="192" t="s">
        <v>16</v>
      </c>
      <c r="K298" s="382">
        <v>4.9450000000000003</v>
      </c>
      <c r="L298" s="228">
        <f t="shared" si="246"/>
        <v>9.89</v>
      </c>
      <c r="M298" s="194">
        <f>IF(VLOOKUP(E298,'HOURLY RATES'!C$6:D$105,2,0)=0,$E$3,VLOOKUP(E298,'HOURLY RATES'!C$6:D$105,2,0))</f>
        <v>69.559850000000012</v>
      </c>
      <c r="N298" s="206">
        <f t="shared" si="247"/>
        <v>687.94691650000016</v>
      </c>
      <c r="O298" s="377">
        <f t="shared" si="248"/>
        <v>1164</v>
      </c>
      <c r="P298" s="197">
        <f t="shared" si="241"/>
        <v>2328</v>
      </c>
      <c r="Q298" s="198">
        <f t="shared" si="242"/>
        <v>3015.9469165</v>
      </c>
      <c r="R298" s="199"/>
      <c r="X298" s="257"/>
    </row>
    <row r="299" spans="1:24" s="12" customFormat="1" x14ac:dyDescent="0.2">
      <c r="A299" s="367">
        <f>IF(J299&lt;&gt;"",1+MAX($A$18:A298),"")</f>
        <v>175</v>
      </c>
      <c r="B299" s="368" t="s">
        <v>541</v>
      </c>
      <c r="C299" s="368" t="s">
        <v>541</v>
      </c>
      <c r="D299" s="368" t="s">
        <v>26</v>
      </c>
      <c r="E299" s="255" t="s">
        <v>148</v>
      </c>
      <c r="F299" s="380" t="s">
        <v>552</v>
      </c>
      <c r="G299" s="366">
        <v>1</v>
      </c>
      <c r="H299" s="205">
        <f>IF(VLOOKUP(J299,'HOURLY RATES'!B$116:C$124,2,0)=0,$J$3,VLOOKUP(J299,'HOURLY RATES'!B$116:C$124,2,0))</f>
        <v>0</v>
      </c>
      <c r="I299" s="317">
        <f t="shared" si="238"/>
        <v>1</v>
      </c>
      <c r="J299" s="192" t="s">
        <v>16</v>
      </c>
      <c r="K299" s="382">
        <v>4.665</v>
      </c>
      <c r="L299" s="228">
        <f t="shared" si="239"/>
        <v>4.665</v>
      </c>
      <c r="M299" s="194">
        <f>IF(VLOOKUP(E299,'HOURLY RATES'!C$6:D$105,2,0)=0,$E$3,VLOOKUP(E299,'HOURLY RATES'!C$6:D$105,2,0))</f>
        <v>69.559850000000012</v>
      </c>
      <c r="N299" s="206">
        <f t="shared" si="240"/>
        <v>324.49670025000006</v>
      </c>
      <c r="O299" s="377">
        <f>28.5*3*8</f>
        <v>684</v>
      </c>
      <c r="P299" s="197">
        <f t="shared" si="241"/>
        <v>684</v>
      </c>
      <c r="Q299" s="198">
        <f t="shared" si="242"/>
        <v>1008.49670025</v>
      </c>
      <c r="R299" s="199"/>
      <c r="X299" s="257"/>
    </row>
    <row r="300" spans="1:24" s="12" customFormat="1" x14ac:dyDescent="0.2">
      <c r="A300" s="367" t="str">
        <f>IF(J300&lt;&gt;"",1+MAX($A$18:A299),"")</f>
        <v/>
      </c>
      <c r="B300" s="368"/>
      <c r="C300" s="368"/>
      <c r="D300" s="368"/>
      <c r="E300" s="255"/>
      <c r="F300" s="380"/>
      <c r="G300" s="366"/>
      <c r="H300" s="370"/>
      <c r="I300" s="371"/>
      <c r="J300" s="372"/>
      <c r="K300" s="382"/>
      <c r="L300" s="374"/>
      <c r="M300" s="375"/>
      <c r="N300" s="376"/>
      <c r="O300" s="377"/>
      <c r="P300" s="378"/>
      <c r="Q300" s="379"/>
      <c r="R300" s="199"/>
      <c r="X300" s="257"/>
    </row>
    <row r="301" spans="1:24" s="12" customFormat="1" x14ac:dyDescent="0.2">
      <c r="A301" s="367" t="str">
        <f>IF(J301&lt;&gt;"",1+MAX($A$18:A300),"")</f>
        <v/>
      </c>
      <c r="B301" s="368"/>
      <c r="C301" s="368"/>
      <c r="D301" s="368"/>
      <c r="E301" s="255"/>
      <c r="F301" s="369" t="s">
        <v>172</v>
      </c>
      <c r="G301" s="366"/>
      <c r="H301" s="370"/>
      <c r="I301" s="371"/>
      <c r="J301" s="372"/>
      <c r="K301" s="373"/>
      <c r="L301" s="374"/>
      <c r="M301" s="375"/>
      <c r="N301" s="376"/>
      <c r="O301" s="377"/>
      <c r="P301" s="378"/>
      <c r="Q301" s="379"/>
      <c r="R301" s="199"/>
      <c r="X301" s="257"/>
    </row>
    <row r="302" spans="1:24" s="12" customFormat="1" ht="157.5" x14ac:dyDescent="0.2">
      <c r="A302" s="367">
        <f>IF(J302&lt;&gt;"",1+MAX($A$18:A301),"")</f>
        <v>176</v>
      </c>
      <c r="B302" s="368" t="s">
        <v>541</v>
      </c>
      <c r="C302" s="368" t="s">
        <v>541</v>
      </c>
      <c r="D302" s="368" t="s">
        <v>26</v>
      </c>
      <c r="E302" s="255" t="s">
        <v>148</v>
      </c>
      <c r="F302" s="380" t="s">
        <v>553</v>
      </c>
      <c r="G302" s="366">
        <v>3</v>
      </c>
      <c r="H302" s="205">
        <f>IF(VLOOKUP(J302,'HOURLY RATES'!B$116:C$124,2,0)=0,$J$3,VLOOKUP(J302,'HOURLY RATES'!B$116:C$124,2,0))</f>
        <v>0</v>
      </c>
      <c r="I302" s="317">
        <f t="shared" ref="I302:I321" si="249">(G302*(1+H302))</f>
        <v>3</v>
      </c>
      <c r="J302" s="192" t="s">
        <v>16</v>
      </c>
      <c r="K302" s="373">
        <v>1.5980000000000001</v>
      </c>
      <c r="L302" s="228">
        <f t="shared" ref="L302:L321" si="250">K302*I302</f>
        <v>4.7940000000000005</v>
      </c>
      <c r="M302" s="194">
        <f>IF(VLOOKUP(E302,'HOURLY RATES'!C$6:D$105,2,0)=0,$E$3,VLOOKUP(E302,'HOURLY RATES'!C$6:D$105,2,0))</f>
        <v>69.559850000000012</v>
      </c>
      <c r="N302" s="206">
        <f t="shared" ref="N302:N321" si="251">M302*L302</f>
        <v>333.46992090000009</v>
      </c>
      <c r="O302" s="377">
        <v>816.52</v>
      </c>
      <c r="P302" s="197">
        <f t="shared" ref="P302:P321" si="252">O302*I302</f>
        <v>2449.56</v>
      </c>
      <c r="Q302" s="198">
        <f t="shared" ref="Q302:Q321" si="253">P302+N302</f>
        <v>2783.0299209</v>
      </c>
      <c r="R302" s="199"/>
      <c r="X302" s="257"/>
    </row>
    <row r="303" spans="1:24" s="12" customFormat="1" ht="94.5" x14ac:dyDescent="0.2">
      <c r="A303" s="367">
        <f>IF(J303&lt;&gt;"",1+MAX($A$18:A302),"")</f>
        <v>177</v>
      </c>
      <c r="B303" s="368" t="s">
        <v>541</v>
      </c>
      <c r="C303" s="368" t="s">
        <v>541</v>
      </c>
      <c r="D303" s="368" t="s">
        <v>26</v>
      </c>
      <c r="E303" s="255" t="s">
        <v>148</v>
      </c>
      <c r="F303" s="380" t="s">
        <v>554</v>
      </c>
      <c r="G303" s="366">
        <v>4</v>
      </c>
      <c r="H303" s="205">
        <f>IF(VLOOKUP(J303,'HOURLY RATES'!B$116:C$124,2,0)=0,$J$3,VLOOKUP(J303,'HOURLY RATES'!B$116:C$124,2,0))</f>
        <v>0</v>
      </c>
      <c r="I303" s="317">
        <f t="shared" si="249"/>
        <v>4</v>
      </c>
      <c r="J303" s="192" t="s">
        <v>16</v>
      </c>
      <c r="K303" s="373">
        <v>2.0339999999999998</v>
      </c>
      <c r="L303" s="228">
        <f t="shared" si="250"/>
        <v>8.1359999999999992</v>
      </c>
      <c r="M303" s="194">
        <f>IF(VLOOKUP(E303,'HOURLY RATES'!C$6:D$105,2,0)=0,$E$3,VLOOKUP(E303,'HOURLY RATES'!C$6:D$105,2,0))</f>
        <v>69.559850000000012</v>
      </c>
      <c r="N303" s="206">
        <f t="shared" si="251"/>
        <v>565.93893960000003</v>
      </c>
      <c r="O303" s="377">
        <v>1188.21</v>
      </c>
      <c r="P303" s="197">
        <f t="shared" si="252"/>
        <v>4752.84</v>
      </c>
      <c r="Q303" s="198">
        <f t="shared" si="253"/>
        <v>5318.7789395999998</v>
      </c>
      <c r="R303" s="199"/>
      <c r="X303" s="257"/>
    </row>
    <row r="304" spans="1:24" s="12" customFormat="1" ht="63" x14ac:dyDescent="0.2">
      <c r="A304" s="367">
        <f>IF(J304&lt;&gt;"",1+MAX($A$18:A303),"")</f>
        <v>178</v>
      </c>
      <c r="B304" s="368" t="s">
        <v>541</v>
      </c>
      <c r="C304" s="368" t="s">
        <v>541</v>
      </c>
      <c r="D304" s="368" t="s">
        <v>26</v>
      </c>
      <c r="E304" s="255" t="s">
        <v>148</v>
      </c>
      <c r="F304" s="380" t="s">
        <v>555</v>
      </c>
      <c r="G304" s="366">
        <v>9</v>
      </c>
      <c r="H304" s="205">
        <f>IF(VLOOKUP(J304,'HOURLY RATES'!B$116:C$124,2,0)=0,$J$3,VLOOKUP(J304,'HOURLY RATES'!B$116:C$124,2,0))</f>
        <v>0</v>
      </c>
      <c r="I304" s="317">
        <f t="shared" si="249"/>
        <v>9</v>
      </c>
      <c r="J304" s="192" t="s">
        <v>16</v>
      </c>
      <c r="K304" s="373">
        <v>0.91500000000000004</v>
      </c>
      <c r="L304" s="228">
        <f t="shared" si="250"/>
        <v>8.2349999999999994</v>
      </c>
      <c r="M304" s="194">
        <f>IF(VLOOKUP(E304,'HOURLY RATES'!C$6:D$105,2,0)=0,$E$3,VLOOKUP(E304,'HOURLY RATES'!C$6:D$105,2,0))</f>
        <v>69.559850000000012</v>
      </c>
      <c r="N304" s="206">
        <f t="shared" si="251"/>
        <v>572.82536475000006</v>
      </c>
      <c r="O304" s="377">
        <v>234.6</v>
      </c>
      <c r="P304" s="197">
        <f t="shared" si="252"/>
        <v>2111.4</v>
      </c>
      <c r="Q304" s="198">
        <f t="shared" si="253"/>
        <v>2684.2253647500002</v>
      </c>
      <c r="R304" s="199"/>
      <c r="X304" s="257"/>
    </row>
    <row r="305" spans="1:24" s="12" customFormat="1" ht="220.5" x14ac:dyDescent="0.2">
      <c r="A305" s="367">
        <f>IF(J305&lt;&gt;"",1+MAX($A$18:A304),"")</f>
        <v>179</v>
      </c>
      <c r="B305" s="368" t="s">
        <v>541</v>
      </c>
      <c r="C305" s="368" t="s">
        <v>541</v>
      </c>
      <c r="D305" s="368" t="s">
        <v>26</v>
      </c>
      <c r="E305" s="255" t="s">
        <v>148</v>
      </c>
      <c r="F305" s="380" t="s">
        <v>556</v>
      </c>
      <c r="G305" s="366">
        <v>2</v>
      </c>
      <c r="H305" s="205">
        <f>IF(VLOOKUP(J305,'HOURLY RATES'!B$116:C$124,2,0)=0,$J$3,VLOOKUP(J305,'HOURLY RATES'!B$116:C$124,2,0))</f>
        <v>0</v>
      </c>
      <c r="I305" s="317">
        <f t="shared" si="249"/>
        <v>2</v>
      </c>
      <c r="J305" s="192" t="s">
        <v>16</v>
      </c>
      <c r="K305" s="373">
        <v>5.7610000000000001</v>
      </c>
      <c r="L305" s="228">
        <f t="shared" si="250"/>
        <v>11.522</v>
      </c>
      <c r="M305" s="194">
        <f>IF(VLOOKUP(E305,'HOURLY RATES'!C$6:D$105,2,0)=0,$E$3,VLOOKUP(E305,'HOURLY RATES'!C$6:D$105,2,0))</f>
        <v>69.559850000000012</v>
      </c>
      <c r="N305" s="206">
        <f t="shared" si="251"/>
        <v>801.46859170000016</v>
      </c>
      <c r="O305" s="377">
        <v>4366.1399999999994</v>
      </c>
      <c r="P305" s="197">
        <f t="shared" si="252"/>
        <v>8732.2799999999988</v>
      </c>
      <c r="Q305" s="198">
        <f t="shared" si="253"/>
        <v>9533.7485916999995</v>
      </c>
      <c r="R305" s="199"/>
      <c r="X305" s="257"/>
    </row>
    <row r="306" spans="1:24" s="12" customFormat="1" ht="204.75" x14ac:dyDescent="0.2">
      <c r="A306" s="367">
        <f>IF(J306&lt;&gt;"",1+MAX($A$18:A305),"")</f>
        <v>180</v>
      </c>
      <c r="B306" s="368" t="s">
        <v>541</v>
      </c>
      <c r="C306" s="368" t="s">
        <v>541</v>
      </c>
      <c r="D306" s="368" t="s">
        <v>26</v>
      </c>
      <c r="E306" s="255" t="s">
        <v>148</v>
      </c>
      <c r="F306" s="380" t="s">
        <v>557</v>
      </c>
      <c r="G306" s="366">
        <v>3</v>
      </c>
      <c r="H306" s="205">
        <f>IF(VLOOKUP(J306,'HOURLY RATES'!B$116:C$124,2,0)=0,$J$3,VLOOKUP(J306,'HOURLY RATES'!B$116:C$124,2,0))</f>
        <v>0</v>
      </c>
      <c r="I306" s="317">
        <f t="shared" si="249"/>
        <v>3</v>
      </c>
      <c r="J306" s="192" t="s">
        <v>16</v>
      </c>
      <c r="K306" s="373">
        <v>2.2160000000000002</v>
      </c>
      <c r="L306" s="228">
        <f t="shared" si="250"/>
        <v>6.6480000000000006</v>
      </c>
      <c r="M306" s="194">
        <f>IF(VLOOKUP(E306,'HOURLY RATES'!C$6:D$105,2,0)=0,$E$3,VLOOKUP(E306,'HOURLY RATES'!C$6:D$105,2,0))</f>
        <v>69.559850000000012</v>
      </c>
      <c r="N306" s="206">
        <f t="shared" si="251"/>
        <v>462.43388280000011</v>
      </c>
      <c r="O306" s="377">
        <v>1343.3800000000003</v>
      </c>
      <c r="P306" s="197">
        <f t="shared" si="252"/>
        <v>4030.1400000000012</v>
      </c>
      <c r="Q306" s="198">
        <f t="shared" si="253"/>
        <v>4492.5738828000012</v>
      </c>
      <c r="R306" s="199"/>
      <c r="X306" s="257"/>
    </row>
    <row r="307" spans="1:24" s="12" customFormat="1" ht="220.5" x14ac:dyDescent="0.2">
      <c r="A307" s="367">
        <f>IF(J307&lt;&gt;"",1+MAX($A$18:A306),"")</f>
        <v>181</v>
      </c>
      <c r="B307" s="368" t="s">
        <v>541</v>
      </c>
      <c r="C307" s="368" t="s">
        <v>541</v>
      </c>
      <c r="D307" s="368" t="s">
        <v>26</v>
      </c>
      <c r="E307" s="255" t="s">
        <v>148</v>
      </c>
      <c r="F307" s="380" t="s">
        <v>558</v>
      </c>
      <c r="G307" s="366">
        <v>2</v>
      </c>
      <c r="H307" s="205">
        <f>IF(VLOOKUP(J307,'HOURLY RATES'!B$116:C$124,2,0)=0,$J$3,VLOOKUP(J307,'HOURLY RATES'!B$116:C$124,2,0))</f>
        <v>0</v>
      </c>
      <c r="I307" s="317">
        <f t="shared" si="249"/>
        <v>2</v>
      </c>
      <c r="J307" s="192" t="s">
        <v>16</v>
      </c>
      <c r="K307" s="373">
        <v>2.9159999999999999</v>
      </c>
      <c r="L307" s="228">
        <f t="shared" si="250"/>
        <v>5.8319999999999999</v>
      </c>
      <c r="M307" s="194">
        <f>IF(VLOOKUP(E307,'HOURLY RATES'!C$6:D$105,2,0)=0,$E$3,VLOOKUP(E307,'HOURLY RATES'!C$6:D$105,2,0))</f>
        <v>69.559850000000012</v>
      </c>
      <c r="N307" s="206">
        <f t="shared" si="251"/>
        <v>405.67304520000005</v>
      </c>
      <c r="O307" s="377">
        <v>1940.38</v>
      </c>
      <c r="P307" s="197">
        <f t="shared" si="252"/>
        <v>3880.76</v>
      </c>
      <c r="Q307" s="198">
        <f t="shared" si="253"/>
        <v>4286.4330452000004</v>
      </c>
      <c r="R307" s="199"/>
      <c r="X307" s="257"/>
    </row>
    <row r="308" spans="1:24" s="12" customFormat="1" ht="173.25" x14ac:dyDescent="0.2">
      <c r="A308" s="367">
        <f>IF(J308&lt;&gt;"",1+MAX($A$18:A307),"")</f>
        <v>182</v>
      </c>
      <c r="B308" s="368" t="s">
        <v>541</v>
      </c>
      <c r="C308" s="368" t="s">
        <v>541</v>
      </c>
      <c r="D308" s="368" t="s">
        <v>26</v>
      </c>
      <c r="E308" s="255" t="s">
        <v>148</v>
      </c>
      <c r="F308" s="380" t="s">
        <v>559</v>
      </c>
      <c r="G308" s="366">
        <v>1</v>
      </c>
      <c r="H308" s="205">
        <f>IF(VLOOKUP(J308,'HOURLY RATES'!B$116:C$124,2,0)=0,$J$3,VLOOKUP(J308,'HOURLY RATES'!B$116:C$124,2,0))</f>
        <v>0</v>
      </c>
      <c r="I308" s="317">
        <f t="shared" si="249"/>
        <v>1</v>
      </c>
      <c r="J308" s="192" t="s">
        <v>16</v>
      </c>
      <c r="K308" s="373">
        <v>1.3169999999999999</v>
      </c>
      <c r="L308" s="228">
        <f t="shared" si="250"/>
        <v>1.3169999999999999</v>
      </c>
      <c r="M308" s="194">
        <f>IF(VLOOKUP(E308,'HOURLY RATES'!C$6:D$105,2,0)=0,$E$3,VLOOKUP(E308,'HOURLY RATES'!C$6:D$105,2,0))</f>
        <v>69.559850000000012</v>
      </c>
      <c r="N308" s="206">
        <f t="shared" si="251"/>
        <v>91.610322450000012</v>
      </c>
      <c r="O308" s="377">
        <v>577.54000000000008</v>
      </c>
      <c r="P308" s="197">
        <f t="shared" si="252"/>
        <v>577.54000000000008</v>
      </c>
      <c r="Q308" s="198">
        <f t="shared" si="253"/>
        <v>669.15032245000009</v>
      </c>
      <c r="R308" s="199"/>
      <c r="X308" s="257"/>
    </row>
    <row r="309" spans="1:24" s="12" customFormat="1" ht="157.5" x14ac:dyDescent="0.2">
      <c r="A309" s="367">
        <f>IF(J309&lt;&gt;"",1+MAX($A$18:A308),"")</f>
        <v>183</v>
      </c>
      <c r="B309" s="368" t="s">
        <v>541</v>
      </c>
      <c r="C309" s="368" t="s">
        <v>541</v>
      </c>
      <c r="D309" s="368" t="s">
        <v>26</v>
      </c>
      <c r="E309" s="255" t="s">
        <v>148</v>
      </c>
      <c r="F309" s="380" t="s">
        <v>560</v>
      </c>
      <c r="G309" s="366">
        <v>1</v>
      </c>
      <c r="H309" s="205">
        <f>IF(VLOOKUP(J309,'HOURLY RATES'!B$116:C$124,2,0)=0,$J$3,VLOOKUP(J309,'HOURLY RATES'!B$116:C$124,2,0))</f>
        <v>0</v>
      </c>
      <c r="I309" s="317">
        <f t="shared" si="249"/>
        <v>1</v>
      </c>
      <c r="J309" s="192" t="s">
        <v>16</v>
      </c>
      <c r="K309" s="373">
        <v>4.6890000000000001</v>
      </c>
      <c r="L309" s="228">
        <f t="shared" si="250"/>
        <v>4.6890000000000001</v>
      </c>
      <c r="M309" s="194">
        <f>IF(VLOOKUP(E309,'HOURLY RATES'!C$6:D$105,2,0)=0,$E$3,VLOOKUP(E309,'HOURLY RATES'!C$6:D$105,2,0))</f>
        <v>69.559850000000012</v>
      </c>
      <c r="N309" s="206">
        <f t="shared" si="251"/>
        <v>326.16613665000006</v>
      </c>
      <c r="O309" s="377">
        <v>3451.5899999999997</v>
      </c>
      <c r="P309" s="197">
        <f t="shared" si="252"/>
        <v>3451.5899999999997</v>
      </c>
      <c r="Q309" s="198">
        <f t="shared" si="253"/>
        <v>3777.7561366499999</v>
      </c>
      <c r="R309" s="199"/>
      <c r="X309" s="257"/>
    </row>
    <row r="310" spans="1:24" s="12" customFormat="1" ht="141.75" x14ac:dyDescent="0.2">
      <c r="A310" s="367">
        <f>IF(J310&lt;&gt;"",1+MAX($A$18:A309),"")</f>
        <v>184</v>
      </c>
      <c r="B310" s="368" t="s">
        <v>541</v>
      </c>
      <c r="C310" s="368" t="s">
        <v>541</v>
      </c>
      <c r="D310" s="368" t="s">
        <v>26</v>
      </c>
      <c r="E310" s="255" t="s">
        <v>148</v>
      </c>
      <c r="F310" s="380" t="s">
        <v>561</v>
      </c>
      <c r="G310" s="366">
        <v>2</v>
      </c>
      <c r="H310" s="205">
        <f>IF(VLOOKUP(J310,'HOURLY RATES'!B$116:C$124,2,0)=0,$J$3,VLOOKUP(J310,'HOURLY RATES'!B$116:C$124,2,0))</f>
        <v>0</v>
      </c>
      <c r="I310" s="317">
        <f t="shared" si="249"/>
        <v>2</v>
      </c>
      <c r="J310" s="192" t="s">
        <v>16</v>
      </c>
      <c r="K310" s="373">
        <v>2.8039999999999998</v>
      </c>
      <c r="L310" s="228">
        <f t="shared" si="250"/>
        <v>5.6079999999999997</v>
      </c>
      <c r="M310" s="194">
        <f>IF(VLOOKUP(E310,'HOURLY RATES'!C$6:D$105,2,0)=0,$E$3,VLOOKUP(E310,'HOURLY RATES'!C$6:D$105,2,0))</f>
        <v>69.559850000000012</v>
      </c>
      <c r="N310" s="206">
        <f t="shared" si="251"/>
        <v>390.09163880000006</v>
      </c>
      <c r="O310" s="377">
        <v>1844.6572999999999</v>
      </c>
      <c r="P310" s="197">
        <f t="shared" si="252"/>
        <v>3689.3145999999997</v>
      </c>
      <c r="Q310" s="198">
        <f t="shared" si="253"/>
        <v>4079.4062387999998</v>
      </c>
      <c r="R310" s="199"/>
      <c r="X310" s="257"/>
    </row>
    <row r="311" spans="1:24" s="12" customFormat="1" ht="110.25" x14ac:dyDescent="0.2">
      <c r="A311" s="367">
        <f>IF(J311&lt;&gt;"",1+MAX($A$18:A310),"")</f>
        <v>185</v>
      </c>
      <c r="B311" s="368" t="s">
        <v>541</v>
      </c>
      <c r="C311" s="368" t="s">
        <v>541</v>
      </c>
      <c r="D311" s="368" t="s">
        <v>26</v>
      </c>
      <c r="E311" s="255" t="s">
        <v>148</v>
      </c>
      <c r="F311" s="380" t="s">
        <v>562</v>
      </c>
      <c r="G311" s="366">
        <v>1</v>
      </c>
      <c r="H311" s="205">
        <f>IF(VLOOKUP(J311,'HOURLY RATES'!B$116:C$124,2,0)=0,$J$3,VLOOKUP(J311,'HOURLY RATES'!B$116:C$124,2,0))</f>
        <v>0</v>
      </c>
      <c r="I311" s="317">
        <f t="shared" si="249"/>
        <v>1</v>
      </c>
      <c r="J311" s="192" t="s">
        <v>16</v>
      </c>
      <c r="K311" s="373">
        <v>1.5940000000000001</v>
      </c>
      <c r="L311" s="228">
        <f t="shared" si="250"/>
        <v>1.5940000000000001</v>
      </c>
      <c r="M311" s="194">
        <f>IF(VLOOKUP(E311,'HOURLY RATES'!C$6:D$105,2,0)=0,$E$3,VLOOKUP(E311,'HOURLY RATES'!C$6:D$105,2,0))</f>
        <v>69.559850000000012</v>
      </c>
      <c r="N311" s="206">
        <f t="shared" si="251"/>
        <v>110.87840090000003</v>
      </c>
      <c r="O311" s="377">
        <v>813.23820000000001</v>
      </c>
      <c r="P311" s="197">
        <f t="shared" si="252"/>
        <v>813.23820000000001</v>
      </c>
      <c r="Q311" s="198">
        <f t="shared" si="253"/>
        <v>924.11660090000009</v>
      </c>
      <c r="R311" s="199"/>
      <c r="X311" s="257"/>
    </row>
    <row r="312" spans="1:24" s="12" customFormat="1" ht="94.5" x14ac:dyDescent="0.2">
      <c r="A312" s="367">
        <f>IF(J312&lt;&gt;"",1+MAX($A$18:A311),"")</f>
        <v>186</v>
      </c>
      <c r="B312" s="368" t="s">
        <v>541</v>
      </c>
      <c r="C312" s="368" t="s">
        <v>541</v>
      </c>
      <c r="D312" s="368" t="s">
        <v>26</v>
      </c>
      <c r="E312" s="255" t="s">
        <v>148</v>
      </c>
      <c r="F312" s="380" t="s">
        <v>563</v>
      </c>
      <c r="G312" s="366">
        <v>1</v>
      </c>
      <c r="H312" s="205">
        <f>IF(VLOOKUP(J312,'HOURLY RATES'!B$116:C$124,2,0)=0,$J$3,VLOOKUP(J312,'HOURLY RATES'!B$116:C$124,2,0))</f>
        <v>0</v>
      </c>
      <c r="I312" s="317">
        <f t="shared" si="249"/>
        <v>1</v>
      </c>
      <c r="J312" s="192" t="s">
        <v>16</v>
      </c>
      <c r="K312" s="373">
        <v>1.016</v>
      </c>
      <c r="L312" s="228">
        <f t="shared" si="250"/>
        <v>1.016</v>
      </c>
      <c r="M312" s="194">
        <f>IF(VLOOKUP(E312,'HOURLY RATES'!C$6:D$105,2,0)=0,$E$3,VLOOKUP(E312,'HOURLY RATES'!C$6:D$105,2,0))</f>
        <v>69.559850000000012</v>
      </c>
      <c r="N312" s="206">
        <f t="shared" si="251"/>
        <v>70.672807600000013</v>
      </c>
      <c r="O312" s="377">
        <v>320.43729999999999</v>
      </c>
      <c r="P312" s="197">
        <f t="shared" si="252"/>
        <v>320.43729999999999</v>
      </c>
      <c r="Q312" s="198">
        <f t="shared" si="253"/>
        <v>391.11010759999999</v>
      </c>
      <c r="R312" s="199"/>
      <c r="X312" s="257"/>
    </row>
    <row r="313" spans="1:24" s="12" customFormat="1" ht="94.5" x14ac:dyDescent="0.2">
      <c r="A313" s="367">
        <f>IF(J313&lt;&gt;"",1+MAX($A$18:A312),"")</f>
        <v>187</v>
      </c>
      <c r="B313" s="368" t="s">
        <v>541</v>
      </c>
      <c r="C313" s="368" t="s">
        <v>541</v>
      </c>
      <c r="D313" s="368" t="s">
        <v>26</v>
      </c>
      <c r="E313" s="255" t="s">
        <v>148</v>
      </c>
      <c r="F313" s="380" t="s">
        <v>564</v>
      </c>
      <c r="G313" s="366">
        <v>1</v>
      </c>
      <c r="H313" s="205">
        <f>IF(VLOOKUP(J313,'HOURLY RATES'!B$116:C$124,2,0)=0,$J$3,VLOOKUP(J313,'HOURLY RATES'!B$116:C$124,2,0))</f>
        <v>0</v>
      </c>
      <c r="I313" s="317">
        <f t="shared" si="249"/>
        <v>1</v>
      </c>
      <c r="J313" s="192" t="s">
        <v>16</v>
      </c>
      <c r="K313" s="373">
        <v>1.869</v>
      </c>
      <c r="L313" s="228">
        <f t="shared" si="250"/>
        <v>1.869</v>
      </c>
      <c r="M313" s="194">
        <f>IF(VLOOKUP(E313,'HOURLY RATES'!C$6:D$105,2,0)=0,$E$3,VLOOKUP(E313,'HOURLY RATES'!C$6:D$105,2,0))</f>
        <v>69.559850000000012</v>
      </c>
      <c r="N313" s="206">
        <f t="shared" si="251"/>
        <v>130.00735965000001</v>
      </c>
      <c r="O313" s="377">
        <v>1047.6472999999999</v>
      </c>
      <c r="P313" s="197">
        <f t="shared" si="252"/>
        <v>1047.6472999999999</v>
      </c>
      <c r="Q313" s="198">
        <f t="shared" si="253"/>
        <v>1177.6546596499998</v>
      </c>
      <c r="R313" s="199"/>
      <c r="X313" s="257"/>
    </row>
    <row r="314" spans="1:24" s="12" customFormat="1" ht="126" x14ac:dyDescent="0.2">
      <c r="A314" s="367">
        <f>IF(J314&lt;&gt;"",1+MAX($A$18:A313),"")</f>
        <v>188</v>
      </c>
      <c r="B314" s="368" t="s">
        <v>541</v>
      </c>
      <c r="C314" s="368" t="s">
        <v>541</v>
      </c>
      <c r="D314" s="368" t="s">
        <v>26</v>
      </c>
      <c r="E314" s="255" t="s">
        <v>148</v>
      </c>
      <c r="F314" s="380" t="s">
        <v>565</v>
      </c>
      <c r="G314" s="366">
        <v>5</v>
      </c>
      <c r="H314" s="205">
        <f>IF(VLOOKUP(J314,'HOURLY RATES'!B$116:C$124,2,0)=0,$J$3,VLOOKUP(J314,'HOURLY RATES'!B$116:C$124,2,0))</f>
        <v>0</v>
      </c>
      <c r="I314" s="317">
        <f t="shared" si="249"/>
        <v>5</v>
      </c>
      <c r="J314" s="192" t="s">
        <v>16</v>
      </c>
      <c r="K314" s="373">
        <v>1.4159999999999999</v>
      </c>
      <c r="L314" s="228">
        <f t="shared" si="250"/>
        <v>7.08</v>
      </c>
      <c r="M314" s="194">
        <f>IF(VLOOKUP(E314,'HOURLY RATES'!C$6:D$105,2,0)=0,$E$3,VLOOKUP(E314,'HOURLY RATES'!C$6:D$105,2,0))</f>
        <v>69.559850000000012</v>
      </c>
      <c r="N314" s="206">
        <f t="shared" si="251"/>
        <v>492.48373800000007</v>
      </c>
      <c r="O314" s="377">
        <v>661.43729999999994</v>
      </c>
      <c r="P314" s="197">
        <f t="shared" si="252"/>
        <v>3307.1864999999998</v>
      </c>
      <c r="Q314" s="198">
        <f t="shared" si="253"/>
        <v>3799.6702379999997</v>
      </c>
      <c r="R314" s="199"/>
      <c r="X314" s="257"/>
    </row>
    <row r="315" spans="1:24" s="12" customFormat="1" ht="110.25" x14ac:dyDescent="0.2">
      <c r="A315" s="367">
        <f>IF(J315&lt;&gt;"",1+MAX($A$18:A314),"")</f>
        <v>189</v>
      </c>
      <c r="B315" s="368" t="s">
        <v>541</v>
      </c>
      <c r="C315" s="368" t="s">
        <v>541</v>
      </c>
      <c r="D315" s="368" t="s">
        <v>26</v>
      </c>
      <c r="E315" s="255" t="s">
        <v>148</v>
      </c>
      <c r="F315" s="380" t="s">
        <v>566</v>
      </c>
      <c r="G315" s="366">
        <v>1</v>
      </c>
      <c r="H315" s="205">
        <f>IF(VLOOKUP(J315,'HOURLY RATES'!B$116:C$124,2,0)=0,$J$3,VLOOKUP(J315,'HOURLY RATES'!B$116:C$124,2,0))</f>
        <v>0</v>
      </c>
      <c r="I315" s="317">
        <f t="shared" si="249"/>
        <v>1</v>
      </c>
      <c r="J315" s="192" t="s">
        <v>16</v>
      </c>
      <c r="K315" s="373">
        <v>1.4019999999999999</v>
      </c>
      <c r="L315" s="228">
        <f t="shared" si="250"/>
        <v>1.4019999999999999</v>
      </c>
      <c r="M315" s="194">
        <f>IF(VLOOKUP(E315,'HOURLY RATES'!C$6:D$105,2,0)=0,$E$3,VLOOKUP(E315,'HOURLY RATES'!C$6:D$105,2,0))</f>
        <v>69.559850000000012</v>
      </c>
      <c r="N315" s="206">
        <f t="shared" si="251"/>
        <v>97.522909700000014</v>
      </c>
      <c r="O315" s="377">
        <v>649.92729999999995</v>
      </c>
      <c r="P315" s="197">
        <f t="shared" si="252"/>
        <v>649.92729999999995</v>
      </c>
      <c r="Q315" s="198">
        <f t="shared" si="253"/>
        <v>747.45020969999996</v>
      </c>
      <c r="R315" s="199"/>
      <c r="X315" s="257"/>
    </row>
    <row r="316" spans="1:24" s="12" customFormat="1" ht="94.5" x14ac:dyDescent="0.2">
      <c r="A316" s="367">
        <f>IF(J316&lt;&gt;"",1+MAX($A$18:A315),"")</f>
        <v>190</v>
      </c>
      <c r="B316" s="368" t="s">
        <v>541</v>
      </c>
      <c r="C316" s="368" t="s">
        <v>541</v>
      </c>
      <c r="D316" s="368" t="s">
        <v>26</v>
      </c>
      <c r="E316" s="255" t="s">
        <v>148</v>
      </c>
      <c r="F316" s="380" t="s">
        <v>567</v>
      </c>
      <c r="G316" s="366">
        <v>1</v>
      </c>
      <c r="H316" s="205">
        <f>IF(VLOOKUP(J316,'HOURLY RATES'!B$116:C$124,2,0)=0,$J$3,VLOOKUP(J316,'HOURLY RATES'!B$116:C$124,2,0))</f>
        <v>0</v>
      </c>
      <c r="I316" s="317">
        <f t="shared" si="249"/>
        <v>1</v>
      </c>
      <c r="J316" s="192" t="s">
        <v>16</v>
      </c>
      <c r="K316" s="373">
        <v>1.016</v>
      </c>
      <c r="L316" s="228">
        <f t="shared" si="250"/>
        <v>1.016</v>
      </c>
      <c r="M316" s="194">
        <f>IF(VLOOKUP(E316,'HOURLY RATES'!C$6:D$105,2,0)=0,$E$3,VLOOKUP(E316,'HOURLY RATES'!C$6:D$105,2,0))</f>
        <v>69.559850000000012</v>
      </c>
      <c r="N316" s="206">
        <f t="shared" si="251"/>
        <v>70.672807600000013</v>
      </c>
      <c r="O316" s="377">
        <v>320.43729999999999</v>
      </c>
      <c r="P316" s="197">
        <f t="shared" si="252"/>
        <v>320.43729999999999</v>
      </c>
      <c r="Q316" s="198">
        <f t="shared" si="253"/>
        <v>391.11010759999999</v>
      </c>
      <c r="R316" s="199"/>
      <c r="X316" s="257"/>
    </row>
    <row r="317" spans="1:24" s="12" customFormat="1" ht="94.5" x14ac:dyDescent="0.2">
      <c r="A317" s="367">
        <f>IF(J317&lt;&gt;"",1+MAX($A$18:A316),"")</f>
        <v>191</v>
      </c>
      <c r="B317" s="368" t="s">
        <v>541</v>
      </c>
      <c r="C317" s="368" t="s">
        <v>541</v>
      </c>
      <c r="D317" s="368" t="s">
        <v>26</v>
      </c>
      <c r="E317" s="255" t="s">
        <v>148</v>
      </c>
      <c r="F317" s="380" t="s">
        <v>568</v>
      </c>
      <c r="G317" s="366">
        <v>8</v>
      </c>
      <c r="H317" s="205">
        <f>IF(VLOOKUP(J317,'HOURLY RATES'!B$116:C$124,2,0)=0,$J$3,VLOOKUP(J317,'HOURLY RATES'!B$116:C$124,2,0))</f>
        <v>0</v>
      </c>
      <c r="I317" s="317">
        <f t="shared" si="249"/>
        <v>8</v>
      </c>
      <c r="J317" s="192" t="s">
        <v>16</v>
      </c>
      <c r="K317" s="373">
        <v>0.80100000000000005</v>
      </c>
      <c r="L317" s="228">
        <f t="shared" si="250"/>
        <v>6.4080000000000004</v>
      </c>
      <c r="M317" s="194">
        <f>IF(VLOOKUP(E317,'HOURLY RATES'!C$6:D$105,2,0)=0,$E$3,VLOOKUP(E317,'HOURLY RATES'!C$6:D$105,2,0))</f>
        <v>69.559850000000012</v>
      </c>
      <c r="N317" s="206">
        <f t="shared" si="251"/>
        <v>445.7395188000001</v>
      </c>
      <c r="O317" s="377">
        <v>137.36000000000001</v>
      </c>
      <c r="P317" s="197">
        <f t="shared" si="252"/>
        <v>1098.8800000000001</v>
      </c>
      <c r="Q317" s="198">
        <f t="shared" si="253"/>
        <v>1544.6195188000002</v>
      </c>
      <c r="R317" s="199"/>
      <c r="X317" s="257"/>
    </row>
    <row r="318" spans="1:24" s="12" customFormat="1" ht="110.25" x14ac:dyDescent="0.2">
      <c r="A318" s="367">
        <f>IF(J318&lt;&gt;"",1+MAX($A$18:A317),"")</f>
        <v>192</v>
      </c>
      <c r="B318" s="368" t="s">
        <v>541</v>
      </c>
      <c r="C318" s="368" t="s">
        <v>541</v>
      </c>
      <c r="D318" s="368" t="s">
        <v>26</v>
      </c>
      <c r="E318" s="255" t="s">
        <v>148</v>
      </c>
      <c r="F318" s="380" t="s">
        <v>569</v>
      </c>
      <c r="G318" s="366">
        <v>1</v>
      </c>
      <c r="H318" s="205">
        <f>IF(VLOOKUP(J318,'HOURLY RATES'!B$116:C$124,2,0)=0,$J$3,VLOOKUP(J318,'HOURLY RATES'!B$116:C$124,2,0))</f>
        <v>0</v>
      </c>
      <c r="I318" s="317">
        <f t="shared" si="249"/>
        <v>1</v>
      </c>
      <c r="J318" s="192" t="s">
        <v>16</v>
      </c>
      <c r="K318" s="373">
        <v>1.159</v>
      </c>
      <c r="L318" s="228">
        <f t="shared" si="250"/>
        <v>1.159</v>
      </c>
      <c r="M318" s="194">
        <f>IF(VLOOKUP(E318,'HOURLY RATES'!C$6:D$105,2,0)=0,$E$3,VLOOKUP(E318,'HOURLY RATES'!C$6:D$105,2,0))</f>
        <v>69.559850000000012</v>
      </c>
      <c r="N318" s="206">
        <f t="shared" si="251"/>
        <v>80.619866150000021</v>
      </c>
      <c r="O318" s="377">
        <v>442.21729999999997</v>
      </c>
      <c r="P318" s="197">
        <f t="shared" si="252"/>
        <v>442.21729999999997</v>
      </c>
      <c r="Q318" s="198">
        <f t="shared" si="253"/>
        <v>522.83716615000003</v>
      </c>
      <c r="R318" s="199"/>
      <c r="X318" s="257"/>
    </row>
    <row r="319" spans="1:24" s="12" customFormat="1" ht="126" x14ac:dyDescent="0.2">
      <c r="A319" s="367">
        <f>IF(J319&lt;&gt;"",1+MAX($A$18:A318),"")</f>
        <v>193</v>
      </c>
      <c r="B319" s="368" t="s">
        <v>541</v>
      </c>
      <c r="C319" s="368" t="s">
        <v>541</v>
      </c>
      <c r="D319" s="368" t="s">
        <v>26</v>
      </c>
      <c r="E319" s="255" t="s">
        <v>148</v>
      </c>
      <c r="F319" s="380" t="s">
        <v>570</v>
      </c>
      <c r="G319" s="366">
        <v>1</v>
      </c>
      <c r="H319" s="205">
        <f>IF(VLOOKUP(J319,'HOURLY RATES'!B$116:C$124,2,0)=0,$J$3,VLOOKUP(J319,'HOURLY RATES'!B$116:C$124,2,0))</f>
        <v>0</v>
      </c>
      <c r="I319" s="317">
        <f t="shared" si="249"/>
        <v>1</v>
      </c>
      <c r="J319" s="192" t="s">
        <v>16</v>
      </c>
      <c r="K319" s="373">
        <v>1.4159999999999999</v>
      </c>
      <c r="L319" s="228">
        <f t="shared" si="250"/>
        <v>1.4159999999999999</v>
      </c>
      <c r="M319" s="194">
        <f>IF(VLOOKUP(E319,'HOURLY RATES'!C$6:D$105,2,0)=0,$E$3,VLOOKUP(E319,'HOURLY RATES'!C$6:D$105,2,0))</f>
        <v>69.559850000000012</v>
      </c>
      <c r="N319" s="206">
        <f t="shared" si="251"/>
        <v>98.496747600000006</v>
      </c>
      <c r="O319" s="377">
        <v>661.43729999999994</v>
      </c>
      <c r="P319" s="197">
        <f t="shared" si="252"/>
        <v>661.43729999999994</v>
      </c>
      <c r="Q319" s="198">
        <f t="shared" si="253"/>
        <v>759.93404759999999</v>
      </c>
      <c r="R319" s="199"/>
      <c r="X319" s="257"/>
    </row>
    <row r="320" spans="1:24" s="12" customFormat="1" ht="110.25" x14ac:dyDescent="0.2">
      <c r="A320" s="367">
        <f>IF(J320&lt;&gt;"",1+MAX($A$18:A319),"")</f>
        <v>194</v>
      </c>
      <c r="B320" s="368" t="s">
        <v>541</v>
      </c>
      <c r="C320" s="368" t="s">
        <v>541</v>
      </c>
      <c r="D320" s="368" t="s">
        <v>26</v>
      </c>
      <c r="E320" s="255" t="s">
        <v>148</v>
      </c>
      <c r="F320" s="380" t="s">
        <v>571</v>
      </c>
      <c r="G320" s="366">
        <v>1</v>
      </c>
      <c r="H320" s="205">
        <f>IF(VLOOKUP(J320,'HOURLY RATES'!B$116:C$124,2,0)=0,$J$3,VLOOKUP(J320,'HOURLY RATES'!B$116:C$124,2,0))</f>
        <v>0</v>
      </c>
      <c r="I320" s="317">
        <f t="shared" si="249"/>
        <v>1</v>
      </c>
      <c r="J320" s="192" t="s">
        <v>16</v>
      </c>
      <c r="K320" s="373">
        <v>1.5780000000000001</v>
      </c>
      <c r="L320" s="228">
        <f t="shared" si="250"/>
        <v>1.5780000000000001</v>
      </c>
      <c r="M320" s="194">
        <f>IF(VLOOKUP(E320,'HOURLY RATES'!C$6:D$105,2,0)=0,$E$3,VLOOKUP(E320,'HOURLY RATES'!C$6:D$105,2,0))</f>
        <v>69.559850000000012</v>
      </c>
      <c r="N320" s="206">
        <f t="shared" si="251"/>
        <v>109.76544330000003</v>
      </c>
      <c r="O320" s="377">
        <v>800.06729999999993</v>
      </c>
      <c r="P320" s="197">
        <f t="shared" si="252"/>
        <v>800.06729999999993</v>
      </c>
      <c r="Q320" s="198">
        <f t="shared" si="253"/>
        <v>909.83274329999995</v>
      </c>
      <c r="R320" s="199"/>
      <c r="X320" s="257"/>
    </row>
    <row r="321" spans="1:24" s="12" customFormat="1" ht="141.75" x14ac:dyDescent="0.2">
      <c r="A321" s="367">
        <f>IF(J321&lt;&gt;"",1+MAX($A$18:A320),"")</f>
        <v>195</v>
      </c>
      <c r="B321" s="368" t="s">
        <v>541</v>
      </c>
      <c r="C321" s="368" t="s">
        <v>541</v>
      </c>
      <c r="D321" s="368" t="s">
        <v>26</v>
      </c>
      <c r="E321" s="255" t="s">
        <v>148</v>
      </c>
      <c r="F321" s="380" t="s">
        <v>572</v>
      </c>
      <c r="G321" s="366">
        <v>5</v>
      </c>
      <c r="H321" s="205">
        <f>IF(VLOOKUP(J321,'HOURLY RATES'!B$116:C$124,2,0)=0,$J$3,VLOOKUP(J321,'HOURLY RATES'!B$116:C$124,2,0))</f>
        <v>0</v>
      </c>
      <c r="I321" s="317">
        <f t="shared" si="249"/>
        <v>5</v>
      </c>
      <c r="J321" s="192" t="s">
        <v>16</v>
      </c>
      <c r="K321" s="373">
        <v>1.421</v>
      </c>
      <c r="L321" s="228">
        <f t="shared" si="250"/>
        <v>7.1050000000000004</v>
      </c>
      <c r="M321" s="194">
        <f>IF(VLOOKUP(E321,'HOURLY RATES'!C$6:D$105,2,0)=0,$E$3,VLOOKUP(E321,'HOURLY RATES'!C$6:D$105,2,0))</f>
        <v>69.559850000000012</v>
      </c>
      <c r="N321" s="206">
        <f t="shared" si="251"/>
        <v>494.22273425000009</v>
      </c>
      <c r="O321" s="377">
        <v>665.45</v>
      </c>
      <c r="P321" s="197">
        <f t="shared" si="252"/>
        <v>3327.25</v>
      </c>
      <c r="Q321" s="198">
        <f t="shared" si="253"/>
        <v>3821.47273425</v>
      </c>
      <c r="R321" s="199"/>
      <c r="X321" s="257"/>
    </row>
    <row r="322" spans="1:24" s="12" customFormat="1" x14ac:dyDescent="0.2">
      <c r="A322" s="367" t="str">
        <f>IF(J322&lt;&gt;"",1+MAX($A$18:A321),"")</f>
        <v/>
      </c>
      <c r="B322" s="368"/>
      <c r="C322" s="368"/>
      <c r="D322" s="368"/>
      <c r="E322" s="255"/>
      <c r="F322" s="380"/>
      <c r="G322" s="366"/>
      <c r="H322" s="370"/>
      <c r="I322" s="371"/>
      <c r="J322" s="372"/>
      <c r="K322" s="382"/>
      <c r="L322" s="374"/>
      <c r="M322" s="375"/>
      <c r="N322" s="376"/>
      <c r="O322" s="377"/>
      <c r="P322" s="378"/>
      <c r="Q322" s="379"/>
      <c r="R322" s="199"/>
      <c r="X322" s="257"/>
    </row>
    <row r="323" spans="1:24" s="12" customFormat="1" x14ac:dyDescent="0.2">
      <c r="A323" s="367" t="str">
        <f>IF(J323&lt;&gt;"",1+MAX($A$18:A322),"")</f>
        <v/>
      </c>
      <c r="B323" s="368"/>
      <c r="C323" s="368"/>
      <c r="D323" s="368"/>
      <c r="E323" s="255"/>
      <c r="F323" s="369" t="s">
        <v>27</v>
      </c>
      <c r="G323" s="366"/>
      <c r="H323" s="370"/>
      <c r="I323" s="371"/>
      <c r="J323" s="372"/>
      <c r="K323" s="382"/>
      <c r="L323" s="374"/>
      <c r="M323" s="375"/>
      <c r="N323" s="376"/>
      <c r="O323" s="377"/>
      <c r="P323" s="378"/>
      <c r="Q323" s="379"/>
      <c r="R323" s="199"/>
      <c r="X323" s="257"/>
    </row>
    <row r="324" spans="1:24" s="12" customFormat="1" ht="31.5" x14ac:dyDescent="0.2">
      <c r="A324" s="367">
        <f>IF(J324&lt;&gt;"",1+MAX($A$18:A323),"")</f>
        <v>196</v>
      </c>
      <c r="B324" s="368" t="s">
        <v>463</v>
      </c>
      <c r="C324" s="368" t="s">
        <v>573</v>
      </c>
      <c r="D324" s="368" t="s">
        <v>26</v>
      </c>
      <c r="E324" s="255" t="s">
        <v>60</v>
      </c>
      <c r="F324" s="380" t="s">
        <v>727</v>
      </c>
      <c r="G324" s="366">
        <v>1</v>
      </c>
      <c r="H324" s="205">
        <f>IF(VLOOKUP(J324,'HOURLY RATES'!B$116:C$124,2,0)=0,$J$3,VLOOKUP(J324,'HOURLY RATES'!B$116:C$124,2,0))</f>
        <v>0</v>
      </c>
      <c r="I324" s="317">
        <f t="shared" ref="I324:I339" si="254">(G324*(1+H324))</f>
        <v>1</v>
      </c>
      <c r="J324" s="192" t="s">
        <v>16</v>
      </c>
      <c r="K324" s="382">
        <f>17.04*10*0.35</f>
        <v>59.639999999999986</v>
      </c>
      <c r="L324" s="228">
        <f t="shared" ref="L324:L339" si="255">K324*I324</f>
        <v>59.639999999999986</v>
      </c>
      <c r="M324" s="194">
        <f>IF(VLOOKUP(E324,'HOURLY RATES'!C$6:D$105,2,0)=0,$E$3,VLOOKUP(E324,'HOURLY RATES'!C$6:D$105,2,0))</f>
        <v>69.559850000000012</v>
      </c>
      <c r="N324" s="206">
        <f t="shared" ref="N324:N339" si="256">M324*L324</f>
        <v>4148.549454</v>
      </c>
      <c r="O324" s="377">
        <f>80.11*17.04*10</f>
        <v>13650.743999999999</v>
      </c>
      <c r="P324" s="197">
        <f t="shared" ref="P324:P339" si="257">O324*I324</f>
        <v>13650.743999999999</v>
      </c>
      <c r="Q324" s="198">
        <f t="shared" ref="Q324:Q339" si="258">P324+N324</f>
        <v>17799.293453999999</v>
      </c>
      <c r="R324" s="199"/>
      <c r="X324" s="257"/>
    </row>
    <row r="325" spans="1:24" s="12" customFormat="1" ht="31.5" x14ac:dyDescent="0.2">
      <c r="A325" s="367">
        <f>IF(J325&lt;&gt;"",1+MAX($A$18:A324),"")</f>
        <v>197</v>
      </c>
      <c r="B325" s="368" t="s">
        <v>463</v>
      </c>
      <c r="C325" s="368" t="s">
        <v>573</v>
      </c>
      <c r="D325" s="368" t="s">
        <v>26</v>
      </c>
      <c r="E325" s="255" t="s">
        <v>60</v>
      </c>
      <c r="F325" s="380" t="s">
        <v>728</v>
      </c>
      <c r="G325" s="366">
        <v>1</v>
      </c>
      <c r="H325" s="205">
        <f>IF(VLOOKUP(J325,'HOURLY RATES'!B$116:C$124,2,0)=0,$J$3,VLOOKUP(J325,'HOURLY RATES'!B$116:C$124,2,0))</f>
        <v>0</v>
      </c>
      <c r="I325" s="317">
        <f t="shared" si="254"/>
        <v>1</v>
      </c>
      <c r="J325" s="192" t="s">
        <v>16</v>
      </c>
      <c r="K325" s="382">
        <f>19.416*10*0.35</f>
        <v>67.955999999999989</v>
      </c>
      <c r="L325" s="228">
        <f t="shared" si="255"/>
        <v>67.955999999999989</v>
      </c>
      <c r="M325" s="194">
        <f>IF(VLOOKUP(E325,'HOURLY RATES'!C$6:D$105,2,0)=0,$E$3,VLOOKUP(E325,'HOURLY RATES'!C$6:D$105,2,0))</f>
        <v>69.559850000000012</v>
      </c>
      <c r="N325" s="206">
        <f t="shared" si="256"/>
        <v>4727.0091665999998</v>
      </c>
      <c r="O325" s="377">
        <f>80.11*19.416*10</f>
        <v>15554.1576</v>
      </c>
      <c r="P325" s="197">
        <f t="shared" si="257"/>
        <v>15554.1576</v>
      </c>
      <c r="Q325" s="198">
        <f t="shared" si="258"/>
        <v>20281.166766599999</v>
      </c>
      <c r="R325" s="199"/>
      <c r="X325" s="257"/>
    </row>
    <row r="326" spans="1:24" s="12" customFormat="1" ht="31.5" x14ac:dyDescent="0.2">
      <c r="A326" s="367">
        <f>IF(J326&lt;&gt;"",1+MAX($A$18:A325),"")</f>
        <v>198</v>
      </c>
      <c r="B326" s="368" t="s">
        <v>463</v>
      </c>
      <c r="C326" s="368" t="s">
        <v>573</v>
      </c>
      <c r="D326" s="368" t="s">
        <v>26</v>
      </c>
      <c r="E326" s="255" t="s">
        <v>60</v>
      </c>
      <c r="F326" s="380" t="s">
        <v>729</v>
      </c>
      <c r="G326" s="366">
        <v>2</v>
      </c>
      <c r="H326" s="205">
        <f>IF(VLOOKUP(J326,'HOURLY RATES'!B$116:C$124,2,0)=0,$J$3,VLOOKUP(J326,'HOURLY RATES'!B$116:C$124,2,0))</f>
        <v>0</v>
      </c>
      <c r="I326" s="317">
        <f t="shared" si="254"/>
        <v>2</v>
      </c>
      <c r="J326" s="192" t="s">
        <v>16</v>
      </c>
      <c r="K326" s="382">
        <f>9.5*4.833*0.35</f>
        <v>16.069724999999998</v>
      </c>
      <c r="L326" s="228">
        <f t="shared" si="255"/>
        <v>32.139449999999997</v>
      </c>
      <c r="M326" s="194">
        <f>IF(VLOOKUP(E326,'HOURLY RATES'!C$6:D$105,2,0)=0,$E$3,VLOOKUP(E326,'HOURLY RATES'!C$6:D$105,2,0))</f>
        <v>69.559850000000012</v>
      </c>
      <c r="N326" s="206">
        <f t="shared" si="256"/>
        <v>2235.6153210825</v>
      </c>
      <c r="O326" s="377">
        <f>80.11*9.5*4.833</f>
        <v>3678.1304850000001</v>
      </c>
      <c r="P326" s="197">
        <f t="shared" si="257"/>
        <v>7356.2609700000003</v>
      </c>
      <c r="Q326" s="198">
        <f t="shared" si="258"/>
        <v>9591.8762910825008</v>
      </c>
      <c r="R326" s="199"/>
      <c r="X326" s="257"/>
    </row>
    <row r="327" spans="1:24" s="12" customFormat="1" ht="31.5" x14ac:dyDescent="0.2">
      <c r="A327" s="367">
        <f>IF(J327&lt;&gt;"",1+MAX($A$18:A326),"")</f>
        <v>199</v>
      </c>
      <c r="B327" s="368" t="s">
        <v>463</v>
      </c>
      <c r="C327" s="368" t="s">
        <v>573</v>
      </c>
      <c r="D327" s="368" t="s">
        <v>26</v>
      </c>
      <c r="E327" s="255" t="s">
        <v>60</v>
      </c>
      <c r="F327" s="380" t="s">
        <v>730</v>
      </c>
      <c r="G327" s="366">
        <v>1</v>
      </c>
      <c r="H327" s="205">
        <f>IF(VLOOKUP(J327,'HOURLY RATES'!B$116:C$124,2,0)=0,$J$3,VLOOKUP(J327,'HOURLY RATES'!B$116:C$124,2,0))</f>
        <v>0</v>
      </c>
      <c r="I327" s="317">
        <f t="shared" si="254"/>
        <v>1</v>
      </c>
      <c r="J327" s="192" t="s">
        <v>16</v>
      </c>
      <c r="K327" s="382">
        <f>5*4.833*0.35</f>
        <v>8.457749999999999</v>
      </c>
      <c r="L327" s="228">
        <f t="shared" si="255"/>
        <v>8.457749999999999</v>
      </c>
      <c r="M327" s="194">
        <f>IF(VLOOKUP(E327,'HOURLY RATES'!C$6:D$105,2,0)=0,$E$3,VLOOKUP(E327,'HOURLY RATES'!C$6:D$105,2,0))</f>
        <v>69.559850000000012</v>
      </c>
      <c r="N327" s="206">
        <f t="shared" si="256"/>
        <v>588.3198213375</v>
      </c>
      <c r="O327" s="377">
        <f>80.11*5*4.833</f>
        <v>1935.85815</v>
      </c>
      <c r="P327" s="197">
        <f t="shared" si="257"/>
        <v>1935.85815</v>
      </c>
      <c r="Q327" s="198">
        <f t="shared" si="258"/>
        <v>2524.1779713374999</v>
      </c>
      <c r="R327" s="199"/>
      <c r="X327" s="257"/>
    </row>
    <row r="328" spans="1:24" s="12" customFormat="1" ht="31.5" x14ac:dyDescent="0.2">
      <c r="A328" s="367">
        <f>IF(J328&lt;&gt;"",1+MAX($A$18:A327),"")</f>
        <v>200</v>
      </c>
      <c r="B328" s="368" t="s">
        <v>463</v>
      </c>
      <c r="C328" s="368" t="s">
        <v>573</v>
      </c>
      <c r="D328" s="368" t="s">
        <v>26</v>
      </c>
      <c r="E328" s="255" t="s">
        <v>60</v>
      </c>
      <c r="F328" s="380" t="s">
        <v>731</v>
      </c>
      <c r="G328" s="366">
        <v>2</v>
      </c>
      <c r="H328" s="205">
        <f>IF(VLOOKUP(J328,'HOURLY RATES'!B$116:C$124,2,0)=0,$J$3,VLOOKUP(J328,'HOURLY RATES'!B$116:C$124,2,0))</f>
        <v>0</v>
      </c>
      <c r="I328" s="317">
        <f t="shared" si="254"/>
        <v>2</v>
      </c>
      <c r="J328" s="192" t="s">
        <v>16</v>
      </c>
      <c r="K328" s="382">
        <f>2.833*10*0.35</f>
        <v>9.9154999999999998</v>
      </c>
      <c r="L328" s="228">
        <f t="shared" si="255"/>
        <v>19.831</v>
      </c>
      <c r="M328" s="194">
        <f>IF(VLOOKUP(E328,'HOURLY RATES'!C$6:D$105,2,0)=0,$E$3,VLOOKUP(E328,'HOURLY RATES'!C$6:D$105,2,0))</f>
        <v>69.559850000000012</v>
      </c>
      <c r="N328" s="206">
        <f t="shared" si="256"/>
        <v>1379.4413853500002</v>
      </c>
      <c r="O328" s="377">
        <f>80.11*2.833*10</f>
        <v>2269.5163000000002</v>
      </c>
      <c r="P328" s="197">
        <f t="shared" si="257"/>
        <v>4539.0326000000005</v>
      </c>
      <c r="Q328" s="198">
        <f t="shared" si="258"/>
        <v>5918.4739853500005</v>
      </c>
      <c r="R328" s="199"/>
      <c r="X328" s="257"/>
    </row>
    <row r="329" spans="1:24" s="12" customFormat="1" ht="31.5" x14ac:dyDescent="0.2">
      <c r="A329" s="367">
        <f>IF(J329&lt;&gt;"",1+MAX($A$18:A328),"")</f>
        <v>201</v>
      </c>
      <c r="B329" s="368" t="s">
        <v>463</v>
      </c>
      <c r="C329" s="368" t="s">
        <v>573</v>
      </c>
      <c r="D329" s="368" t="s">
        <v>26</v>
      </c>
      <c r="E329" s="255" t="s">
        <v>60</v>
      </c>
      <c r="F329" s="380" t="s">
        <v>732</v>
      </c>
      <c r="G329" s="366">
        <v>3</v>
      </c>
      <c r="H329" s="205">
        <f>IF(VLOOKUP(J329,'HOURLY RATES'!B$116:C$124,2,0)=0,$J$3,VLOOKUP(J329,'HOURLY RATES'!B$116:C$124,2,0))</f>
        <v>0</v>
      </c>
      <c r="I329" s="317">
        <f t="shared" si="254"/>
        <v>3</v>
      </c>
      <c r="J329" s="192" t="s">
        <v>16</v>
      </c>
      <c r="K329" s="382">
        <f>6*5*0.35</f>
        <v>10.5</v>
      </c>
      <c r="L329" s="228">
        <f t="shared" si="255"/>
        <v>31.5</v>
      </c>
      <c r="M329" s="194">
        <f>IF(VLOOKUP(E329,'HOURLY RATES'!C$6:D$105,2,0)=0,$E$3,VLOOKUP(E329,'HOURLY RATES'!C$6:D$105,2,0))</f>
        <v>69.559850000000012</v>
      </c>
      <c r="N329" s="206">
        <f t="shared" si="256"/>
        <v>2191.1352750000005</v>
      </c>
      <c r="O329" s="377">
        <f>80.11*6*5</f>
        <v>2403.2999999999997</v>
      </c>
      <c r="P329" s="197">
        <f t="shared" si="257"/>
        <v>7209.9</v>
      </c>
      <c r="Q329" s="198">
        <f t="shared" si="258"/>
        <v>9401.0352750000002</v>
      </c>
      <c r="R329" s="199"/>
      <c r="X329" s="257"/>
    </row>
    <row r="330" spans="1:24" s="12" customFormat="1" ht="31.5" x14ac:dyDescent="0.2">
      <c r="A330" s="367">
        <f>IF(J330&lt;&gt;"",1+MAX($A$18:A329),"")</f>
        <v>202</v>
      </c>
      <c r="B330" s="368" t="s">
        <v>463</v>
      </c>
      <c r="C330" s="368" t="s">
        <v>573</v>
      </c>
      <c r="D330" s="368" t="s">
        <v>26</v>
      </c>
      <c r="E330" s="255" t="s">
        <v>60</v>
      </c>
      <c r="F330" s="380" t="s">
        <v>733</v>
      </c>
      <c r="G330" s="366">
        <v>1</v>
      </c>
      <c r="H330" s="205">
        <f>IF(VLOOKUP(J330,'HOURLY RATES'!B$116:C$124,2,0)=0,$J$3,VLOOKUP(J330,'HOURLY RATES'!B$116:C$124,2,0))</f>
        <v>0</v>
      </c>
      <c r="I330" s="317">
        <f t="shared" si="254"/>
        <v>1</v>
      </c>
      <c r="J330" s="192" t="s">
        <v>16</v>
      </c>
      <c r="K330" s="382">
        <f>8.791*5*0.35</f>
        <v>15.384249999999998</v>
      </c>
      <c r="L330" s="228">
        <f t="shared" si="255"/>
        <v>15.384249999999998</v>
      </c>
      <c r="M330" s="194">
        <f>IF(VLOOKUP(E330,'HOURLY RATES'!C$6:D$105,2,0)=0,$E$3,VLOOKUP(E330,'HOURLY RATES'!C$6:D$105,2,0))</f>
        <v>69.559850000000012</v>
      </c>
      <c r="N330" s="206">
        <f t="shared" si="256"/>
        <v>1070.1261223624999</v>
      </c>
      <c r="O330" s="377">
        <f>80.11*8.791*5</f>
        <v>3521.2350500000002</v>
      </c>
      <c r="P330" s="197">
        <f t="shared" si="257"/>
        <v>3521.2350500000002</v>
      </c>
      <c r="Q330" s="198">
        <f t="shared" si="258"/>
        <v>4591.3611723624999</v>
      </c>
      <c r="R330" s="199"/>
      <c r="X330" s="257"/>
    </row>
    <row r="331" spans="1:24" s="12" customFormat="1" ht="31.5" x14ac:dyDescent="0.2">
      <c r="A331" s="367">
        <f>IF(J331&lt;&gt;"",1+MAX($A$18:A330),"")</f>
        <v>203</v>
      </c>
      <c r="B331" s="368" t="s">
        <v>463</v>
      </c>
      <c r="C331" s="368" t="s">
        <v>573</v>
      </c>
      <c r="D331" s="368" t="s">
        <v>26</v>
      </c>
      <c r="E331" s="255" t="s">
        <v>60</v>
      </c>
      <c r="F331" s="380" t="s">
        <v>734</v>
      </c>
      <c r="G331" s="366">
        <v>3</v>
      </c>
      <c r="H331" s="205">
        <f>IF(VLOOKUP(J331,'HOURLY RATES'!B$116:C$124,2,0)=0,$J$3,VLOOKUP(J331,'HOURLY RATES'!B$116:C$124,2,0))</f>
        <v>0</v>
      </c>
      <c r="I331" s="317">
        <f t="shared" si="254"/>
        <v>3</v>
      </c>
      <c r="J331" s="192" t="s">
        <v>16</v>
      </c>
      <c r="K331" s="382">
        <f>3.666*5*0.35</f>
        <v>6.4154999999999989</v>
      </c>
      <c r="L331" s="228">
        <f t="shared" si="255"/>
        <v>19.246499999999997</v>
      </c>
      <c r="M331" s="194">
        <f>IF(VLOOKUP(E331,'HOURLY RATES'!C$6:D$105,2,0)=0,$E$3,VLOOKUP(E331,'HOURLY RATES'!C$6:D$105,2,0))</f>
        <v>69.559850000000012</v>
      </c>
      <c r="N331" s="206">
        <f t="shared" si="256"/>
        <v>1338.7836530250001</v>
      </c>
      <c r="O331" s="377">
        <f>80.11*3.666*5</f>
        <v>1468.4163000000001</v>
      </c>
      <c r="P331" s="197">
        <f t="shared" si="257"/>
        <v>4405.2489000000005</v>
      </c>
      <c r="Q331" s="198">
        <f t="shared" si="258"/>
        <v>5744.0325530250011</v>
      </c>
      <c r="R331" s="199"/>
      <c r="X331" s="257"/>
    </row>
    <row r="332" spans="1:24" s="12" customFormat="1" ht="31.5" x14ac:dyDescent="0.2">
      <c r="A332" s="367">
        <f>IF(J332&lt;&gt;"",1+MAX($A$18:A331),"")</f>
        <v>204</v>
      </c>
      <c r="B332" s="368" t="s">
        <v>463</v>
      </c>
      <c r="C332" s="368" t="s">
        <v>573</v>
      </c>
      <c r="D332" s="368" t="s">
        <v>26</v>
      </c>
      <c r="E332" s="255" t="s">
        <v>60</v>
      </c>
      <c r="F332" s="380" t="s">
        <v>735</v>
      </c>
      <c r="G332" s="366">
        <v>9</v>
      </c>
      <c r="H332" s="205">
        <f>IF(VLOOKUP(J332,'HOURLY RATES'!B$116:C$124,2,0)=0,$J$3,VLOOKUP(J332,'HOURLY RATES'!B$116:C$124,2,0))</f>
        <v>0</v>
      </c>
      <c r="I332" s="317">
        <f t="shared" si="254"/>
        <v>9</v>
      </c>
      <c r="J332" s="192" t="s">
        <v>16</v>
      </c>
      <c r="K332" s="382">
        <f>4*10*0.35</f>
        <v>14</v>
      </c>
      <c r="L332" s="228">
        <f t="shared" si="255"/>
        <v>126</v>
      </c>
      <c r="M332" s="194">
        <f>IF(VLOOKUP(E332,'HOURLY RATES'!C$6:D$105,2,0)=0,$E$3,VLOOKUP(E332,'HOURLY RATES'!C$6:D$105,2,0))</f>
        <v>69.559850000000012</v>
      </c>
      <c r="N332" s="206">
        <f t="shared" si="256"/>
        <v>8764.5411000000022</v>
      </c>
      <c r="O332" s="377">
        <f>80.11*4*10</f>
        <v>3204.4</v>
      </c>
      <c r="P332" s="197">
        <f t="shared" si="257"/>
        <v>28839.600000000002</v>
      </c>
      <c r="Q332" s="198">
        <f t="shared" si="258"/>
        <v>37604.141100000008</v>
      </c>
      <c r="R332" s="199"/>
      <c r="X332" s="257"/>
    </row>
    <row r="333" spans="1:24" s="12" customFormat="1" ht="31.5" x14ac:dyDescent="0.2">
      <c r="A333" s="367">
        <f>IF(J333&lt;&gt;"",1+MAX($A$18:A332),"")</f>
        <v>205</v>
      </c>
      <c r="B333" s="368" t="s">
        <v>463</v>
      </c>
      <c r="C333" s="368" t="s">
        <v>573</v>
      </c>
      <c r="D333" s="368" t="s">
        <v>26</v>
      </c>
      <c r="E333" s="255" t="s">
        <v>60</v>
      </c>
      <c r="F333" s="380" t="s">
        <v>736</v>
      </c>
      <c r="G333" s="366">
        <v>1</v>
      </c>
      <c r="H333" s="205">
        <f>IF(VLOOKUP(J333,'HOURLY RATES'!B$116:C$124,2,0)=0,$J$3,VLOOKUP(J333,'HOURLY RATES'!B$116:C$124,2,0))</f>
        <v>0</v>
      </c>
      <c r="I333" s="317">
        <f t="shared" si="254"/>
        <v>1</v>
      </c>
      <c r="J333" s="192" t="s">
        <v>16</v>
      </c>
      <c r="K333" s="382">
        <f>6*5*0.35</f>
        <v>10.5</v>
      </c>
      <c r="L333" s="228">
        <f t="shared" si="255"/>
        <v>10.5</v>
      </c>
      <c r="M333" s="194">
        <f>IF(VLOOKUP(E333,'HOURLY RATES'!C$6:D$105,2,0)=0,$E$3,VLOOKUP(E333,'HOURLY RATES'!C$6:D$105,2,0))</f>
        <v>69.559850000000012</v>
      </c>
      <c r="N333" s="206">
        <f t="shared" si="256"/>
        <v>730.37842500000011</v>
      </c>
      <c r="O333" s="377">
        <f>80.11*6*5</f>
        <v>2403.2999999999997</v>
      </c>
      <c r="P333" s="197">
        <f t="shared" si="257"/>
        <v>2403.2999999999997</v>
      </c>
      <c r="Q333" s="198">
        <f t="shared" si="258"/>
        <v>3133.6784250000001</v>
      </c>
      <c r="R333" s="199"/>
      <c r="X333" s="257"/>
    </row>
    <row r="334" spans="1:24" s="12" customFormat="1" ht="31.5" x14ac:dyDescent="0.2">
      <c r="A334" s="367">
        <f>IF(J334&lt;&gt;"",1+MAX($A$18:A333),"")</f>
        <v>206</v>
      </c>
      <c r="B334" s="368" t="s">
        <v>463</v>
      </c>
      <c r="C334" s="368" t="s">
        <v>573</v>
      </c>
      <c r="D334" s="368" t="s">
        <v>26</v>
      </c>
      <c r="E334" s="255" t="s">
        <v>60</v>
      </c>
      <c r="F334" s="380" t="s">
        <v>737</v>
      </c>
      <c r="G334" s="366">
        <v>5</v>
      </c>
      <c r="H334" s="205">
        <f>IF(VLOOKUP(J334,'HOURLY RATES'!B$116:C$124,2,0)=0,$J$3,VLOOKUP(J334,'HOURLY RATES'!B$116:C$124,2,0))</f>
        <v>0</v>
      </c>
      <c r="I334" s="317">
        <f t="shared" si="254"/>
        <v>5</v>
      </c>
      <c r="J334" s="192" t="s">
        <v>16</v>
      </c>
      <c r="K334" s="382">
        <f>3*4.833*0.35</f>
        <v>5.0746500000000001</v>
      </c>
      <c r="L334" s="228">
        <f t="shared" si="255"/>
        <v>25.373249999999999</v>
      </c>
      <c r="M334" s="194">
        <f>IF(VLOOKUP(E334,'HOURLY RATES'!C$6:D$105,2,0)=0,$E$3,VLOOKUP(E334,'HOURLY RATES'!C$6:D$105,2,0))</f>
        <v>69.559850000000012</v>
      </c>
      <c r="N334" s="206">
        <f t="shared" si="256"/>
        <v>1764.9594640125001</v>
      </c>
      <c r="O334" s="377">
        <f>80.11*3*4.833</f>
        <v>1161.5148899999999</v>
      </c>
      <c r="P334" s="197">
        <f t="shared" si="257"/>
        <v>5807.5744500000001</v>
      </c>
      <c r="Q334" s="198">
        <f t="shared" si="258"/>
        <v>7572.5339140124997</v>
      </c>
      <c r="R334" s="199"/>
      <c r="X334" s="257"/>
    </row>
    <row r="335" spans="1:24" s="12" customFormat="1" ht="31.5" x14ac:dyDescent="0.2">
      <c r="A335" s="367">
        <f>IF(J335&lt;&gt;"",1+MAX($A$18:A334),"")</f>
        <v>207</v>
      </c>
      <c r="B335" s="368" t="s">
        <v>463</v>
      </c>
      <c r="C335" s="368" t="s">
        <v>573</v>
      </c>
      <c r="D335" s="368" t="s">
        <v>26</v>
      </c>
      <c r="E335" s="255" t="s">
        <v>60</v>
      </c>
      <c r="F335" s="380" t="s">
        <v>738</v>
      </c>
      <c r="G335" s="366">
        <v>2</v>
      </c>
      <c r="H335" s="205">
        <f>IF(VLOOKUP(J335,'HOURLY RATES'!B$116:C$124,2,0)=0,$J$3,VLOOKUP(J335,'HOURLY RATES'!B$116:C$124,2,0))</f>
        <v>0</v>
      </c>
      <c r="I335" s="317">
        <f t="shared" si="254"/>
        <v>2</v>
      </c>
      <c r="J335" s="192" t="s">
        <v>16</v>
      </c>
      <c r="K335" s="382">
        <f>4.458*10*0.35</f>
        <v>15.602999999999998</v>
      </c>
      <c r="L335" s="228">
        <f t="shared" si="255"/>
        <v>31.205999999999996</v>
      </c>
      <c r="M335" s="194">
        <f>IF(VLOOKUP(E335,'HOURLY RATES'!C$6:D$105,2,0)=0,$E$3,VLOOKUP(E335,'HOURLY RATES'!C$6:D$105,2,0))</f>
        <v>69.559850000000012</v>
      </c>
      <c r="N335" s="206">
        <f t="shared" si="256"/>
        <v>2170.6846791000003</v>
      </c>
      <c r="O335" s="377">
        <f>49.29*4.458*10</f>
        <v>2197.3482000000004</v>
      </c>
      <c r="P335" s="197">
        <f t="shared" si="257"/>
        <v>4394.6964000000007</v>
      </c>
      <c r="Q335" s="198">
        <f t="shared" si="258"/>
        <v>6565.3810791000014</v>
      </c>
      <c r="R335" s="199"/>
      <c r="X335" s="257"/>
    </row>
    <row r="336" spans="1:24" s="12" customFormat="1" ht="31.5" x14ac:dyDescent="0.2">
      <c r="A336" s="367">
        <f>IF(J336&lt;&gt;"",1+MAX($A$18:A335),"")</f>
        <v>208</v>
      </c>
      <c r="B336" s="368" t="s">
        <v>463</v>
      </c>
      <c r="C336" s="368" t="s">
        <v>573</v>
      </c>
      <c r="D336" s="368" t="s">
        <v>26</v>
      </c>
      <c r="E336" s="255" t="s">
        <v>60</v>
      </c>
      <c r="F336" s="380" t="s">
        <v>739</v>
      </c>
      <c r="G336" s="366">
        <v>1</v>
      </c>
      <c r="H336" s="205">
        <f>IF(VLOOKUP(J336,'HOURLY RATES'!B$116:C$124,2,0)=0,$J$3,VLOOKUP(J336,'HOURLY RATES'!B$116:C$124,2,0))</f>
        <v>0</v>
      </c>
      <c r="I336" s="317">
        <f t="shared" si="254"/>
        <v>1</v>
      </c>
      <c r="J336" s="192" t="s">
        <v>16</v>
      </c>
      <c r="K336" s="382">
        <f>6*8*0.35</f>
        <v>16.799999999999997</v>
      </c>
      <c r="L336" s="228">
        <f t="shared" si="255"/>
        <v>16.799999999999997</v>
      </c>
      <c r="M336" s="194">
        <f>IF(VLOOKUP(E336,'HOURLY RATES'!C$6:D$105,2,0)=0,$E$3,VLOOKUP(E336,'HOURLY RATES'!C$6:D$105,2,0))</f>
        <v>69.559850000000012</v>
      </c>
      <c r="N336" s="206">
        <f t="shared" si="256"/>
        <v>1168.6054799999999</v>
      </c>
      <c r="O336" s="377">
        <f>49.29*6*8</f>
        <v>2365.92</v>
      </c>
      <c r="P336" s="197">
        <f t="shared" si="257"/>
        <v>2365.92</v>
      </c>
      <c r="Q336" s="198">
        <f t="shared" si="258"/>
        <v>3534.5254800000002</v>
      </c>
      <c r="R336" s="199"/>
      <c r="X336" s="257"/>
    </row>
    <row r="337" spans="1:24" s="12" customFormat="1" ht="31.5" x14ac:dyDescent="0.2">
      <c r="A337" s="367">
        <f>IF(J337&lt;&gt;"",1+MAX($A$18:A336),"")</f>
        <v>209</v>
      </c>
      <c r="B337" s="368" t="s">
        <v>463</v>
      </c>
      <c r="C337" s="368" t="s">
        <v>573</v>
      </c>
      <c r="D337" s="368" t="s">
        <v>26</v>
      </c>
      <c r="E337" s="255" t="s">
        <v>60</v>
      </c>
      <c r="F337" s="380" t="s">
        <v>740</v>
      </c>
      <c r="G337" s="366">
        <v>1</v>
      </c>
      <c r="H337" s="205">
        <f>IF(VLOOKUP(J337,'HOURLY RATES'!B$116:C$124,2,0)=0,$J$3,VLOOKUP(J337,'HOURLY RATES'!B$116:C$124,2,0))</f>
        <v>0</v>
      </c>
      <c r="I337" s="317">
        <f t="shared" si="254"/>
        <v>1</v>
      </c>
      <c r="J337" s="192" t="s">
        <v>16</v>
      </c>
      <c r="K337" s="382">
        <f>3.708*8*0.35</f>
        <v>10.382400000000001</v>
      </c>
      <c r="L337" s="228">
        <f t="shared" si="255"/>
        <v>10.382400000000001</v>
      </c>
      <c r="M337" s="194">
        <f>IF(VLOOKUP(E337,'HOURLY RATES'!C$6:D$105,2,0)=0,$E$3,VLOOKUP(E337,'HOURLY RATES'!C$6:D$105,2,0))</f>
        <v>69.559850000000012</v>
      </c>
      <c r="N337" s="206">
        <f t="shared" si="256"/>
        <v>722.19818664000013</v>
      </c>
      <c r="O337" s="377">
        <f>49.29*3.708*8</f>
        <v>1462.1385600000001</v>
      </c>
      <c r="P337" s="197">
        <f t="shared" si="257"/>
        <v>1462.1385600000001</v>
      </c>
      <c r="Q337" s="198">
        <f t="shared" si="258"/>
        <v>2184.3367466400005</v>
      </c>
      <c r="R337" s="199"/>
      <c r="X337" s="257"/>
    </row>
    <row r="338" spans="1:24" s="12" customFormat="1" ht="31.5" x14ac:dyDescent="0.2">
      <c r="A338" s="367">
        <f>IF(J338&lt;&gt;"",1+MAX($A$18:A337),"")</f>
        <v>210</v>
      </c>
      <c r="B338" s="368" t="s">
        <v>463</v>
      </c>
      <c r="C338" s="368" t="s">
        <v>573</v>
      </c>
      <c r="D338" s="368" t="s">
        <v>26</v>
      </c>
      <c r="E338" s="255" t="s">
        <v>60</v>
      </c>
      <c r="F338" s="380" t="s">
        <v>741</v>
      </c>
      <c r="G338" s="366">
        <v>1</v>
      </c>
      <c r="H338" s="205">
        <f>IF(VLOOKUP(J338,'HOURLY RATES'!B$116:C$124,2,0)=0,$J$3,VLOOKUP(J338,'HOURLY RATES'!B$116:C$124,2,0))</f>
        <v>0</v>
      </c>
      <c r="I338" s="317">
        <f t="shared" si="254"/>
        <v>1</v>
      </c>
      <c r="J338" s="192" t="s">
        <v>16</v>
      </c>
      <c r="K338" s="382">
        <f>4*4.208*0.35</f>
        <v>5.8911999999999995</v>
      </c>
      <c r="L338" s="228">
        <f t="shared" si="255"/>
        <v>5.8911999999999995</v>
      </c>
      <c r="M338" s="194">
        <f>IF(VLOOKUP(E338,'HOURLY RATES'!C$6:D$105,2,0)=0,$E$3,VLOOKUP(E338,'HOURLY RATES'!C$6:D$105,2,0))</f>
        <v>69.559850000000012</v>
      </c>
      <c r="N338" s="206">
        <f t="shared" si="256"/>
        <v>409.79098832000005</v>
      </c>
      <c r="O338" s="377">
        <f>49.29*4*4.208</f>
        <v>829.64927999999998</v>
      </c>
      <c r="P338" s="197">
        <f t="shared" si="257"/>
        <v>829.64927999999998</v>
      </c>
      <c r="Q338" s="198">
        <f t="shared" si="258"/>
        <v>1239.4402683200001</v>
      </c>
      <c r="R338" s="199"/>
      <c r="X338" s="257"/>
    </row>
    <row r="339" spans="1:24" s="12" customFormat="1" ht="31.5" x14ac:dyDescent="0.2">
      <c r="A339" s="367">
        <f>IF(J339&lt;&gt;"",1+MAX($A$18:A338),"")</f>
        <v>211</v>
      </c>
      <c r="B339" s="368" t="s">
        <v>463</v>
      </c>
      <c r="C339" s="368" t="s">
        <v>573</v>
      </c>
      <c r="D339" s="368" t="s">
        <v>26</v>
      </c>
      <c r="E339" s="255" t="s">
        <v>60</v>
      </c>
      <c r="F339" s="380" t="s">
        <v>742</v>
      </c>
      <c r="G339" s="366">
        <v>1</v>
      </c>
      <c r="H339" s="205">
        <f>IF(VLOOKUP(J339,'HOURLY RATES'!B$116:C$124,2,0)=0,$J$3,VLOOKUP(J339,'HOURLY RATES'!B$116:C$124,2,0))</f>
        <v>0</v>
      </c>
      <c r="I339" s="317">
        <f t="shared" si="254"/>
        <v>1</v>
      </c>
      <c r="J339" s="192" t="s">
        <v>16</v>
      </c>
      <c r="K339" s="382">
        <f>3*8*0.35</f>
        <v>8.3999999999999986</v>
      </c>
      <c r="L339" s="228">
        <f t="shared" si="255"/>
        <v>8.3999999999999986</v>
      </c>
      <c r="M339" s="194">
        <f>IF(VLOOKUP(E339,'HOURLY RATES'!C$6:D$105,2,0)=0,$E$3,VLOOKUP(E339,'HOURLY RATES'!C$6:D$105,2,0))</f>
        <v>69.559850000000012</v>
      </c>
      <c r="N339" s="206">
        <f t="shared" si="256"/>
        <v>584.30273999999997</v>
      </c>
      <c r="O339" s="377">
        <f>49.29*3*8</f>
        <v>1182.96</v>
      </c>
      <c r="P339" s="197">
        <f t="shared" si="257"/>
        <v>1182.96</v>
      </c>
      <c r="Q339" s="198">
        <f t="shared" si="258"/>
        <v>1767.2627400000001</v>
      </c>
      <c r="R339" s="199"/>
      <c r="X339" s="257"/>
    </row>
    <row r="340" spans="1:24" s="12" customFormat="1" ht="31.5" x14ac:dyDescent="0.2">
      <c r="A340" s="367">
        <f>IF(J340&lt;&gt;"",1+MAX($A$18:A339),"")</f>
        <v>212</v>
      </c>
      <c r="B340" s="368" t="s">
        <v>463</v>
      </c>
      <c r="C340" s="368" t="s">
        <v>573</v>
      </c>
      <c r="D340" s="368" t="s">
        <v>26</v>
      </c>
      <c r="E340" s="255" t="s">
        <v>60</v>
      </c>
      <c r="F340" s="380" t="s">
        <v>760</v>
      </c>
      <c r="G340" s="366">
        <v>1</v>
      </c>
      <c r="H340" s="205">
        <f>IF(VLOOKUP(J340,'HOURLY RATES'!B$116:C$124,2,0)=0,$J$3,VLOOKUP(J340,'HOURLY RATES'!B$116:C$124,2,0))</f>
        <v>0</v>
      </c>
      <c r="I340" s="317">
        <f t="shared" ref="I340:I341" si="259">(G340*(1+H340))</f>
        <v>1</v>
      </c>
      <c r="J340" s="192" t="s">
        <v>16</v>
      </c>
      <c r="K340" s="382">
        <f>6.43*10*0.35</f>
        <v>22.504999999999999</v>
      </c>
      <c r="L340" s="228">
        <f t="shared" ref="L340:L341" si="260">K340*I340</f>
        <v>22.504999999999999</v>
      </c>
      <c r="M340" s="194">
        <f>IF(VLOOKUP(E340,'HOURLY RATES'!C$6:D$105,2,0)=0,$E$3,VLOOKUP(E340,'HOURLY RATES'!C$6:D$105,2,0))</f>
        <v>69.559850000000012</v>
      </c>
      <c r="N340" s="206">
        <f t="shared" ref="N340:N341" si="261">M340*L340</f>
        <v>1565.4444242500001</v>
      </c>
      <c r="O340" s="377">
        <f>49.29*6.43*10</f>
        <v>3169.3469999999998</v>
      </c>
      <c r="P340" s="197">
        <f t="shared" ref="P340:P341" si="262">O340*I340</f>
        <v>3169.3469999999998</v>
      </c>
      <c r="Q340" s="198">
        <f t="shared" ref="Q340:Q341" si="263">P340+N340</f>
        <v>4734.7914242500001</v>
      </c>
      <c r="R340" s="199"/>
      <c r="X340" s="257"/>
    </row>
    <row r="341" spans="1:24" s="12" customFormat="1" ht="31.5" x14ac:dyDescent="0.2">
      <c r="A341" s="367">
        <f>IF(J341&lt;&gt;"",1+MAX($A$18:A340),"")</f>
        <v>213</v>
      </c>
      <c r="B341" s="368" t="s">
        <v>463</v>
      </c>
      <c r="C341" s="368" t="s">
        <v>573</v>
      </c>
      <c r="D341" s="368" t="s">
        <v>26</v>
      </c>
      <c r="E341" s="255" t="s">
        <v>60</v>
      </c>
      <c r="F341" s="380" t="s">
        <v>761</v>
      </c>
      <c r="G341" s="366">
        <v>1</v>
      </c>
      <c r="H341" s="205">
        <f>IF(VLOOKUP(J341,'HOURLY RATES'!B$116:C$124,2,0)=0,$J$3,VLOOKUP(J341,'HOURLY RATES'!B$116:C$124,2,0))</f>
        <v>0</v>
      </c>
      <c r="I341" s="317">
        <f t="shared" si="259"/>
        <v>1</v>
      </c>
      <c r="J341" s="192" t="s">
        <v>16</v>
      </c>
      <c r="K341" s="382">
        <f>9.97*10*8*0.35</f>
        <v>279.15999999999997</v>
      </c>
      <c r="L341" s="228">
        <f t="shared" si="260"/>
        <v>279.15999999999997</v>
      </c>
      <c r="M341" s="194">
        <f>IF(VLOOKUP(E341,'HOURLY RATES'!C$6:D$105,2,0)=0,$E$3,VLOOKUP(E341,'HOURLY RATES'!C$6:D$105,2,0))</f>
        <v>69.559850000000012</v>
      </c>
      <c r="N341" s="206">
        <f t="shared" si="261"/>
        <v>19418.327726</v>
      </c>
      <c r="O341" s="377">
        <f>49.29*9.97*10</f>
        <v>4914.2130000000006</v>
      </c>
      <c r="P341" s="197">
        <f t="shared" si="262"/>
        <v>4914.2130000000006</v>
      </c>
      <c r="Q341" s="198">
        <f t="shared" si="263"/>
        <v>24332.540725999999</v>
      </c>
      <c r="R341" s="199"/>
      <c r="X341" s="257"/>
    </row>
    <row r="342" spans="1:24" s="12" customFormat="1" x14ac:dyDescent="0.2">
      <c r="A342" s="367" t="str">
        <f>IF(J342&lt;&gt;"",1+MAX($A$18:A341),"")</f>
        <v/>
      </c>
      <c r="B342" s="368"/>
      <c r="C342" s="368"/>
      <c r="D342" s="368"/>
      <c r="E342" s="255"/>
      <c r="F342" s="380"/>
      <c r="G342" s="366"/>
      <c r="H342" s="205"/>
      <c r="I342" s="317"/>
      <c r="J342" s="192"/>
      <c r="K342" s="382"/>
      <c r="L342" s="228"/>
      <c r="M342" s="194"/>
      <c r="N342" s="206"/>
      <c r="O342" s="377"/>
      <c r="P342" s="197"/>
      <c r="Q342" s="198"/>
      <c r="R342" s="199"/>
      <c r="X342" s="257"/>
    </row>
    <row r="343" spans="1:24" s="12" customFormat="1" x14ac:dyDescent="0.2">
      <c r="A343" s="204" t="str">
        <f>IF(J343&lt;&gt;"",1+MAX($A$18:A342),"")</f>
        <v/>
      </c>
      <c r="B343" s="201"/>
      <c r="C343" s="201"/>
      <c r="D343" s="201"/>
      <c r="E343" s="255"/>
      <c r="F343" s="202" t="s">
        <v>469</v>
      </c>
      <c r="G343" s="310"/>
      <c r="H343" s="190"/>
      <c r="I343" s="317"/>
      <c r="J343" s="192"/>
      <c r="K343" s="382"/>
      <c r="L343" s="228"/>
      <c r="M343" s="194"/>
      <c r="N343" s="206"/>
      <c r="O343" s="377"/>
      <c r="P343" s="197"/>
      <c r="Q343" s="198"/>
      <c r="R343" s="199"/>
      <c r="X343" s="257"/>
    </row>
    <row r="344" spans="1:24" s="12" customFormat="1" ht="63" x14ac:dyDescent="0.2">
      <c r="A344" s="204">
        <f>IF(J344&lt;&gt;"",1+MAX($A$18:A343),"")</f>
        <v>214</v>
      </c>
      <c r="B344" s="255" t="s">
        <v>471</v>
      </c>
      <c r="C344" s="255" t="s">
        <v>472</v>
      </c>
      <c r="D344" s="368" t="s">
        <v>26</v>
      </c>
      <c r="E344" s="255" t="s">
        <v>212</v>
      </c>
      <c r="F344" s="188" t="s">
        <v>743</v>
      </c>
      <c r="G344" s="310">
        <f>13.89*6.5</f>
        <v>90.284999999999997</v>
      </c>
      <c r="H344" s="205">
        <f>IF(VLOOKUP(J344,'HOURLY RATES'!B$116:C$124,2,0)=0,$J$3,VLOOKUP(J344,'HOURLY RATES'!B$116:C$124,2,0))</f>
        <v>0.05</v>
      </c>
      <c r="I344" s="317">
        <f t="shared" ref="I344" si="264">(G344*(1+H344))</f>
        <v>94.799250000000001</v>
      </c>
      <c r="J344" s="192" t="s">
        <v>17</v>
      </c>
      <c r="K344" s="382">
        <v>0.25</v>
      </c>
      <c r="L344" s="228">
        <f t="shared" ref="L344:L345" si="265">K344*I344</f>
        <v>23.6998125</v>
      </c>
      <c r="M344" s="194">
        <f>IF(VLOOKUP(E344,'HOURLY RATES'!C$6:D$105,2,0)=0,$E$3,VLOOKUP(E344,'HOURLY RATES'!C$6:D$105,2,0))</f>
        <v>53.167499999999997</v>
      </c>
      <c r="N344" s="206">
        <f t="shared" ref="N344:N345" si="266">M344*L344</f>
        <v>1260.05978109375</v>
      </c>
      <c r="O344" s="377">
        <v>23.76</v>
      </c>
      <c r="P344" s="378">
        <f t="shared" ref="P344:P345" si="267">O344*I344</f>
        <v>2252.4301800000003</v>
      </c>
      <c r="Q344" s="198">
        <f t="shared" ref="Q344:Q345" si="268">P344+N344</f>
        <v>3512.48996109375</v>
      </c>
      <c r="R344" s="199"/>
      <c r="X344" s="257"/>
    </row>
    <row r="345" spans="1:24" s="12" customFormat="1" ht="63" x14ac:dyDescent="0.2">
      <c r="A345" s="204">
        <f>IF(J345&lt;&gt;"",1+MAX($A$18:A344),"")</f>
        <v>215</v>
      </c>
      <c r="B345" s="255" t="s">
        <v>463</v>
      </c>
      <c r="C345" s="255" t="s">
        <v>463</v>
      </c>
      <c r="D345" s="368" t="s">
        <v>26</v>
      </c>
      <c r="E345" s="255" t="s">
        <v>212</v>
      </c>
      <c r="F345" s="188" t="s">
        <v>683</v>
      </c>
      <c r="G345" s="310">
        <f>30.86*10</f>
        <v>308.60000000000002</v>
      </c>
      <c r="H345" s="205">
        <f>IF(VLOOKUP(J345,'HOURLY RATES'!B$116:C$124,2,0)=0,$J$3,VLOOKUP(J345,'HOURLY RATES'!B$116:C$124,2,0))</f>
        <v>0.05</v>
      </c>
      <c r="I345" s="317">
        <f t="shared" ref="I345" si="269">(G345*(1+H345))</f>
        <v>324.03000000000003</v>
      </c>
      <c r="J345" s="192" t="s">
        <v>17</v>
      </c>
      <c r="K345" s="382">
        <v>0.25</v>
      </c>
      <c r="L345" s="228">
        <f t="shared" si="265"/>
        <v>81.007500000000007</v>
      </c>
      <c r="M345" s="194">
        <f>IF(VLOOKUP(E345,'HOURLY RATES'!C$6:D$105,2,0)=0,$E$3,VLOOKUP(E345,'HOURLY RATES'!C$6:D$105,2,0))</f>
        <v>53.167499999999997</v>
      </c>
      <c r="N345" s="206">
        <f t="shared" si="266"/>
        <v>4306.9662562499998</v>
      </c>
      <c r="O345" s="377">
        <v>23.76</v>
      </c>
      <c r="P345" s="378">
        <f t="shared" si="267"/>
        <v>7698.9528000000009</v>
      </c>
      <c r="Q345" s="198">
        <f t="shared" si="268"/>
        <v>12005.919056250001</v>
      </c>
      <c r="R345" s="199"/>
      <c r="X345" s="257"/>
    </row>
    <row r="346" spans="1:24" s="12" customFormat="1" ht="16.5" thickBot="1" x14ac:dyDescent="0.25">
      <c r="A346" s="263" t="str">
        <f>IF(J346&lt;&gt;"",1+MAX($A$18:A345),"")</f>
        <v/>
      </c>
      <c r="B346" s="264"/>
      <c r="C346" s="264"/>
      <c r="D346" s="264"/>
      <c r="E346" s="404"/>
      <c r="F346" s="265"/>
      <c r="G346" s="313"/>
      <c r="H346" s="267"/>
      <c r="I346" s="319"/>
      <c r="J346" s="359"/>
      <c r="K346" s="291"/>
      <c r="L346" s="269"/>
      <c r="M346" s="272"/>
      <c r="N346" s="273"/>
      <c r="O346" s="292"/>
      <c r="P346" s="275"/>
      <c r="Q346" s="276"/>
      <c r="R346" s="277"/>
      <c r="X346" s="257"/>
    </row>
    <row r="347" spans="1:24" s="12" customFormat="1" ht="20.100000000000001" customHeight="1" x14ac:dyDescent="0.2">
      <c r="A347" s="475" t="str">
        <f>IF(J347&lt;&gt;"",1+MAX($A$18:A346),"")</f>
        <v/>
      </c>
      <c r="B347" s="476"/>
      <c r="C347" s="476"/>
      <c r="D347" s="476" t="s">
        <v>21</v>
      </c>
      <c r="E347" s="481"/>
      <c r="F347" s="477" t="s">
        <v>30</v>
      </c>
      <c r="G347" s="482"/>
      <c r="H347" s="479"/>
      <c r="I347" s="483"/>
      <c r="J347" s="483"/>
      <c r="K347" s="479"/>
      <c r="L347" s="479"/>
      <c r="M347" s="479"/>
      <c r="N347" s="479"/>
      <c r="O347" s="479"/>
      <c r="P347" s="479"/>
      <c r="Q347" s="479"/>
      <c r="R347" s="480">
        <f>SUM(Q348:Q679)</f>
        <v>617756.93046211312</v>
      </c>
      <c r="X347" s="257"/>
    </row>
    <row r="348" spans="1:24" s="12" customFormat="1" x14ac:dyDescent="0.2">
      <c r="A348" s="204" t="str">
        <f>IF(J348&lt;&gt;"",1+MAX($A$18:A347),"")</f>
        <v/>
      </c>
      <c r="B348" s="201"/>
      <c r="C348" s="201"/>
      <c r="D348" s="201"/>
      <c r="E348" s="255"/>
      <c r="F348" s="188" t="s">
        <v>28</v>
      </c>
      <c r="G348" s="310"/>
      <c r="H348" s="190"/>
      <c r="I348" s="317"/>
      <c r="J348" s="192"/>
      <c r="K348" s="242"/>
      <c r="L348" s="13"/>
      <c r="M348" s="194"/>
      <c r="N348" s="197"/>
      <c r="O348" s="234"/>
      <c r="P348" s="197"/>
      <c r="Q348" s="198"/>
      <c r="R348" s="199"/>
      <c r="X348" s="257"/>
    </row>
    <row r="349" spans="1:24" s="12" customFormat="1" ht="18.75" x14ac:dyDescent="0.2">
      <c r="A349" s="209" t="str">
        <f>IF(J349&lt;&gt;"",1+MAX($A$18:A348),"")</f>
        <v/>
      </c>
      <c r="B349" s="210"/>
      <c r="C349" s="210"/>
      <c r="D349" s="210"/>
      <c r="E349" s="255"/>
      <c r="F349" s="244" t="s">
        <v>304</v>
      </c>
      <c r="G349" s="310"/>
      <c r="H349" s="225"/>
      <c r="I349" s="317"/>
      <c r="J349" s="192"/>
      <c r="K349" s="208"/>
      <c r="L349" s="218"/>
      <c r="M349" s="226"/>
      <c r="N349" s="212"/>
      <c r="O349" s="220"/>
      <c r="P349" s="214"/>
      <c r="Q349" s="215"/>
      <c r="R349" s="199"/>
      <c r="X349" s="257"/>
    </row>
    <row r="350" spans="1:24" s="12" customFormat="1" x14ac:dyDescent="0.2">
      <c r="A350" s="209" t="str">
        <f>IF(J350&lt;&gt;"",1+MAX($A$18:A349),"")</f>
        <v/>
      </c>
      <c r="B350" s="210"/>
      <c r="C350" s="210"/>
      <c r="D350" s="210"/>
      <c r="E350" s="255"/>
      <c r="F350" s="250" t="s">
        <v>28</v>
      </c>
      <c r="G350" s="310"/>
      <c r="H350" s="205"/>
      <c r="I350" s="317"/>
      <c r="J350" s="192"/>
      <c r="K350" s="243"/>
      <c r="L350" s="228"/>
      <c r="M350" s="194"/>
      <c r="N350" s="206"/>
      <c r="O350" s="234"/>
      <c r="P350" s="197"/>
      <c r="Q350" s="198"/>
      <c r="R350" s="199"/>
      <c r="X350" s="257"/>
    </row>
    <row r="351" spans="1:24" s="12" customFormat="1" x14ac:dyDescent="0.2">
      <c r="A351" s="209">
        <f>IF(J351&lt;&gt;"",1+MAX($A$18:A350),"")</f>
        <v>216</v>
      </c>
      <c r="B351" s="210"/>
      <c r="C351" s="210"/>
      <c r="D351" s="210"/>
      <c r="E351" s="255"/>
      <c r="F351" s="219" t="s">
        <v>422</v>
      </c>
      <c r="G351" s="311">
        <v>61.23</v>
      </c>
      <c r="H351" s="205">
        <f>IF(VLOOKUP(J351,'HOURLY RATES'!B$116:C$124,2,0)=0,$J$3,VLOOKUP(J351,'HOURLY RATES'!B$116:C$124,2,0))</f>
        <v>0.05</v>
      </c>
      <c r="I351" s="317">
        <f t="shared" ref="I351:I357" si="270">(G351*(1+H351))</f>
        <v>64.291499999999999</v>
      </c>
      <c r="J351" s="192" t="s">
        <v>19</v>
      </c>
      <c r="K351" s="243"/>
      <c r="L351" s="228"/>
      <c r="M351" s="194"/>
      <c r="N351" s="206"/>
      <c r="O351" s="234"/>
      <c r="P351" s="197"/>
      <c r="Q351" s="198"/>
      <c r="R351" s="199"/>
      <c r="X351" s="257"/>
    </row>
    <row r="352" spans="1:24" s="12" customFormat="1" x14ac:dyDescent="0.2">
      <c r="A352" s="209">
        <f>IF(J352&lt;&gt;"",1+MAX($A$18:A351),"")</f>
        <v>217</v>
      </c>
      <c r="B352" s="210" t="s">
        <v>463</v>
      </c>
      <c r="C352" s="210" t="s">
        <v>464</v>
      </c>
      <c r="D352" s="210" t="s">
        <v>21</v>
      </c>
      <c r="E352" s="255" t="s">
        <v>43</v>
      </c>
      <c r="F352" s="250" t="s">
        <v>744</v>
      </c>
      <c r="G352" s="310">
        <f>(G351*2.17/32)</f>
        <v>4.1521593749999992</v>
      </c>
      <c r="H352" s="205">
        <f>IF(VLOOKUP(J352,'HOURLY RATES'!B$116:C$124,2,0)=0,$J$3,VLOOKUP(J352,'HOURLY RATES'!B$116:C$124,2,0))</f>
        <v>0</v>
      </c>
      <c r="I352" s="317">
        <f t="shared" si="270"/>
        <v>4.1521593749999992</v>
      </c>
      <c r="J352" s="192" t="s">
        <v>16</v>
      </c>
      <c r="K352" s="382">
        <f>0.02*32</f>
        <v>0.64</v>
      </c>
      <c r="L352" s="228">
        <f t="shared" ref="L352:L357" si="271">K352*I352</f>
        <v>2.6573819999999997</v>
      </c>
      <c r="M352" s="194">
        <f>IF(VLOOKUP(E352,'HOURLY RATES'!C$6:D$105,2,0)=0,$E$3,VLOOKUP(E352,'HOURLY RATES'!C$6:D$105,2,0))</f>
        <v>38.508412499999999</v>
      </c>
      <c r="N352" s="206">
        <f t="shared" ref="N352:N357" si="272">M352*L352</f>
        <v>102.33156222607498</v>
      </c>
      <c r="O352" s="377">
        <v>43.25</v>
      </c>
      <c r="P352" s="197">
        <f t="shared" ref="P352:P357" si="273">O352*I352</f>
        <v>179.58089296874996</v>
      </c>
      <c r="Q352" s="198">
        <f t="shared" ref="Q352:Q357" si="274">P352+N352</f>
        <v>281.91245519482493</v>
      </c>
      <c r="R352" s="199"/>
      <c r="X352" s="257"/>
    </row>
    <row r="353" spans="1:24" s="12" customFormat="1" x14ac:dyDescent="0.2">
      <c r="A353" s="209">
        <f>IF(J353&lt;&gt;"",1+MAX($A$18:A352),"")</f>
        <v>218</v>
      </c>
      <c r="B353" s="210" t="s">
        <v>463</v>
      </c>
      <c r="C353" s="210" t="s">
        <v>464</v>
      </c>
      <c r="D353" s="210" t="s">
        <v>21</v>
      </c>
      <c r="E353" s="255" t="s">
        <v>63</v>
      </c>
      <c r="F353" s="250" t="s">
        <v>425</v>
      </c>
      <c r="G353" s="310">
        <f>G351*2.17</f>
        <v>132.86909999999997</v>
      </c>
      <c r="H353" s="205">
        <f>IF(VLOOKUP(J353,'HOURLY RATES'!B$116:C$124,2,0)=0,$J$3,VLOOKUP(J353,'HOURLY RATES'!B$116:C$124,2,0))</f>
        <v>0.05</v>
      </c>
      <c r="I353" s="317">
        <f t="shared" ref="I353" si="275">(G353*(1+H353))</f>
        <v>139.51255499999999</v>
      </c>
      <c r="J353" s="192" t="s">
        <v>17</v>
      </c>
      <c r="K353" s="382">
        <v>8.9999999999999993E-3</v>
      </c>
      <c r="L353" s="228">
        <f t="shared" ref="L353" si="276">K353*I353</f>
        <v>1.2556129949999999</v>
      </c>
      <c r="M353" s="194">
        <f>IF(VLOOKUP(E353,'HOURLY RATES'!C$6:D$105,2,0)=0,$E$3,VLOOKUP(E353,'HOURLY RATES'!C$6:D$105,2,0))</f>
        <v>38.508412499999999</v>
      </c>
      <c r="N353" s="206">
        <f t="shared" ref="N353" si="277">M353*L353</f>
        <v>48.351663151820432</v>
      </c>
      <c r="O353" s="377">
        <f>2.27*1.5/2</f>
        <v>1.7025000000000001</v>
      </c>
      <c r="P353" s="197">
        <f t="shared" ref="P353" si="278">O353*I353</f>
        <v>237.5201248875</v>
      </c>
      <c r="Q353" s="198">
        <f t="shared" ref="Q353" si="279">P353+N353</f>
        <v>285.87178803932045</v>
      </c>
      <c r="R353" s="199"/>
      <c r="X353" s="257"/>
    </row>
    <row r="354" spans="1:24" s="12" customFormat="1" x14ac:dyDescent="0.2">
      <c r="A354" s="209">
        <f>IF(J354&lt;&gt;"",1+MAX($A$18:A353),"")</f>
        <v>219</v>
      </c>
      <c r="B354" s="210" t="s">
        <v>463</v>
      </c>
      <c r="C354" s="210" t="s">
        <v>464</v>
      </c>
      <c r="D354" s="210" t="s">
        <v>21</v>
      </c>
      <c r="E354" s="255" t="s">
        <v>146</v>
      </c>
      <c r="F354" s="250" t="s">
        <v>436</v>
      </c>
      <c r="G354" s="310">
        <f>(G351/1.33)/3</f>
        <v>15.345864661654133</v>
      </c>
      <c r="H354" s="205">
        <f>IF(VLOOKUP(J354,'HOURLY RATES'!B$116:C$124,2,0)=0,$J$3,VLOOKUP(J354,'HOURLY RATES'!B$116:C$124,2,0))</f>
        <v>0</v>
      </c>
      <c r="I354" s="317">
        <f t="shared" si="270"/>
        <v>15.345864661654133</v>
      </c>
      <c r="J354" s="192" t="s">
        <v>16</v>
      </c>
      <c r="K354" s="382">
        <f>0.07*8</f>
        <v>0.56000000000000005</v>
      </c>
      <c r="L354" s="228">
        <f t="shared" si="271"/>
        <v>8.593684210526316</v>
      </c>
      <c r="M354" s="194">
        <f>IF(VLOOKUP(E354,'HOURLY RATES'!C$6:D$105,2,0)=0,$E$3,VLOOKUP(E354,'HOURLY RATES'!C$6:D$105,2,0))</f>
        <v>38.508412499999999</v>
      </c>
      <c r="N354" s="206">
        <f t="shared" si="272"/>
        <v>330.9291364736842</v>
      </c>
      <c r="O354" s="377">
        <f>3.95*18/16*8</f>
        <v>35.550000000000004</v>
      </c>
      <c r="P354" s="197">
        <f t="shared" si="273"/>
        <v>545.54548872180453</v>
      </c>
      <c r="Q354" s="198">
        <f t="shared" si="274"/>
        <v>876.47462519548867</v>
      </c>
      <c r="R354" s="199"/>
      <c r="X354" s="257"/>
    </row>
    <row r="355" spans="1:24" s="12" customFormat="1" x14ac:dyDescent="0.2">
      <c r="A355" s="209">
        <f>IF(J355&lt;&gt;"",1+MAX($A$18:A354),"")</f>
        <v>220</v>
      </c>
      <c r="B355" s="210" t="s">
        <v>463</v>
      </c>
      <c r="C355" s="210" t="s">
        <v>464</v>
      </c>
      <c r="D355" s="210" t="s">
        <v>21</v>
      </c>
      <c r="E355" s="255" t="s">
        <v>146</v>
      </c>
      <c r="F355" s="250" t="s">
        <v>423</v>
      </c>
      <c r="G355" s="310">
        <f>G351*2</f>
        <v>122.46</v>
      </c>
      <c r="H355" s="205">
        <f>IF(VLOOKUP(J355,'HOURLY RATES'!B$116:C$124,2,0)=0,$J$3,VLOOKUP(J355,'HOURLY RATES'!B$116:C$124,2,0))</f>
        <v>0.05</v>
      </c>
      <c r="I355" s="317">
        <f t="shared" si="270"/>
        <v>128.583</v>
      </c>
      <c r="J355" s="192" t="s">
        <v>19</v>
      </c>
      <c r="K355" s="382">
        <v>7.0000000000000007E-2</v>
      </c>
      <c r="L355" s="228">
        <f t="shared" si="271"/>
        <v>9.0008100000000013</v>
      </c>
      <c r="M355" s="194">
        <f>IF(VLOOKUP(E355,'HOURLY RATES'!C$6:D$105,2,0)=0,$E$3,VLOOKUP(E355,'HOURLY RATES'!C$6:D$105,2,0))</f>
        <v>38.508412499999999</v>
      </c>
      <c r="N355" s="206">
        <f t="shared" si="272"/>
        <v>346.60690431412502</v>
      </c>
      <c r="O355" s="377">
        <f>3.95*18/16</f>
        <v>4.4437500000000005</v>
      </c>
      <c r="P355" s="197">
        <f t="shared" si="273"/>
        <v>571.39070625000011</v>
      </c>
      <c r="Q355" s="198">
        <f t="shared" si="274"/>
        <v>917.99761056412513</v>
      </c>
      <c r="R355" s="199"/>
      <c r="X355" s="257"/>
    </row>
    <row r="356" spans="1:24" s="12" customFormat="1" x14ac:dyDescent="0.2">
      <c r="A356" s="209">
        <f>IF(J356&lt;&gt;"",1+MAX($A$18:A355),"")</f>
        <v>221</v>
      </c>
      <c r="B356" s="210" t="s">
        <v>463</v>
      </c>
      <c r="C356" s="210" t="s">
        <v>464</v>
      </c>
      <c r="D356" s="210" t="s">
        <v>21</v>
      </c>
      <c r="E356" s="255" t="s">
        <v>146</v>
      </c>
      <c r="F356" s="250" t="s">
        <v>426</v>
      </c>
      <c r="G356" s="310">
        <f>(2.17/4)*G351</f>
        <v>33.217274999999994</v>
      </c>
      <c r="H356" s="205">
        <f>IF(VLOOKUP(J356,'HOURLY RATES'!B$116:C$124,2,0)=0,$J$3,VLOOKUP(J356,'HOURLY RATES'!B$116:C$124,2,0))</f>
        <v>0.05</v>
      </c>
      <c r="I356" s="317">
        <f t="shared" ref="I356" si="280">(G356*(1+H356))</f>
        <v>34.878138749999998</v>
      </c>
      <c r="J356" s="192" t="s">
        <v>19</v>
      </c>
      <c r="K356" s="382">
        <v>0.05</v>
      </c>
      <c r="L356" s="228">
        <f t="shared" ref="L356" si="281">K356*I356</f>
        <v>1.7439069375</v>
      </c>
      <c r="M356" s="194">
        <f>IF(VLOOKUP(E356,'HOURLY RATES'!C$6:D$105,2,0)=0,$E$3,VLOOKUP(E356,'HOURLY RATES'!C$6:D$105,2,0))</f>
        <v>38.508412499999999</v>
      </c>
      <c r="N356" s="206">
        <f t="shared" ref="N356" si="282">M356*L356</f>
        <v>67.155087710861721</v>
      </c>
      <c r="O356" s="377">
        <f>11.49/12</f>
        <v>0.95750000000000002</v>
      </c>
      <c r="P356" s="197">
        <f t="shared" ref="P356" si="283">O356*I356</f>
        <v>33.395817853124996</v>
      </c>
      <c r="Q356" s="198">
        <f t="shared" ref="Q356" si="284">P356+N356</f>
        <v>100.55090556398672</v>
      </c>
      <c r="R356" s="199"/>
      <c r="X356" s="257"/>
    </row>
    <row r="357" spans="1:24" s="12" customFormat="1" x14ac:dyDescent="0.2">
      <c r="A357" s="209">
        <f>IF(J357&lt;&gt;"",1+MAX($A$18:A356),"")</f>
        <v>222</v>
      </c>
      <c r="B357" s="210" t="s">
        <v>463</v>
      </c>
      <c r="C357" s="210" t="s">
        <v>464</v>
      </c>
      <c r="D357" s="210" t="s">
        <v>21</v>
      </c>
      <c r="E357" s="255" t="s">
        <v>270</v>
      </c>
      <c r="F357" s="250" t="s">
        <v>180</v>
      </c>
      <c r="G357" s="310">
        <f>G351*4</f>
        <v>244.92</v>
      </c>
      <c r="H357" s="205">
        <f>IF(VLOOKUP(J357,'HOURLY RATES'!B$116:C$124,2,0)=0,$J$3,VLOOKUP(J357,'HOURLY RATES'!B$116:C$124,2,0))</f>
        <v>0.05</v>
      </c>
      <c r="I357" s="317">
        <f t="shared" si="270"/>
        <v>257.166</v>
      </c>
      <c r="J357" s="192" t="s">
        <v>19</v>
      </c>
      <c r="K357" s="382">
        <v>1.6E-2</v>
      </c>
      <c r="L357" s="228">
        <f t="shared" si="271"/>
        <v>4.1146560000000001</v>
      </c>
      <c r="M357" s="194">
        <f>IF(VLOOKUP(E357,'HOURLY RATES'!C$6:D$105,2,0)=0,$E$3,VLOOKUP(E357,'HOURLY RATES'!C$6:D$105,2,0))</f>
        <v>66.337424999999996</v>
      </c>
      <c r="N357" s="206">
        <f t="shared" si="272"/>
        <v>272.95568380079999</v>
      </c>
      <c r="O357" s="377">
        <v>0.05</v>
      </c>
      <c r="P357" s="197">
        <f t="shared" si="273"/>
        <v>12.8583</v>
      </c>
      <c r="Q357" s="198">
        <f t="shared" si="274"/>
        <v>285.81398380079997</v>
      </c>
      <c r="R357" s="199"/>
      <c r="X357" s="257"/>
    </row>
    <row r="358" spans="1:24" s="12" customFormat="1" x14ac:dyDescent="0.2">
      <c r="A358" s="209" t="str">
        <f>IF(J358&lt;&gt;"",1+MAX($A$18:A357),"")</f>
        <v/>
      </c>
      <c r="B358" s="210"/>
      <c r="C358" s="210"/>
      <c r="D358" s="210"/>
      <c r="E358" s="255"/>
      <c r="F358" s="250" t="s">
        <v>28</v>
      </c>
      <c r="G358" s="310"/>
      <c r="H358" s="205"/>
      <c r="I358" s="317"/>
      <c r="J358" s="192"/>
      <c r="K358" s="382"/>
      <c r="L358" s="228"/>
      <c r="M358" s="194"/>
      <c r="N358" s="206"/>
      <c r="O358" s="377"/>
      <c r="P358" s="197"/>
      <c r="Q358" s="198"/>
      <c r="R358" s="199"/>
      <c r="X358" s="257"/>
    </row>
    <row r="359" spans="1:24" s="12" customFormat="1" x14ac:dyDescent="0.2">
      <c r="A359" s="209">
        <f>IF(J359&lt;&gt;"",1+MAX($A$18:A358),"")</f>
        <v>223</v>
      </c>
      <c r="B359" s="210"/>
      <c r="C359" s="210"/>
      <c r="D359" s="210"/>
      <c r="E359" s="255"/>
      <c r="F359" s="219" t="s">
        <v>428</v>
      </c>
      <c r="G359" s="311">
        <v>22.16</v>
      </c>
      <c r="H359" s="205">
        <f>IF(VLOOKUP(J359,'HOURLY RATES'!B$116:C$124,2,0)=0,$J$3,VLOOKUP(J359,'HOURLY RATES'!B$116:C$124,2,0))</f>
        <v>0.05</v>
      </c>
      <c r="I359" s="317">
        <f t="shared" ref="I359:I366" si="285">(G359*(1+H359))</f>
        <v>23.268000000000001</v>
      </c>
      <c r="J359" s="192" t="s">
        <v>19</v>
      </c>
      <c r="K359" s="382"/>
      <c r="L359" s="228"/>
      <c r="M359" s="194"/>
      <c r="N359" s="206"/>
      <c r="O359" s="377"/>
      <c r="P359" s="197"/>
      <c r="Q359" s="198"/>
      <c r="R359" s="199"/>
      <c r="X359" s="257"/>
    </row>
    <row r="360" spans="1:24" s="12" customFormat="1" x14ac:dyDescent="0.2">
      <c r="A360" s="209">
        <f>IF(J360&lt;&gt;"",1+MAX($A$18:A359),"")</f>
        <v>224</v>
      </c>
      <c r="B360" s="210" t="s">
        <v>463</v>
      </c>
      <c r="C360" s="210" t="s">
        <v>464</v>
      </c>
      <c r="D360" s="210" t="s">
        <v>21</v>
      </c>
      <c r="E360" s="255" t="s">
        <v>43</v>
      </c>
      <c r="F360" s="250" t="s">
        <v>745</v>
      </c>
      <c r="G360" s="310">
        <f>(G359*3.5/32)</f>
        <v>2.4237500000000001</v>
      </c>
      <c r="H360" s="205">
        <f>IF(VLOOKUP(J360,'HOURLY RATES'!B$116:C$124,2,0)=0,$J$3,VLOOKUP(J360,'HOURLY RATES'!B$116:C$124,2,0))</f>
        <v>0</v>
      </c>
      <c r="I360" s="317">
        <f t="shared" si="285"/>
        <v>2.4237500000000001</v>
      </c>
      <c r="J360" s="192" t="s">
        <v>16</v>
      </c>
      <c r="K360" s="382">
        <f>0.02*32</f>
        <v>0.64</v>
      </c>
      <c r="L360" s="228">
        <f t="shared" ref="L360:L366" si="286">K360*I360</f>
        <v>1.5512000000000001</v>
      </c>
      <c r="M360" s="194">
        <f>IF(VLOOKUP(E360,'HOURLY RATES'!C$6:D$105,2,0)=0,$E$3,VLOOKUP(E360,'HOURLY RATES'!C$6:D$105,2,0))</f>
        <v>38.508412499999999</v>
      </c>
      <c r="N360" s="206">
        <f t="shared" ref="N360:N366" si="287">M360*L360</f>
        <v>59.734249470000002</v>
      </c>
      <c r="O360" s="377">
        <v>43.25</v>
      </c>
      <c r="P360" s="197">
        <f t="shared" ref="P360:P366" si="288">O360*I360</f>
        <v>104.82718750000001</v>
      </c>
      <c r="Q360" s="198">
        <f t="shared" ref="Q360:Q366" si="289">P360+N360</f>
        <v>164.56143697000002</v>
      </c>
      <c r="R360" s="199"/>
      <c r="X360" s="257"/>
    </row>
    <row r="361" spans="1:24" s="12" customFormat="1" x14ac:dyDescent="0.2">
      <c r="A361" s="209">
        <f>IF(J361&lt;&gt;"",1+MAX($A$18:A360),"")</f>
        <v>225</v>
      </c>
      <c r="B361" s="210" t="s">
        <v>463</v>
      </c>
      <c r="C361" s="210" t="s">
        <v>464</v>
      </c>
      <c r="D361" s="210" t="s">
        <v>21</v>
      </c>
      <c r="E361" s="255" t="s">
        <v>133</v>
      </c>
      <c r="F361" s="250" t="s">
        <v>424</v>
      </c>
      <c r="G361" s="310">
        <f>(G359*3.532)</f>
        <v>78.269120000000001</v>
      </c>
      <c r="H361" s="205">
        <f>IF(VLOOKUP(J361,'HOURLY RATES'!B$116:C$124,2,0)=0,$J$3,VLOOKUP(J361,'HOURLY RATES'!B$116:C$124,2,0))</f>
        <v>0</v>
      </c>
      <c r="I361" s="317">
        <f t="shared" si="285"/>
        <v>78.269120000000001</v>
      </c>
      <c r="J361" s="192" t="s">
        <v>16</v>
      </c>
      <c r="K361" s="382">
        <f>0.015*32</f>
        <v>0.48</v>
      </c>
      <c r="L361" s="228">
        <f t="shared" si="286"/>
        <v>37.569177599999996</v>
      </c>
      <c r="M361" s="194">
        <f>IF(VLOOKUP(E361,'HOURLY RATES'!C$6:D$105,2,0)=0,$E$3,VLOOKUP(E361,'HOURLY RATES'!C$6:D$105,2,0))</f>
        <v>38.508412499999999</v>
      </c>
      <c r="N361" s="206">
        <f t="shared" si="287"/>
        <v>1446.7293883065597</v>
      </c>
      <c r="O361" s="377">
        <v>10.56</v>
      </c>
      <c r="P361" s="197">
        <f t="shared" si="288"/>
        <v>826.5219072000001</v>
      </c>
      <c r="Q361" s="198">
        <f t="shared" si="289"/>
        <v>2273.2512955065599</v>
      </c>
      <c r="R361" s="199"/>
      <c r="X361" s="257"/>
    </row>
    <row r="362" spans="1:24" s="12" customFormat="1" x14ac:dyDescent="0.2">
      <c r="A362" s="209">
        <f>IF(J362&lt;&gt;"",1+MAX($A$18:A361),"")</f>
        <v>226</v>
      </c>
      <c r="B362" s="210" t="s">
        <v>463</v>
      </c>
      <c r="C362" s="210" t="s">
        <v>464</v>
      </c>
      <c r="D362" s="210" t="s">
        <v>21</v>
      </c>
      <c r="E362" s="255" t="s">
        <v>63</v>
      </c>
      <c r="F362" s="250" t="s">
        <v>425</v>
      </c>
      <c r="G362" s="310">
        <f>G359*3.5</f>
        <v>77.56</v>
      </c>
      <c r="H362" s="205">
        <f>IF(VLOOKUP(J362,'HOURLY RATES'!B$116:C$124,2,0)=0,$J$3,VLOOKUP(J362,'HOURLY RATES'!B$116:C$124,2,0))</f>
        <v>0.05</v>
      </c>
      <c r="I362" s="317">
        <f t="shared" si="285"/>
        <v>81.438000000000002</v>
      </c>
      <c r="J362" s="192" t="s">
        <v>17</v>
      </c>
      <c r="K362" s="382">
        <v>8.9999999999999993E-3</v>
      </c>
      <c r="L362" s="228">
        <f t="shared" si="286"/>
        <v>0.73294199999999998</v>
      </c>
      <c r="M362" s="194">
        <f>IF(VLOOKUP(E362,'HOURLY RATES'!C$6:D$105,2,0)=0,$E$3,VLOOKUP(E362,'HOURLY RATES'!C$6:D$105,2,0))</f>
        <v>38.508412499999999</v>
      </c>
      <c r="N362" s="206">
        <f t="shared" si="287"/>
        <v>28.224432874574997</v>
      </c>
      <c r="O362" s="377">
        <f>2.27*1.5/2</f>
        <v>1.7025000000000001</v>
      </c>
      <c r="P362" s="197">
        <f t="shared" si="288"/>
        <v>138.64819500000002</v>
      </c>
      <c r="Q362" s="198">
        <f t="shared" si="289"/>
        <v>166.87262787457502</v>
      </c>
      <c r="R362" s="199"/>
      <c r="X362" s="257"/>
    </row>
    <row r="363" spans="1:24" s="12" customFormat="1" x14ac:dyDescent="0.2">
      <c r="A363" s="209">
        <f>IF(J363&lt;&gt;"",1+MAX($A$18:A362),"")</f>
        <v>227</v>
      </c>
      <c r="B363" s="210" t="s">
        <v>463</v>
      </c>
      <c r="C363" s="210" t="s">
        <v>464</v>
      </c>
      <c r="D363" s="210" t="s">
        <v>21</v>
      </c>
      <c r="E363" s="255" t="s">
        <v>146</v>
      </c>
      <c r="F363" s="250" t="s">
        <v>436</v>
      </c>
      <c r="G363" s="310">
        <f>(G359/1.33)/2</f>
        <v>8.3308270676691727</v>
      </c>
      <c r="H363" s="205">
        <f>IF(VLOOKUP(J363,'HOURLY RATES'!B$116:C$124,2,0)=0,$J$3,VLOOKUP(J363,'HOURLY RATES'!B$116:C$124,2,0))</f>
        <v>0</v>
      </c>
      <c r="I363" s="317">
        <f t="shared" si="285"/>
        <v>8.3308270676691727</v>
      </c>
      <c r="J363" s="192" t="s">
        <v>16</v>
      </c>
      <c r="K363" s="382">
        <f>0.07*8</f>
        <v>0.56000000000000005</v>
      </c>
      <c r="L363" s="228">
        <f t="shared" si="286"/>
        <v>4.6652631578947368</v>
      </c>
      <c r="M363" s="194">
        <f>IF(VLOOKUP(E363,'HOURLY RATES'!C$6:D$105,2,0)=0,$E$3,VLOOKUP(E363,'HOURLY RATES'!C$6:D$105,2,0))</f>
        <v>38.508412499999999</v>
      </c>
      <c r="N363" s="206">
        <f t="shared" si="287"/>
        <v>179.65187810526314</v>
      </c>
      <c r="O363" s="377">
        <f>3.95*18/16*8</f>
        <v>35.550000000000004</v>
      </c>
      <c r="P363" s="197">
        <f t="shared" si="288"/>
        <v>296.16090225563914</v>
      </c>
      <c r="Q363" s="198">
        <f t="shared" si="289"/>
        <v>475.81278036090225</v>
      </c>
      <c r="R363" s="199"/>
      <c r="X363" s="257"/>
    </row>
    <row r="364" spans="1:24" s="12" customFormat="1" x14ac:dyDescent="0.2">
      <c r="A364" s="209">
        <f>IF(J364&lt;&gt;"",1+MAX($A$18:A363),"")</f>
        <v>228</v>
      </c>
      <c r="B364" s="210" t="s">
        <v>463</v>
      </c>
      <c r="C364" s="210" t="s">
        <v>464</v>
      </c>
      <c r="D364" s="210" t="s">
        <v>21</v>
      </c>
      <c r="E364" s="255" t="s">
        <v>146</v>
      </c>
      <c r="F364" s="250" t="s">
        <v>423</v>
      </c>
      <c r="G364" s="310">
        <f>G359*2</f>
        <v>44.32</v>
      </c>
      <c r="H364" s="205">
        <f>IF(VLOOKUP(J364,'HOURLY RATES'!B$116:C$124,2,0)=0,$J$3,VLOOKUP(J364,'HOURLY RATES'!B$116:C$124,2,0))</f>
        <v>0.05</v>
      </c>
      <c r="I364" s="317">
        <f t="shared" si="285"/>
        <v>46.536000000000001</v>
      </c>
      <c r="J364" s="192" t="s">
        <v>19</v>
      </c>
      <c r="K364" s="382">
        <v>7.0000000000000007E-2</v>
      </c>
      <c r="L364" s="228">
        <f t="shared" si="286"/>
        <v>3.2575200000000004</v>
      </c>
      <c r="M364" s="194">
        <f>IF(VLOOKUP(E364,'HOURLY RATES'!C$6:D$105,2,0)=0,$E$3,VLOOKUP(E364,'HOURLY RATES'!C$6:D$105,2,0))</f>
        <v>38.508412499999999</v>
      </c>
      <c r="N364" s="206">
        <f t="shared" si="287"/>
        <v>125.44192388700002</v>
      </c>
      <c r="O364" s="377">
        <f>3.95*18/16</f>
        <v>4.4437500000000005</v>
      </c>
      <c r="P364" s="197">
        <f t="shared" si="288"/>
        <v>206.79435000000004</v>
      </c>
      <c r="Q364" s="198">
        <f t="shared" si="289"/>
        <v>332.23627388700004</v>
      </c>
      <c r="R364" s="199"/>
      <c r="X364" s="257"/>
    </row>
    <row r="365" spans="1:24" s="12" customFormat="1" x14ac:dyDescent="0.2">
      <c r="A365" s="209">
        <f>IF(J365&lt;&gt;"",1+MAX($A$18:A364),"")</f>
        <v>229</v>
      </c>
      <c r="B365" s="210" t="s">
        <v>463</v>
      </c>
      <c r="C365" s="210" t="s">
        <v>464</v>
      </c>
      <c r="D365" s="210" t="s">
        <v>21</v>
      </c>
      <c r="E365" s="255" t="s">
        <v>146</v>
      </c>
      <c r="F365" s="250" t="s">
        <v>426</v>
      </c>
      <c r="G365" s="310">
        <f>(3.5/4)*G359</f>
        <v>19.39</v>
      </c>
      <c r="H365" s="205">
        <f>IF(VLOOKUP(J365,'HOURLY RATES'!B$116:C$124,2,0)=0,$J$3,VLOOKUP(J365,'HOURLY RATES'!B$116:C$124,2,0))</f>
        <v>0.05</v>
      </c>
      <c r="I365" s="317">
        <f t="shared" si="285"/>
        <v>20.359500000000001</v>
      </c>
      <c r="J365" s="192" t="s">
        <v>19</v>
      </c>
      <c r="K365" s="382">
        <v>0.05</v>
      </c>
      <c r="L365" s="228">
        <f t="shared" si="286"/>
        <v>1.0179750000000001</v>
      </c>
      <c r="M365" s="194">
        <f>IF(VLOOKUP(E365,'HOURLY RATES'!C$6:D$105,2,0)=0,$E$3,VLOOKUP(E365,'HOURLY RATES'!C$6:D$105,2,0))</f>
        <v>38.508412499999999</v>
      </c>
      <c r="N365" s="206">
        <f t="shared" si="287"/>
        <v>39.200601214687502</v>
      </c>
      <c r="O365" s="377">
        <f>11.49/12</f>
        <v>0.95750000000000002</v>
      </c>
      <c r="P365" s="197">
        <f t="shared" si="288"/>
        <v>19.494221250000002</v>
      </c>
      <c r="Q365" s="198">
        <f t="shared" si="289"/>
        <v>58.694822464687505</v>
      </c>
      <c r="R365" s="199"/>
      <c r="X365" s="257"/>
    </row>
    <row r="366" spans="1:24" s="12" customFormat="1" x14ac:dyDescent="0.2">
      <c r="A366" s="209">
        <f>IF(J366&lt;&gt;"",1+MAX($A$18:A365),"")</f>
        <v>230</v>
      </c>
      <c r="B366" s="210" t="s">
        <v>463</v>
      </c>
      <c r="C366" s="210" t="s">
        <v>464</v>
      </c>
      <c r="D366" s="210" t="s">
        <v>21</v>
      </c>
      <c r="E366" s="255" t="s">
        <v>270</v>
      </c>
      <c r="F366" s="250" t="s">
        <v>180</v>
      </c>
      <c r="G366" s="310">
        <f>G359*4</f>
        <v>88.64</v>
      </c>
      <c r="H366" s="205">
        <f>IF(VLOOKUP(J366,'HOURLY RATES'!B$116:C$124,2,0)=0,$J$3,VLOOKUP(J366,'HOURLY RATES'!B$116:C$124,2,0))</f>
        <v>0.05</v>
      </c>
      <c r="I366" s="317">
        <f t="shared" si="285"/>
        <v>93.072000000000003</v>
      </c>
      <c r="J366" s="192" t="s">
        <v>19</v>
      </c>
      <c r="K366" s="382">
        <v>1.6E-2</v>
      </c>
      <c r="L366" s="228">
        <f t="shared" si="286"/>
        <v>1.489152</v>
      </c>
      <c r="M366" s="194">
        <f>IF(VLOOKUP(E366,'HOURLY RATES'!C$6:D$105,2,0)=0,$E$3,VLOOKUP(E366,'HOURLY RATES'!C$6:D$105,2,0))</f>
        <v>66.337424999999996</v>
      </c>
      <c r="N366" s="206">
        <f t="shared" si="287"/>
        <v>98.78650911359999</v>
      </c>
      <c r="O366" s="377">
        <v>0.05</v>
      </c>
      <c r="P366" s="197">
        <f t="shared" si="288"/>
        <v>4.6536</v>
      </c>
      <c r="Q366" s="198">
        <f t="shared" si="289"/>
        <v>103.44010911359999</v>
      </c>
      <c r="R366" s="199"/>
      <c r="X366" s="257"/>
    </row>
    <row r="367" spans="1:24" s="12" customFormat="1" x14ac:dyDescent="0.2">
      <c r="A367" s="209" t="str">
        <f>IF(J367&lt;&gt;"",1+MAX($A$18:A366),"")</f>
        <v/>
      </c>
      <c r="B367" s="210"/>
      <c r="C367" s="210"/>
      <c r="D367" s="210"/>
      <c r="E367" s="255"/>
      <c r="F367" s="250"/>
      <c r="G367" s="310"/>
      <c r="H367" s="205"/>
      <c r="I367" s="317"/>
      <c r="J367" s="192"/>
      <c r="K367" s="382"/>
      <c r="L367" s="228"/>
      <c r="M367" s="194"/>
      <c r="N367" s="206"/>
      <c r="O367" s="377"/>
      <c r="P367" s="197"/>
      <c r="Q367" s="198"/>
      <c r="R367" s="199"/>
      <c r="X367" s="257"/>
    </row>
    <row r="368" spans="1:24" s="12" customFormat="1" x14ac:dyDescent="0.2">
      <c r="A368" s="209">
        <f>IF(J368&lt;&gt;"",1+MAX($A$18:A367),"")</f>
        <v>231</v>
      </c>
      <c r="B368" s="210"/>
      <c r="C368" s="210"/>
      <c r="D368" s="210"/>
      <c r="E368" s="255"/>
      <c r="F368" s="219" t="s">
        <v>429</v>
      </c>
      <c r="G368" s="311">
        <v>9.2200000000000006</v>
      </c>
      <c r="H368" s="205">
        <f>IF(VLOOKUP(J368,'HOURLY RATES'!B$116:C$124,2,0)=0,$J$3,VLOOKUP(J368,'HOURLY RATES'!B$116:C$124,2,0))</f>
        <v>0.05</v>
      </c>
      <c r="I368" s="317">
        <f t="shared" ref="I368:I375" si="290">(G368*(1+H368))</f>
        <v>9.6810000000000009</v>
      </c>
      <c r="J368" s="192" t="s">
        <v>19</v>
      </c>
      <c r="K368" s="382"/>
      <c r="L368" s="228"/>
      <c r="M368" s="194"/>
      <c r="N368" s="206"/>
      <c r="O368" s="377"/>
      <c r="P368" s="197"/>
      <c r="Q368" s="198"/>
      <c r="R368" s="199"/>
      <c r="X368" s="257"/>
    </row>
    <row r="369" spans="1:24" s="12" customFormat="1" x14ac:dyDescent="0.2">
      <c r="A369" s="209">
        <f>IF(J369&lt;&gt;"",1+MAX($A$18:A368),"")</f>
        <v>232</v>
      </c>
      <c r="B369" s="210" t="s">
        <v>463</v>
      </c>
      <c r="C369" s="210" t="s">
        <v>464</v>
      </c>
      <c r="D369" s="210" t="s">
        <v>21</v>
      </c>
      <c r="E369" s="255" t="s">
        <v>43</v>
      </c>
      <c r="F369" s="250" t="s">
        <v>745</v>
      </c>
      <c r="G369" s="310">
        <f>(G368*4/32)</f>
        <v>1.1525000000000001</v>
      </c>
      <c r="H369" s="205">
        <f>IF(VLOOKUP(J369,'HOURLY RATES'!B$116:C$124,2,0)=0,$J$3,VLOOKUP(J369,'HOURLY RATES'!B$116:C$124,2,0))</f>
        <v>0</v>
      </c>
      <c r="I369" s="317">
        <f t="shared" si="290"/>
        <v>1.1525000000000001</v>
      </c>
      <c r="J369" s="192" t="s">
        <v>16</v>
      </c>
      <c r="K369" s="382">
        <f>0.02*32</f>
        <v>0.64</v>
      </c>
      <c r="L369" s="228">
        <f t="shared" ref="L369:L375" si="291">K369*I369</f>
        <v>0.73760000000000003</v>
      </c>
      <c r="M369" s="194">
        <f>IF(VLOOKUP(E369,'HOURLY RATES'!C$6:D$105,2,0)=0,$E$3,VLOOKUP(E369,'HOURLY RATES'!C$6:D$105,2,0))</f>
        <v>38.508412499999999</v>
      </c>
      <c r="N369" s="206">
        <f t="shared" ref="N369:N375" si="292">M369*L369</f>
        <v>28.40380506</v>
      </c>
      <c r="O369" s="377">
        <v>43.25</v>
      </c>
      <c r="P369" s="197">
        <f t="shared" ref="P369:P375" si="293">O369*I369</f>
        <v>49.845625000000005</v>
      </c>
      <c r="Q369" s="198">
        <f t="shared" ref="Q369:Q375" si="294">P369+N369</f>
        <v>78.249430060000009</v>
      </c>
      <c r="R369" s="199"/>
      <c r="X369" s="257"/>
    </row>
    <row r="370" spans="1:24" s="12" customFormat="1" x14ac:dyDescent="0.2">
      <c r="A370" s="209">
        <f>IF(J370&lt;&gt;"",1+MAX($A$18:A369),"")</f>
        <v>233</v>
      </c>
      <c r="B370" s="210" t="s">
        <v>463</v>
      </c>
      <c r="C370" s="210" t="s">
        <v>464</v>
      </c>
      <c r="D370" s="210" t="s">
        <v>21</v>
      </c>
      <c r="E370" s="255" t="s">
        <v>133</v>
      </c>
      <c r="F370" s="250" t="s">
        <v>424</v>
      </c>
      <c r="G370" s="310">
        <f>(G368*4/32)</f>
        <v>1.1525000000000001</v>
      </c>
      <c r="H370" s="205">
        <f>IF(VLOOKUP(J370,'HOURLY RATES'!B$116:C$124,2,0)=0,$J$3,VLOOKUP(J370,'HOURLY RATES'!B$116:C$124,2,0))</f>
        <v>0</v>
      </c>
      <c r="I370" s="317">
        <f t="shared" si="290"/>
        <v>1.1525000000000001</v>
      </c>
      <c r="J370" s="192" t="s">
        <v>16</v>
      </c>
      <c r="K370" s="382">
        <f>0.015*32</f>
        <v>0.48</v>
      </c>
      <c r="L370" s="228">
        <f t="shared" si="291"/>
        <v>0.55320000000000003</v>
      </c>
      <c r="M370" s="194">
        <f>IF(VLOOKUP(E370,'HOURLY RATES'!C$6:D$105,2,0)=0,$E$3,VLOOKUP(E370,'HOURLY RATES'!C$6:D$105,2,0))</f>
        <v>38.508412499999999</v>
      </c>
      <c r="N370" s="206">
        <f t="shared" si="292"/>
        <v>21.302853795000001</v>
      </c>
      <c r="O370" s="377">
        <v>10.56</v>
      </c>
      <c r="P370" s="197">
        <f t="shared" si="293"/>
        <v>12.170400000000001</v>
      </c>
      <c r="Q370" s="198">
        <f t="shared" si="294"/>
        <v>33.473253795000005</v>
      </c>
      <c r="R370" s="199"/>
      <c r="X370" s="257"/>
    </row>
    <row r="371" spans="1:24" s="12" customFormat="1" x14ac:dyDescent="0.2">
      <c r="A371" s="209">
        <f>IF(J371&lt;&gt;"",1+MAX($A$18:A370),"")</f>
        <v>234</v>
      </c>
      <c r="B371" s="210" t="s">
        <v>463</v>
      </c>
      <c r="C371" s="210" t="s">
        <v>464</v>
      </c>
      <c r="D371" s="210" t="s">
        <v>21</v>
      </c>
      <c r="E371" s="255" t="s">
        <v>63</v>
      </c>
      <c r="F371" s="250" t="s">
        <v>425</v>
      </c>
      <c r="G371" s="310">
        <f>G368*4</f>
        <v>36.880000000000003</v>
      </c>
      <c r="H371" s="205">
        <f>IF(VLOOKUP(J371,'HOURLY RATES'!B$116:C$124,2,0)=0,$J$3,VLOOKUP(J371,'HOURLY RATES'!B$116:C$124,2,0))</f>
        <v>0.05</v>
      </c>
      <c r="I371" s="317">
        <f t="shared" si="290"/>
        <v>38.724000000000004</v>
      </c>
      <c r="J371" s="192" t="s">
        <v>17</v>
      </c>
      <c r="K371" s="382">
        <v>8.9999999999999993E-3</v>
      </c>
      <c r="L371" s="228">
        <f t="shared" si="291"/>
        <v>0.34851599999999999</v>
      </c>
      <c r="M371" s="194">
        <f>IF(VLOOKUP(E371,'HOURLY RATES'!C$6:D$105,2,0)=0,$E$3,VLOOKUP(E371,'HOURLY RATES'!C$6:D$105,2,0))</f>
        <v>38.508412499999999</v>
      </c>
      <c r="N371" s="206">
        <f t="shared" si="292"/>
        <v>13.420797890849999</v>
      </c>
      <c r="O371" s="377">
        <f>2.27*1.5/2</f>
        <v>1.7025000000000001</v>
      </c>
      <c r="P371" s="197">
        <f t="shared" si="293"/>
        <v>65.927610000000016</v>
      </c>
      <c r="Q371" s="198">
        <f t="shared" si="294"/>
        <v>79.348407890850012</v>
      </c>
      <c r="R371" s="199"/>
      <c r="X371" s="257"/>
    </row>
    <row r="372" spans="1:24" s="12" customFormat="1" x14ac:dyDescent="0.2">
      <c r="A372" s="209">
        <f>IF(J372&lt;&gt;"",1+MAX($A$18:A371),"")</f>
        <v>235</v>
      </c>
      <c r="B372" s="210" t="s">
        <v>463</v>
      </c>
      <c r="C372" s="210" t="s">
        <v>464</v>
      </c>
      <c r="D372" s="210" t="s">
        <v>21</v>
      </c>
      <c r="E372" s="255" t="s">
        <v>146</v>
      </c>
      <c r="F372" s="250" t="s">
        <v>436</v>
      </c>
      <c r="G372" s="310">
        <f>(G368/1.33)/2</f>
        <v>3.4661654135338344</v>
      </c>
      <c r="H372" s="205">
        <f>IF(VLOOKUP(J372,'HOURLY RATES'!B$116:C$124,2,0)=0,$J$3,VLOOKUP(J372,'HOURLY RATES'!B$116:C$124,2,0))</f>
        <v>0</v>
      </c>
      <c r="I372" s="317">
        <f t="shared" si="290"/>
        <v>3.4661654135338344</v>
      </c>
      <c r="J372" s="192" t="s">
        <v>16</v>
      </c>
      <c r="K372" s="382">
        <f>0.07*8</f>
        <v>0.56000000000000005</v>
      </c>
      <c r="L372" s="228">
        <f t="shared" si="291"/>
        <v>1.9410526315789476</v>
      </c>
      <c r="M372" s="194">
        <f>IF(VLOOKUP(E372,'HOURLY RATES'!C$6:D$105,2,0)=0,$E$3,VLOOKUP(E372,'HOURLY RATES'!C$6:D$105,2,0))</f>
        <v>38.508412499999999</v>
      </c>
      <c r="N372" s="206">
        <f t="shared" si="292"/>
        <v>74.746855421052643</v>
      </c>
      <c r="O372" s="377">
        <f>3.95*18/16*8</f>
        <v>35.550000000000004</v>
      </c>
      <c r="P372" s="197">
        <f t="shared" si="293"/>
        <v>123.22218045112783</v>
      </c>
      <c r="Q372" s="198">
        <f t="shared" si="294"/>
        <v>197.96903587218048</v>
      </c>
      <c r="R372" s="199"/>
      <c r="X372" s="257"/>
    </row>
    <row r="373" spans="1:24" s="12" customFormat="1" x14ac:dyDescent="0.2">
      <c r="A373" s="209">
        <f>IF(J373&lt;&gt;"",1+MAX($A$18:A372),"")</f>
        <v>236</v>
      </c>
      <c r="B373" s="210" t="s">
        <v>463</v>
      </c>
      <c r="C373" s="210" t="s">
        <v>464</v>
      </c>
      <c r="D373" s="210" t="s">
        <v>21</v>
      </c>
      <c r="E373" s="255" t="s">
        <v>146</v>
      </c>
      <c r="F373" s="250" t="s">
        <v>423</v>
      </c>
      <c r="G373" s="310">
        <f>G368*2</f>
        <v>18.440000000000001</v>
      </c>
      <c r="H373" s="205">
        <f>IF(VLOOKUP(J373,'HOURLY RATES'!B$116:C$124,2,0)=0,$J$3,VLOOKUP(J373,'HOURLY RATES'!B$116:C$124,2,0))</f>
        <v>0.05</v>
      </c>
      <c r="I373" s="317">
        <f t="shared" si="290"/>
        <v>19.362000000000002</v>
      </c>
      <c r="J373" s="192" t="s">
        <v>19</v>
      </c>
      <c r="K373" s="382">
        <v>7.0000000000000007E-2</v>
      </c>
      <c r="L373" s="228">
        <f t="shared" si="291"/>
        <v>1.3553400000000002</v>
      </c>
      <c r="M373" s="194">
        <f>IF(VLOOKUP(E373,'HOURLY RATES'!C$6:D$105,2,0)=0,$E$3,VLOOKUP(E373,'HOURLY RATES'!C$6:D$105,2,0))</f>
        <v>38.508412499999999</v>
      </c>
      <c r="N373" s="206">
        <f t="shared" si="292"/>
        <v>52.191991797750006</v>
      </c>
      <c r="O373" s="377">
        <f>3.95*18/16</f>
        <v>4.4437500000000005</v>
      </c>
      <c r="P373" s="197">
        <f t="shared" si="293"/>
        <v>86.03988750000002</v>
      </c>
      <c r="Q373" s="198">
        <f t="shared" si="294"/>
        <v>138.23187929775003</v>
      </c>
      <c r="R373" s="199"/>
      <c r="X373" s="257"/>
    </row>
    <row r="374" spans="1:24" s="12" customFormat="1" x14ac:dyDescent="0.2">
      <c r="A374" s="209">
        <f>IF(J374&lt;&gt;"",1+MAX($A$18:A373),"")</f>
        <v>237</v>
      </c>
      <c r="B374" s="210" t="s">
        <v>463</v>
      </c>
      <c r="C374" s="210" t="s">
        <v>464</v>
      </c>
      <c r="D374" s="210" t="s">
        <v>21</v>
      </c>
      <c r="E374" s="255" t="s">
        <v>146</v>
      </c>
      <c r="F374" s="250" t="s">
        <v>426</v>
      </c>
      <c r="G374" s="310">
        <f>(4/4)*G368</f>
        <v>9.2200000000000006</v>
      </c>
      <c r="H374" s="205">
        <f>IF(VLOOKUP(J374,'HOURLY RATES'!B$116:C$124,2,0)=0,$J$3,VLOOKUP(J374,'HOURLY RATES'!B$116:C$124,2,0))</f>
        <v>0.05</v>
      </c>
      <c r="I374" s="317">
        <f t="shared" si="290"/>
        <v>9.6810000000000009</v>
      </c>
      <c r="J374" s="192" t="s">
        <v>19</v>
      </c>
      <c r="K374" s="382">
        <v>0.05</v>
      </c>
      <c r="L374" s="228">
        <f t="shared" si="291"/>
        <v>0.48405000000000009</v>
      </c>
      <c r="M374" s="194">
        <f>IF(VLOOKUP(E374,'HOURLY RATES'!C$6:D$105,2,0)=0,$E$3,VLOOKUP(E374,'HOURLY RATES'!C$6:D$105,2,0))</f>
        <v>38.508412499999999</v>
      </c>
      <c r="N374" s="206">
        <f t="shared" si="292"/>
        <v>18.639997070625004</v>
      </c>
      <c r="O374" s="377">
        <f>11.49/12</f>
        <v>0.95750000000000002</v>
      </c>
      <c r="P374" s="197">
        <f t="shared" si="293"/>
        <v>9.2695575000000012</v>
      </c>
      <c r="Q374" s="198">
        <f t="shared" si="294"/>
        <v>27.909554570625005</v>
      </c>
      <c r="R374" s="199"/>
      <c r="X374" s="257"/>
    </row>
    <row r="375" spans="1:24" s="12" customFormat="1" x14ac:dyDescent="0.2">
      <c r="A375" s="209">
        <f>IF(J375&lt;&gt;"",1+MAX($A$18:A374),"")</f>
        <v>238</v>
      </c>
      <c r="B375" s="210" t="s">
        <v>463</v>
      </c>
      <c r="C375" s="210" t="s">
        <v>464</v>
      </c>
      <c r="D375" s="210" t="s">
        <v>21</v>
      </c>
      <c r="E375" s="255" t="s">
        <v>270</v>
      </c>
      <c r="F375" s="250" t="s">
        <v>180</v>
      </c>
      <c r="G375" s="310">
        <f>G368*4</f>
        <v>36.880000000000003</v>
      </c>
      <c r="H375" s="205">
        <f>IF(VLOOKUP(J375,'HOURLY RATES'!B$116:C$124,2,0)=0,$J$3,VLOOKUP(J375,'HOURLY RATES'!B$116:C$124,2,0))</f>
        <v>0.05</v>
      </c>
      <c r="I375" s="317">
        <f t="shared" si="290"/>
        <v>38.724000000000004</v>
      </c>
      <c r="J375" s="192" t="s">
        <v>19</v>
      </c>
      <c r="K375" s="382">
        <v>1.6E-2</v>
      </c>
      <c r="L375" s="228">
        <f t="shared" si="291"/>
        <v>0.61958400000000002</v>
      </c>
      <c r="M375" s="194">
        <f>IF(VLOOKUP(E375,'HOURLY RATES'!C$6:D$105,2,0)=0,$E$3,VLOOKUP(E375,'HOURLY RATES'!C$6:D$105,2,0))</f>
        <v>66.337424999999996</v>
      </c>
      <c r="N375" s="206">
        <f t="shared" si="292"/>
        <v>41.101607131199998</v>
      </c>
      <c r="O375" s="377">
        <v>0.05</v>
      </c>
      <c r="P375" s="197">
        <f t="shared" si="293"/>
        <v>1.9362000000000004</v>
      </c>
      <c r="Q375" s="198">
        <f t="shared" si="294"/>
        <v>43.037807131199997</v>
      </c>
      <c r="R375" s="199"/>
      <c r="X375" s="257"/>
    </row>
    <row r="376" spans="1:24" s="12" customFormat="1" x14ac:dyDescent="0.2">
      <c r="A376" s="209" t="str">
        <f>IF(J376&lt;&gt;"",1+MAX($A$18:A375),"")</f>
        <v/>
      </c>
      <c r="B376" s="210"/>
      <c r="C376" s="210"/>
      <c r="D376" s="210"/>
      <c r="E376" s="255"/>
      <c r="F376" s="250"/>
      <c r="G376" s="310"/>
      <c r="H376" s="205"/>
      <c r="I376" s="317"/>
      <c r="J376" s="192"/>
      <c r="K376" s="382"/>
      <c r="L376" s="228"/>
      <c r="M376" s="194"/>
      <c r="N376" s="206"/>
      <c r="O376" s="377"/>
      <c r="P376" s="197"/>
      <c r="Q376" s="198"/>
      <c r="R376" s="199"/>
      <c r="X376" s="257"/>
    </row>
    <row r="377" spans="1:24" s="12" customFormat="1" x14ac:dyDescent="0.2">
      <c r="A377" s="209">
        <f>IF(J377&lt;&gt;"",1+MAX($A$18:A376),"")</f>
        <v>239</v>
      </c>
      <c r="B377" s="210"/>
      <c r="C377" s="210"/>
      <c r="D377" s="210"/>
      <c r="E377" s="255"/>
      <c r="F377" s="219" t="s">
        <v>430</v>
      </c>
      <c r="G377" s="311">
        <v>22.03</v>
      </c>
      <c r="H377" s="205">
        <f>IF(VLOOKUP(J377,'HOURLY RATES'!B$116:C$124,2,0)=0,$J$3,VLOOKUP(J377,'HOURLY RATES'!B$116:C$124,2,0))</f>
        <v>0.05</v>
      </c>
      <c r="I377" s="317">
        <f t="shared" ref="I377:I384" si="295">(G377*(1+H377))</f>
        <v>23.131500000000003</v>
      </c>
      <c r="J377" s="192" t="s">
        <v>19</v>
      </c>
      <c r="K377" s="382"/>
      <c r="L377" s="228"/>
      <c r="M377" s="194"/>
      <c r="N377" s="206"/>
      <c r="O377" s="377"/>
      <c r="P377" s="197"/>
      <c r="Q377" s="198"/>
      <c r="R377" s="199"/>
      <c r="X377" s="257"/>
    </row>
    <row r="378" spans="1:24" s="12" customFormat="1" x14ac:dyDescent="0.2">
      <c r="A378" s="209">
        <f>IF(J378&lt;&gt;"",1+MAX($A$18:A377),"")</f>
        <v>240</v>
      </c>
      <c r="B378" s="210" t="s">
        <v>463</v>
      </c>
      <c r="C378" s="210" t="s">
        <v>464</v>
      </c>
      <c r="D378" s="210" t="s">
        <v>21</v>
      </c>
      <c r="E378" s="255" t="s">
        <v>43</v>
      </c>
      <c r="F378" s="250" t="s">
        <v>745</v>
      </c>
      <c r="G378" s="310">
        <f>(G377*4.5/32)</f>
        <v>3.0979687500000002</v>
      </c>
      <c r="H378" s="205">
        <f>IF(VLOOKUP(J378,'HOURLY RATES'!B$116:C$124,2,0)=0,$J$3,VLOOKUP(J378,'HOURLY RATES'!B$116:C$124,2,0))</f>
        <v>0</v>
      </c>
      <c r="I378" s="317">
        <f t="shared" si="295"/>
        <v>3.0979687500000002</v>
      </c>
      <c r="J378" s="192" t="s">
        <v>16</v>
      </c>
      <c r="K378" s="382">
        <f>0.02*32</f>
        <v>0.64</v>
      </c>
      <c r="L378" s="228">
        <f t="shared" ref="L378:L384" si="296">K378*I378</f>
        <v>1.9827000000000001</v>
      </c>
      <c r="M378" s="194">
        <f>IF(VLOOKUP(E378,'HOURLY RATES'!C$6:D$105,2,0)=0,$E$3,VLOOKUP(E378,'HOURLY RATES'!C$6:D$105,2,0))</f>
        <v>38.508412499999999</v>
      </c>
      <c r="N378" s="206">
        <f t="shared" ref="N378:N384" si="297">M378*L378</f>
        <v>76.350629463749996</v>
      </c>
      <c r="O378" s="377">
        <v>43.25</v>
      </c>
      <c r="P378" s="197">
        <f t="shared" ref="P378:P384" si="298">O378*I378</f>
        <v>133.9871484375</v>
      </c>
      <c r="Q378" s="198">
        <f t="shared" ref="Q378:Q384" si="299">P378+N378</f>
        <v>210.33777790124998</v>
      </c>
      <c r="R378" s="199"/>
      <c r="X378" s="257"/>
    </row>
    <row r="379" spans="1:24" s="12" customFormat="1" x14ac:dyDescent="0.2">
      <c r="A379" s="209">
        <f>IF(J379&lt;&gt;"",1+MAX($A$18:A378),"")</f>
        <v>241</v>
      </c>
      <c r="B379" s="210" t="s">
        <v>463</v>
      </c>
      <c r="C379" s="210" t="s">
        <v>464</v>
      </c>
      <c r="D379" s="210" t="s">
        <v>21</v>
      </c>
      <c r="E379" s="255" t="s">
        <v>133</v>
      </c>
      <c r="F379" s="250" t="s">
        <v>424</v>
      </c>
      <c r="G379" s="310">
        <f>(G377*4.5/32)</f>
        <v>3.0979687500000002</v>
      </c>
      <c r="H379" s="205">
        <f>IF(VLOOKUP(J379,'HOURLY RATES'!B$116:C$124,2,0)=0,$J$3,VLOOKUP(J379,'HOURLY RATES'!B$116:C$124,2,0))</f>
        <v>0</v>
      </c>
      <c r="I379" s="317">
        <f t="shared" si="295"/>
        <v>3.0979687500000002</v>
      </c>
      <c r="J379" s="192" t="s">
        <v>16</v>
      </c>
      <c r="K379" s="382">
        <f>0.015*32</f>
        <v>0.48</v>
      </c>
      <c r="L379" s="228">
        <f t="shared" si="296"/>
        <v>1.487025</v>
      </c>
      <c r="M379" s="194">
        <f>IF(VLOOKUP(E379,'HOURLY RATES'!C$6:D$105,2,0)=0,$E$3,VLOOKUP(E379,'HOURLY RATES'!C$6:D$105,2,0))</f>
        <v>38.508412499999999</v>
      </c>
      <c r="N379" s="206">
        <f t="shared" si="297"/>
        <v>57.262972097812501</v>
      </c>
      <c r="O379" s="377">
        <v>10.56</v>
      </c>
      <c r="P379" s="197">
        <f t="shared" si="298"/>
        <v>32.714550000000003</v>
      </c>
      <c r="Q379" s="198">
        <f t="shared" si="299"/>
        <v>89.977522097812511</v>
      </c>
      <c r="R379" s="199"/>
      <c r="X379" s="257"/>
    </row>
    <row r="380" spans="1:24" s="12" customFormat="1" x14ac:dyDescent="0.2">
      <c r="A380" s="209">
        <f>IF(J380&lt;&gt;"",1+MAX($A$18:A379),"")</f>
        <v>242</v>
      </c>
      <c r="B380" s="210" t="s">
        <v>463</v>
      </c>
      <c r="C380" s="210" t="s">
        <v>464</v>
      </c>
      <c r="D380" s="210" t="s">
        <v>21</v>
      </c>
      <c r="E380" s="255" t="s">
        <v>63</v>
      </c>
      <c r="F380" s="250" t="s">
        <v>425</v>
      </c>
      <c r="G380" s="310">
        <f>G377*4.5</f>
        <v>99.135000000000005</v>
      </c>
      <c r="H380" s="205">
        <f>IF(VLOOKUP(J380,'HOURLY RATES'!B$116:C$124,2,0)=0,$J$3,VLOOKUP(J380,'HOURLY RATES'!B$116:C$124,2,0))</f>
        <v>0.05</v>
      </c>
      <c r="I380" s="317">
        <f t="shared" si="295"/>
        <v>104.09175</v>
      </c>
      <c r="J380" s="192" t="s">
        <v>17</v>
      </c>
      <c r="K380" s="382">
        <v>8.9999999999999993E-3</v>
      </c>
      <c r="L380" s="228">
        <f t="shared" si="296"/>
        <v>0.93682575000000001</v>
      </c>
      <c r="M380" s="194">
        <f>IF(VLOOKUP(E380,'HOURLY RATES'!C$6:D$105,2,0)=0,$E$3,VLOOKUP(E380,'HOURLY RATES'!C$6:D$105,2,0))</f>
        <v>38.508412499999999</v>
      </c>
      <c r="N380" s="206">
        <f t="shared" si="297"/>
        <v>36.075672421621874</v>
      </c>
      <c r="O380" s="377">
        <f>2.27*1.5/2</f>
        <v>1.7025000000000001</v>
      </c>
      <c r="P380" s="197">
        <f t="shared" si="298"/>
        <v>177.21620437500002</v>
      </c>
      <c r="Q380" s="198">
        <f t="shared" si="299"/>
        <v>213.29187679662189</v>
      </c>
      <c r="R380" s="199"/>
      <c r="X380" s="257"/>
    </row>
    <row r="381" spans="1:24" s="12" customFormat="1" x14ac:dyDescent="0.2">
      <c r="A381" s="209">
        <f>IF(J381&lt;&gt;"",1+MAX($A$18:A380),"")</f>
        <v>243</v>
      </c>
      <c r="B381" s="210" t="s">
        <v>463</v>
      </c>
      <c r="C381" s="210" t="s">
        <v>464</v>
      </c>
      <c r="D381" s="210" t="s">
        <v>21</v>
      </c>
      <c r="E381" s="255" t="s">
        <v>146</v>
      </c>
      <c r="F381" s="250" t="s">
        <v>436</v>
      </c>
      <c r="G381" s="310">
        <f>(G377/1.33)/2</f>
        <v>8.2819548872180455</v>
      </c>
      <c r="H381" s="205">
        <f>IF(VLOOKUP(J381,'HOURLY RATES'!B$116:C$124,2,0)=0,$J$3,VLOOKUP(J381,'HOURLY RATES'!B$116:C$124,2,0))</f>
        <v>0</v>
      </c>
      <c r="I381" s="317">
        <f t="shared" si="295"/>
        <v>8.2819548872180455</v>
      </c>
      <c r="J381" s="192" t="s">
        <v>16</v>
      </c>
      <c r="K381" s="382">
        <f>0.07*8</f>
        <v>0.56000000000000005</v>
      </c>
      <c r="L381" s="228">
        <f t="shared" si="296"/>
        <v>4.6378947368421057</v>
      </c>
      <c r="M381" s="194">
        <f>IF(VLOOKUP(E381,'HOURLY RATES'!C$6:D$105,2,0)=0,$E$3,VLOOKUP(E381,'HOURLY RATES'!C$6:D$105,2,0))</f>
        <v>38.508412499999999</v>
      </c>
      <c r="N381" s="206">
        <f t="shared" si="297"/>
        <v>178.59796365789475</v>
      </c>
      <c r="O381" s="377">
        <f>3.95*18/16*8</f>
        <v>35.550000000000004</v>
      </c>
      <c r="P381" s="197">
        <f t="shared" si="298"/>
        <v>294.42349624060154</v>
      </c>
      <c r="Q381" s="198">
        <f t="shared" si="299"/>
        <v>473.02145989849629</v>
      </c>
      <c r="R381" s="199"/>
      <c r="X381" s="257"/>
    </row>
    <row r="382" spans="1:24" s="12" customFormat="1" x14ac:dyDescent="0.2">
      <c r="A382" s="209">
        <f>IF(J382&lt;&gt;"",1+MAX($A$18:A381),"")</f>
        <v>244</v>
      </c>
      <c r="B382" s="210" t="s">
        <v>463</v>
      </c>
      <c r="C382" s="210" t="s">
        <v>464</v>
      </c>
      <c r="D382" s="210" t="s">
        <v>21</v>
      </c>
      <c r="E382" s="255" t="s">
        <v>146</v>
      </c>
      <c r="F382" s="250" t="s">
        <v>423</v>
      </c>
      <c r="G382" s="310">
        <f>G377*2</f>
        <v>44.06</v>
      </c>
      <c r="H382" s="205">
        <f>IF(VLOOKUP(J382,'HOURLY RATES'!B$116:C$124,2,0)=0,$J$3,VLOOKUP(J382,'HOURLY RATES'!B$116:C$124,2,0))</f>
        <v>0.05</v>
      </c>
      <c r="I382" s="317">
        <f t="shared" si="295"/>
        <v>46.263000000000005</v>
      </c>
      <c r="J382" s="192" t="s">
        <v>19</v>
      </c>
      <c r="K382" s="382">
        <v>7.0000000000000007E-2</v>
      </c>
      <c r="L382" s="228">
        <f t="shared" si="296"/>
        <v>3.2384100000000005</v>
      </c>
      <c r="M382" s="194">
        <f>IF(VLOOKUP(E382,'HOURLY RATES'!C$6:D$105,2,0)=0,$E$3,VLOOKUP(E382,'HOURLY RATES'!C$6:D$105,2,0))</f>
        <v>38.508412499999999</v>
      </c>
      <c r="N382" s="206">
        <f t="shared" si="297"/>
        <v>124.70602812412501</v>
      </c>
      <c r="O382" s="377">
        <f>3.95*18/16</f>
        <v>4.4437500000000005</v>
      </c>
      <c r="P382" s="197">
        <f t="shared" si="298"/>
        <v>205.58120625000004</v>
      </c>
      <c r="Q382" s="198">
        <f t="shared" si="299"/>
        <v>330.28723437412503</v>
      </c>
      <c r="R382" s="199"/>
      <c r="X382" s="257"/>
    </row>
    <row r="383" spans="1:24" s="12" customFormat="1" x14ac:dyDescent="0.2">
      <c r="A383" s="209">
        <f>IF(J383&lt;&gt;"",1+MAX($A$18:A382),"")</f>
        <v>245</v>
      </c>
      <c r="B383" s="210" t="s">
        <v>463</v>
      </c>
      <c r="C383" s="210" t="s">
        <v>464</v>
      </c>
      <c r="D383" s="210" t="s">
        <v>21</v>
      </c>
      <c r="E383" s="255" t="s">
        <v>146</v>
      </c>
      <c r="F383" s="250" t="s">
        <v>426</v>
      </c>
      <c r="G383" s="310">
        <f>(4.5/4)*G377</f>
        <v>24.783750000000001</v>
      </c>
      <c r="H383" s="205">
        <f>IF(VLOOKUP(J383,'HOURLY RATES'!B$116:C$124,2,0)=0,$J$3,VLOOKUP(J383,'HOURLY RATES'!B$116:C$124,2,0))</f>
        <v>0.05</v>
      </c>
      <c r="I383" s="317">
        <f t="shared" si="295"/>
        <v>26.022937500000001</v>
      </c>
      <c r="J383" s="192" t="s">
        <v>19</v>
      </c>
      <c r="K383" s="382">
        <v>0.05</v>
      </c>
      <c r="L383" s="228">
        <f t="shared" si="296"/>
        <v>1.3011468750000001</v>
      </c>
      <c r="M383" s="194">
        <f>IF(VLOOKUP(E383,'HOURLY RATES'!C$6:D$105,2,0)=0,$E$3,VLOOKUP(E383,'HOURLY RATES'!C$6:D$105,2,0))</f>
        <v>38.508412499999999</v>
      </c>
      <c r="N383" s="206">
        <f t="shared" si="297"/>
        <v>50.105100585585944</v>
      </c>
      <c r="O383" s="377">
        <f>11.49/12</f>
        <v>0.95750000000000002</v>
      </c>
      <c r="P383" s="197">
        <f t="shared" si="298"/>
        <v>24.91696265625</v>
      </c>
      <c r="Q383" s="198">
        <f t="shared" si="299"/>
        <v>75.022063241835951</v>
      </c>
      <c r="R383" s="199"/>
      <c r="X383" s="257"/>
    </row>
    <row r="384" spans="1:24" s="12" customFormat="1" x14ac:dyDescent="0.2">
      <c r="A384" s="209">
        <f>IF(J384&lt;&gt;"",1+MAX($A$18:A383),"")</f>
        <v>246</v>
      </c>
      <c r="B384" s="210" t="s">
        <v>463</v>
      </c>
      <c r="C384" s="210" t="s">
        <v>464</v>
      </c>
      <c r="D384" s="210" t="s">
        <v>21</v>
      </c>
      <c r="E384" s="255" t="s">
        <v>270</v>
      </c>
      <c r="F384" s="250" t="s">
        <v>180</v>
      </c>
      <c r="G384" s="310">
        <f>G377*4</f>
        <v>88.12</v>
      </c>
      <c r="H384" s="205">
        <f>IF(VLOOKUP(J384,'HOURLY RATES'!B$116:C$124,2,0)=0,$J$3,VLOOKUP(J384,'HOURLY RATES'!B$116:C$124,2,0))</f>
        <v>0.05</v>
      </c>
      <c r="I384" s="317">
        <f t="shared" si="295"/>
        <v>92.52600000000001</v>
      </c>
      <c r="J384" s="192" t="s">
        <v>19</v>
      </c>
      <c r="K384" s="382">
        <v>1.6E-2</v>
      </c>
      <c r="L384" s="228">
        <f t="shared" si="296"/>
        <v>1.4804160000000002</v>
      </c>
      <c r="M384" s="194">
        <f>IF(VLOOKUP(E384,'HOURLY RATES'!C$6:D$105,2,0)=0,$E$3,VLOOKUP(E384,'HOURLY RATES'!C$6:D$105,2,0))</f>
        <v>66.337424999999996</v>
      </c>
      <c r="N384" s="206">
        <f t="shared" si="297"/>
        <v>98.206985368800005</v>
      </c>
      <c r="O384" s="377">
        <v>0.05</v>
      </c>
      <c r="P384" s="197">
        <f t="shared" si="298"/>
        <v>4.6263000000000005</v>
      </c>
      <c r="Q384" s="198">
        <f t="shared" si="299"/>
        <v>102.83328536880001</v>
      </c>
      <c r="R384" s="199"/>
      <c r="X384" s="257"/>
    </row>
    <row r="385" spans="1:24" s="12" customFormat="1" x14ac:dyDescent="0.2">
      <c r="A385" s="209" t="str">
        <f>IF(J385&lt;&gt;"",1+MAX($A$18:A384),"")</f>
        <v/>
      </c>
      <c r="B385" s="210"/>
      <c r="C385" s="210"/>
      <c r="D385" s="210"/>
      <c r="E385" s="255"/>
      <c r="F385" s="250"/>
      <c r="G385" s="310"/>
      <c r="H385" s="205"/>
      <c r="I385" s="317"/>
      <c r="J385" s="192"/>
      <c r="K385" s="382"/>
      <c r="L385" s="228"/>
      <c r="M385" s="194"/>
      <c r="N385" s="206"/>
      <c r="O385" s="377"/>
      <c r="P385" s="197"/>
      <c r="Q385" s="198"/>
      <c r="R385" s="199"/>
      <c r="X385" s="257"/>
    </row>
    <row r="386" spans="1:24" s="12" customFormat="1" x14ac:dyDescent="0.2">
      <c r="A386" s="209">
        <f>IF(J386&lt;&gt;"",1+MAX($A$18:A385),"")</f>
        <v>247</v>
      </c>
      <c r="B386" s="210"/>
      <c r="C386" s="210"/>
      <c r="D386" s="210"/>
      <c r="E386" s="255"/>
      <c r="F386" s="219" t="s">
        <v>431</v>
      </c>
      <c r="G386" s="311">
        <v>325.49</v>
      </c>
      <c r="H386" s="205">
        <f>IF(VLOOKUP(J386,'HOURLY RATES'!B$116:C$124,2,0)=0,$J$3,VLOOKUP(J386,'HOURLY RATES'!B$116:C$124,2,0))</f>
        <v>0.05</v>
      </c>
      <c r="I386" s="317">
        <f t="shared" ref="I386:I393" si="300">(G386*(1+H386))</f>
        <v>341.7645</v>
      </c>
      <c r="J386" s="192" t="s">
        <v>19</v>
      </c>
      <c r="K386" s="382"/>
      <c r="L386" s="228"/>
      <c r="M386" s="194"/>
      <c r="N386" s="206"/>
      <c r="O386" s="377"/>
      <c r="P386" s="197"/>
      <c r="Q386" s="198"/>
      <c r="R386" s="199"/>
      <c r="X386" s="257"/>
    </row>
    <row r="387" spans="1:24" s="12" customFormat="1" x14ac:dyDescent="0.2">
      <c r="A387" s="209">
        <f>IF(J387&lt;&gt;"",1+MAX($A$18:A386),"")</f>
        <v>248</v>
      </c>
      <c r="B387" s="210" t="s">
        <v>463</v>
      </c>
      <c r="C387" s="210" t="s">
        <v>464</v>
      </c>
      <c r="D387" s="210" t="s">
        <v>21</v>
      </c>
      <c r="E387" s="255" t="s">
        <v>43</v>
      </c>
      <c r="F387" s="250" t="s">
        <v>745</v>
      </c>
      <c r="G387" s="310">
        <f>(G386*16/32)</f>
        <v>162.745</v>
      </c>
      <c r="H387" s="205">
        <f>IF(VLOOKUP(J387,'HOURLY RATES'!B$116:C$124,2,0)=0,$J$3,VLOOKUP(J387,'HOURLY RATES'!B$116:C$124,2,0))</f>
        <v>0</v>
      </c>
      <c r="I387" s="317">
        <f t="shared" si="300"/>
        <v>162.745</v>
      </c>
      <c r="J387" s="192" t="s">
        <v>16</v>
      </c>
      <c r="K387" s="382">
        <f>0.026*32</f>
        <v>0.83199999999999996</v>
      </c>
      <c r="L387" s="228">
        <f t="shared" ref="L387:L393" si="301">K387*I387</f>
        <v>135.40384</v>
      </c>
      <c r="M387" s="194">
        <f>IF(VLOOKUP(E387,'HOURLY RATES'!C$6:D$105,2,0)=0,$E$3,VLOOKUP(E387,'HOURLY RATES'!C$6:D$105,2,0))</f>
        <v>38.508412499999999</v>
      </c>
      <c r="N387" s="206">
        <f t="shared" ref="N387:N393" si="302">M387*L387</f>
        <v>5214.1869248040002</v>
      </c>
      <c r="O387" s="377">
        <v>43.25</v>
      </c>
      <c r="P387" s="197">
        <f t="shared" ref="P387:P393" si="303">O387*I387</f>
        <v>7038.7212500000005</v>
      </c>
      <c r="Q387" s="198">
        <f t="shared" ref="Q387:Q393" si="304">P387+N387</f>
        <v>12252.908174804001</v>
      </c>
      <c r="R387" s="199"/>
      <c r="X387" s="257"/>
    </row>
    <row r="388" spans="1:24" s="12" customFormat="1" x14ac:dyDescent="0.2">
      <c r="A388" s="209">
        <f>IF(J388&lt;&gt;"",1+MAX($A$18:A387),"")</f>
        <v>249</v>
      </c>
      <c r="B388" s="210" t="s">
        <v>463</v>
      </c>
      <c r="C388" s="210" t="s">
        <v>464</v>
      </c>
      <c r="D388" s="210" t="s">
        <v>21</v>
      </c>
      <c r="E388" s="255" t="s">
        <v>133</v>
      </c>
      <c r="F388" s="250" t="s">
        <v>424</v>
      </c>
      <c r="G388" s="310">
        <f>(G386*13/32)</f>
        <v>132.2303125</v>
      </c>
      <c r="H388" s="205">
        <f>IF(VLOOKUP(J388,'HOURLY RATES'!B$116:C$124,2,0)=0,$J$3,VLOOKUP(J388,'HOURLY RATES'!B$116:C$124,2,0))</f>
        <v>0</v>
      </c>
      <c r="I388" s="317">
        <f t="shared" si="300"/>
        <v>132.2303125</v>
      </c>
      <c r="J388" s="192" t="s">
        <v>16</v>
      </c>
      <c r="K388" s="382">
        <f>0.019*32</f>
        <v>0.60799999999999998</v>
      </c>
      <c r="L388" s="228">
        <f t="shared" si="301"/>
        <v>80.396029999999996</v>
      </c>
      <c r="M388" s="194">
        <f>IF(VLOOKUP(E388,'HOURLY RATES'!C$6:D$105,2,0)=0,$E$3,VLOOKUP(E388,'HOURLY RATES'!C$6:D$105,2,0))</f>
        <v>38.508412499999999</v>
      </c>
      <c r="N388" s="206">
        <f t="shared" si="302"/>
        <v>3095.9234866023749</v>
      </c>
      <c r="O388" s="377">
        <v>10.56</v>
      </c>
      <c r="P388" s="197">
        <f t="shared" si="303"/>
        <v>1396.3521000000001</v>
      </c>
      <c r="Q388" s="198">
        <f t="shared" si="304"/>
        <v>4492.2755866023745</v>
      </c>
      <c r="R388" s="199"/>
      <c r="X388" s="257"/>
    </row>
    <row r="389" spans="1:24" s="12" customFormat="1" x14ac:dyDescent="0.2">
      <c r="A389" s="209">
        <f>IF(J389&lt;&gt;"",1+MAX($A$18:A388),"")</f>
        <v>250</v>
      </c>
      <c r="B389" s="210" t="s">
        <v>463</v>
      </c>
      <c r="C389" s="210" t="s">
        <v>464</v>
      </c>
      <c r="D389" s="210" t="s">
        <v>21</v>
      </c>
      <c r="E389" s="255" t="s">
        <v>63</v>
      </c>
      <c r="F389" s="250" t="s">
        <v>425</v>
      </c>
      <c r="G389" s="310">
        <f>G386*14.5</f>
        <v>4719.6050000000005</v>
      </c>
      <c r="H389" s="205">
        <f>IF(VLOOKUP(J389,'HOURLY RATES'!B$116:C$124,2,0)=0,$J$3,VLOOKUP(J389,'HOURLY RATES'!B$116:C$124,2,0))</f>
        <v>0.05</v>
      </c>
      <c r="I389" s="317">
        <f t="shared" si="300"/>
        <v>4955.585250000001</v>
      </c>
      <c r="J389" s="192" t="s">
        <v>17</v>
      </c>
      <c r="K389" s="382">
        <v>1.0999999999999999E-2</v>
      </c>
      <c r="L389" s="228">
        <f t="shared" si="301"/>
        <v>54.511437750000006</v>
      </c>
      <c r="M389" s="194">
        <f>IF(VLOOKUP(E389,'HOURLY RATES'!C$6:D$105,2,0)=0,$E$3,VLOOKUP(E389,'HOURLY RATES'!C$6:D$105,2,0))</f>
        <v>38.508412499999999</v>
      </c>
      <c r="N389" s="206">
        <f t="shared" si="302"/>
        <v>2099.1489308450718</v>
      </c>
      <c r="O389" s="377">
        <f>2.27*1.5/2</f>
        <v>1.7025000000000001</v>
      </c>
      <c r="P389" s="197">
        <f t="shared" si="303"/>
        <v>8436.8838881250031</v>
      </c>
      <c r="Q389" s="198">
        <f t="shared" si="304"/>
        <v>10536.032818970074</v>
      </c>
      <c r="R389" s="199"/>
      <c r="X389" s="257"/>
    </row>
    <row r="390" spans="1:24" s="12" customFormat="1" x14ac:dyDescent="0.2">
      <c r="A390" s="209">
        <f>IF(J390&lt;&gt;"",1+MAX($A$18:A389),"")</f>
        <v>251</v>
      </c>
      <c r="B390" s="210" t="s">
        <v>463</v>
      </c>
      <c r="C390" s="210" t="s">
        <v>464</v>
      </c>
      <c r="D390" s="210" t="s">
        <v>21</v>
      </c>
      <c r="E390" s="255" t="s">
        <v>146</v>
      </c>
      <c r="F390" s="250" t="s">
        <v>437</v>
      </c>
      <c r="G390" s="310">
        <f>(G386/1.33)+(40*2)</f>
        <v>324.72932330827064</v>
      </c>
      <c r="H390" s="205">
        <f>IF(VLOOKUP(J390,'HOURLY RATES'!B$116:C$124,2,0)=0,$J$3,VLOOKUP(J390,'HOURLY RATES'!B$116:C$124,2,0))</f>
        <v>0</v>
      </c>
      <c r="I390" s="317">
        <f t="shared" si="300"/>
        <v>324.72932330827064</v>
      </c>
      <c r="J390" s="192" t="s">
        <v>16</v>
      </c>
      <c r="K390" s="382">
        <f>0.09*16</f>
        <v>1.44</v>
      </c>
      <c r="L390" s="228">
        <f t="shared" si="301"/>
        <v>467.61022556390969</v>
      </c>
      <c r="M390" s="194">
        <f>IF(VLOOKUP(E390,'HOURLY RATES'!C$6:D$105,2,0)=0,$E$3,VLOOKUP(E390,'HOURLY RATES'!C$6:D$105,2,0))</f>
        <v>38.508412499999999</v>
      </c>
      <c r="N390" s="206">
        <f t="shared" si="302"/>
        <v>18006.927455233079</v>
      </c>
      <c r="O390" s="377">
        <f>3.95*18/16*16</f>
        <v>71.100000000000009</v>
      </c>
      <c r="P390" s="197">
        <f t="shared" si="303"/>
        <v>23088.254887218045</v>
      </c>
      <c r="Q390" s="198">
        <f t="shared" si="304"/>
        <v>41095.182342451124</v>
      </c>
      <c r="R390" s="199"/>
      <c r="X390" s="257"/>
    </row>
    <row r="391" spans="1:24" s="12" customFormat="1" x14ac:dyDescent="0.2">
      <c r="A391" s="209">
        <f>IF(J391&lt;&gt;"",1+MAX($A$18:A390),"")</f>
        <v>252</v>
      </c>
      <c r="B391" s="210" t="s">
        <v>463</v>
      </c>
      <c r="C391" s="210" t="s">
        <v>464</v>
      </c>
      <c r="D391" s="210" t="s">
        <v>21</v>
      </c>
      <c r="E391" s="255" t="s">
        <v>146</v>
      </c>
      <c r="F391" s="250" t="s">
        <v>423</v>
      </c>
      <c r="G391" s="310">
        <f>G386*2</f>
        <v>650.98</v>
      </c>
      <c r="H391" s="205">
        <f>IF(VLOOKUP(J391,'HOURLY RATES'!B$116:C$124,2,0)=0,$J$3,VLOOKUP(J391,'HOURLY RATES'!B$116:C$124,2,0))</f>
        <v>0.05</v>
      </c>
      <c r="I391" s="317">
        <f t="shared" si="300"/>
        <v>683.529</v>
      </c>
      <c r="J391" s="192" t="s">
        <v>19</v>
      </c>
      <c r="K391" s="382">
        <v>0.09</v>
      </c>
      <c r="L391" s="228">
        <f t="shared" si="301"/>
        <v>61.517609999999998</v>
      </c>
      <c r="M391" s="194">
        <f>IF(VLOOKUP(E391,'HOURLY RATES'!C$6:D$105,2,0)=0,$E$3,VLOOKUP(E391,'HOURLY RATES'!C$6:D$105,2,0))</f>
        <v>38.508412499999999</v>
      </c>
      <c r="N391" s="206">
        <f t="shared" si="302"/>
        <v>2368.9455018941248</v>
      </c>
      <c r="O391" s="377">
        <f>3.95*18/16</f>
        <v>4.4437500000000005</v>
      </c>
      <c r="P391" s="197">
        <f t="shared" si="303"/>
        <v>3037.4319937500004</v>
      </c>
      <c r="Q391" s="198">
        <f t="shared" si="304"/>
        <v>5406.3774956441248</v>
      </c>
      <c r="R391" s="199"/>
      <c r="X391" s="257"/>
    </row>
    <row r="392" spans="1:24" s="12" customFormat="1" x14ac:dyDescent="0.2">
      <c r="A392" s="209">
        <f>IF(J392&lt;&gt;"",1+MAX($A$18:A391),"")</f>
        <v>253</v>
      </c>
      <c r="B392" s="210" t="s">
        <v>463</v>
      </c>
      <c r="C392" s="210" t="s">
        <v>464</v>
      </c>
      <c r="D392" s="210" t="s">
        <v>21</v>
      </c>
      <c r="E392" s="255" t="s">
        <v>146</v>
      </c>
      <c r="F392" s="250" t="s">
        <v>426</v>
      </c>
      <c r="G392" s="310">
        <f>(14.5/4)*G386</f>
        <v>1179.9012500000001</v>
      </c>
      <c r="H392" s="205">
        <f>IF(VLOOKUP(J392,'HOURLY RATES'!B$116:C$124,2,0)=0,$J$3,VLOOKUP(J392,'HOURLY RATES'!B$116:C$124,2,0))</f>
        <v>0.05</v>
      </c>
      <c r="I392" s="317">
        <f t="shared" si="300"/>
        <v>1238.8963125000002</v>
      </c>
      <c r="J392" s="192" t="s">
        <v>19</v>
      </c>
      <c r="K392" s="382">
        <v>0.05</v>
      </c>
      <c r="L392" s="228">
        <f t="shared" si="301"/>
        <v>61.944815625000018</v>
      </c>
      <c r="M392" s="194">
        <f>IF(VLOOKUP(E392,'HOURLY RATES'!C$6:D$105,2,0)=0,$E$3,VLOOKUP(E392,'HOURLY RATES'!C$6:D$105,2,0))</f>
        <v>38.508412499999999</v>
      </c>
      <c r="N392" s="206">
        <f t="shared" si="302"/>
        <v>2385.3965123239459</v>
      </c>
      <c r="O392" s="377">
        <f>11.49/12</f>
        <v>0.95750000000000002</v>
      </c>
      <c r="P392" s="197">
        <f t="shared" si="303"/>
        <v>1186.2432192187503</v>
      </c>
      <c r="Q392" s="198">
        <f t="shared" si="304"/>
        <v>3571.6397315426962</v>
      </c>
      <c r="R392" s="199"/>
      <c r="X392" s="257"/>
    </row>
    <row r="393" spans="1:24" s="12" customFormat="1" x14ac:dyDescent="0.2">
      <c r="A393" s="209">
        <f>IF(J393&lt;&gt;"",1+MAX($A$18:A392),"")</f>
        <v>254</v>
      </c>
      <c r="B393" s="210" t="s">
        <v>463</v>
      </c>
      <c r="C393" s="210" t="s">
        <v>464</v>
      </c>
      <c r="D393" s="210" t="s">
        <v>21</v>
      </c>
      <c r="E393" s="255" t="s">
        <v>270</v>
      </c>
      <c r="F393" s="250" t="s">
        <v>180</v>
      </c>
      <c r="G393" s="310">
        <f>G386*4</f>
        <v>1301.96</v>
      </c>
      <c r="H393" s="205">
        <f>IF(VLOOKUP(J393,'HOURLY RATES'!B$116:C$124,2,0)=0,$J$3,VLOOKUP(J393,'HOURLY RATES'!B$116:C$124,2,0))</f>
        <v>0.05</v>
      </c>
      <c r="I393" s="317">
        <f t="shared" si="300"/>
        <v>1367.058</v>
      </c>
      <c r="J393" s="192" t="s">
        <v>19</v>
      </c>
      <c r="K393" s="382">
        <v>1.6E-2</v>
      </c>
      <c r="L393" s="228">
        <f t="shared" si="301"/>
        <v>21.872928000000002</v>
      </c>
      <c r="M393" s="194">
        <f>IF(VLOOKUP(E393,'HOURLY RATES'!C$6:D$105,2,0)=0,$E$3,VLOOKUP(E393,'HOURLY RATES'!C$6:D$105,2,0))</f>
        <v>66.337424999999996</v>
      </c>
      <c r="N393" s="206">
        <f t="shared" si="302"/>
        <v>1450.9937207304001</v>
      </c>
      <c r="O393" s="377">
        <v>0.05</v>
      </c>
      <c r="P393" s="197">
        <f t="shared" si="303"/>
        <v>68.352900000000005</v>
      </c>
      <c r="Q393" s="198">
        <f t="shared" si="304"/>
        <v>1519.3466207304002</v>
      </c>
      <c r="R393" s="199"/>
      <c r="X393" s="257"/>
    </row>
    <row r="394" spans="1:24" s="12" customFormat="1" x14ac:dyDescent="0.2">
      <c r="A394" s="209" t="str">
        <f>IF(J394&lt;&gt;"",1+MAX($A$18:A393),"")</f>
        <v/>
      </c>
      <c r="B394" s="210"/>
      <c r="C394" s="210"/>
      <c r="D394" s="210"/>
      <c r="E394" s="255"/>
      <c r="F394" s="250"/>
      <c r="G394" s="310"/>
      <c r="H394" s="205"/>
      <c r="I394" s="317"/>
      <c r="J394" s="192"/>
      <c r="K394" s="382"/>
      <c r="L394" s="228"/>
      <c r="M394" s="194"/>
      <c r="N394" s="206"/>
      <c r="O394" s="377"/>
      <c r="P394" s="197"/>
      <c r="Q394" s="198"/>
      <c r="R394" s="199"/>
      <c r="X394" s="257"/>
    </row>
    <row r="395" spans="1:24" s="12" customFormat="1" x14ac:dyDescent="0.2">
      <c r="A395" s="209">
        <f>IF(J395&lt;&gt;"",1+MAX($A$18:A394),"")</f>
        <v>255</v>
      </c>
      <c r="B395" s="210"/>
      <c r="C395" s="210"/>
      <c r="D395" s="210"/>
      <c r="E395" s="255"/>
      <c r="F395" s="219" t="s">
        <v>432</v>
      </c>
      <c r="G395" s="311">
        <v>43.26</v>
      </c>
      <c r="H395" s="205">
        <f>IF(VLOOKUP(J395,'HOURLY RATES'!B$116:C$124,2,0)=0,$J$3,VLOOKUP(J395,'HOURLY RATES'!B$116:C$124,2,0))</f>
        <v>0.05</v>
      </c>
      <c r="I395" s="317">
        <f t="shared" ref="I395:I402" si="305">(G395*(1+H395))</f>
        <v>45.423000000000002</v>
      </c>
      <c r="J395" s="192" t="s">
        <v>19</v>
      </c>
      <c r="K395" s="382"/>
      <c r="L395" s="228"/>
      <c r="M395" s="194"/>
      <c r="N395" s="206"/>
      <c r="O395" s="377"/>
      <c r="P395" s="197"/>
      <c r="Q395" s="198"/>
      <c r="R395" s="199"/>
      <c r="X395" s="257"/>
    </row>
    <row r="396" spans="1:24" s="12" customFormat="1" x14ac:dyDescent="0.2">
      <c r="A396" s="209">
        <f>IF(J396&lt;&gt;"",1+MAX($A$18:A395),"")</f>
        <v>256</v>
      </c>
      <c r="B396" s="210" t="s">
        <v>463</v>
      </c>
      <c r="C396" s="210" t="s">
        <v>464</v>
      </c>
      <c r="D396" s="210" t="s">
        <v>21</v>
      </c>
      <c r="E396" s="255" t="s">
        <v>43</v>
      </c>
      <c r="F396" s="250" t="s">
        <v>745</v>
      </c>
      <c r="G396" s="310">
        <f>(G395*17.33/32)</f>
        <v>23.427993749999995</v>
      </c>
      <c r="H396" s="205">
        <f>IF(VLOOKUP(J396,'HOURLY RATES'!B$116:C$124,2,0)=0,$J$3,VLOOKUP(J396,'HOURLY RATES'!B$116:C$124,2,0))</f>
        <v>0</v>
      </c>
      <c r="I396" s="317">
        <f t="shared" si="305"/>
        <v>23.427993749999995</v>
      </c>
      <c r="J396" s="192" t="s">
        <v>16</v>
      </c>
      <c r="K396" s="382">
        <f>0.026*32</f>
        <v>0.83199999999999996</v>
      </c>
      <c r="L396" s="228">
        <f t="shared" ref="L396:L402" si="306">K396*I396</f>
        <v>19.492090799999996</v>
      </c>
      <c r="M396" s="194">
        <f>IF(VLOOKUP(E396,'HOURLY RATES'!C$6:D$105,2,0)=0,$E$3,VLOOKUP(E396,'HOURLY RATES'!C$6:D$105,2,0))</f>
        <v>38.508412499999999</v>
      </c>
      <c r="N396" s="206">
        <f t="shared" ref="N396:N402" si="307">M396*L396</f>
        <v>750.60947301385488</v>
      </c>
      <c r="O396" s="377">
        <v>43.25</v>
      </c>
      <c r="P396" s="197">
        <f t="shared" ref="P396:P402" si="308">O396*I396</f>
        <v>1013.2607296874997</v>
      </c>
      <c r="Q396" s="198">
        <f t="shared" ref="Q396:Q402" si="309">P396+N396</f>
        <v>1763.8702027013546</v>
      </c>
      <c r="R396" s="199"/>
      <c r="X396" s="257"/>
    </row>
    <row r="397" spans="1:24" s="12" customFormat="1" x14ac:dyDescent="0.2">
      <c r="A397" s="209">
        <f>IF(J397&lt;&gt;"",1+MAX($A$18:A396),"")</f>
        <v>257</v>
      </c>
      <c r="B397" s="210" t="s">
        <v>463</v>
      </c>
      <c r="C397" s="210" t="s">
        <v>464</v>
      </c>
      <c r="D397" s="210" t="s">
        <v>21</v>
      </c>
      <c r="E397" s="255" t="s">
        <v>133</v>
      </c>
      <c r="F397" s="250" t="s">
        <v>424</v>
      </c>
      <c r="G397" s="310">
        <f>(G395*13/32)</f>
        <v>17.574375</v>
      </c>
      <c r="H397" s="205">
        <f>IF(VLOOKUP(J397,'HOURLY RATES'!B$116:C$124,2,0)=0,$J$3,VLOOKUP(J397,'HOURLY RATES'!B$116:C$124,2,0))</f>
        <v>0</v>
      </c>
      <c r="I397" s="317">
        <f t="shared" si="305"/>
        <v>17.574375</v>
      </c>
      <c r="J397" s="192" t="s">
        <v>16</v>
      </c>
      <c r="K397" s="382">
        <f>0.019*32</f>
        <v>0.60799999999999998</v>
      </c>
      <c r="L397" s="228">
        <f t="shared" si="306"/>
        <v>10.685219999999999</v>
      </c>
      <c r="M397" s="194">
        <f>IF(VLOOKUP(E397,'HOURLY RATES'!C$6:D$105,2,0)=0,$E$3,VLOOKUP(E397,'HOURLY RATES'!C$6:D$105,2,0))</f>
        <v>38.508412499999999</v>
      </c>
      <c r="N397" s="206">
        <f t="shared" si="307"/>
        <v>411.47085941324997</v>
      </c>
      <c r="O397" s="377">
        <v>10.56</v>
      </c>
      <c r="P397" s="197">
        <f t="shared" si="308"/>
        <v>185.58540000000002</v>
      </c>
      <c r="Q397" s="198">
        <f t="shared" si="309"/>
        <v>597.05625941325002</v>
      </c>
      <c r="R397" s="199"/>
      <c r="X397" s="257"/>
    </row>
    <row r="398" spans="1:24" s="12" customFormat="1" x14ac:dyDescent="0.2">
      <c r="A398" s="209">
        <f>IF(J398&lt;&gt;"",1+MAX($A$18:A397),"")</f>
        <v>258</v>
      </c>
      <c r="B398" s="210" t="s">
        <v>463</v>
      </c>
      <c r="C398" s="210" t="s">
        <v>464</v>
      </c>
      <c r="D398" s="210" t="s">
        <v>21</v>
      </c>
      <c r="E398" s="255" t="s">
        <v>63</v>
      </c>
      <c r="F398" s="250" t="s">
        <v>425</v>
      </c>
      <c r="G398" s="310">
        <f>G395*15.17</f>
        <v>656.25419999999997</v>
      </c>
      <c r="H398" s="205">
        <f>IF(VLOOKUP(J398,'HOURLY RATES'!B$116:C$124,2,0)=0,$J$3,VLOOKUP(J398,'HOURLY RATES'!B$116:C$124,2,0))</f>
        <v>0.05</v>
      </c>
      <c r="I398" s="317">
        <f t="shared" si="305"/>
        <v>689.06691000000001</v>
      </c>
      <c r="J398" s="192" t="s">
        <v>17</v>
      </c>
      <c r="K398" s="382">
        <v>1.0999999999999999E-2</v>
      </c>
      <c r="L398" s="228">
        <f t="shared" si="306"/>
        <v>7.5797360099999995</v>
      </c>
      <c r="M398" s="194">
        <f>IF(VLOOKUP(E398,'HOURLY RATES'!C$6:D$105,2,0)=0,$E$3,VLOOKUP(E398,'HOURLY RATES'!C$6:D$105,2,0))</f>
        <v>38.508412499999999</v>
      </c>
      <c r="N398" s="206">
        <f t="shared" si="307"/>
        <v>291.88360091418411</v>
      </c>
      <c r="O398" s="377">
        <f>2.27*1.5/2</f>
        <v>1.7025000000000001</v>
      </c>
      <c r="P398" s="197">
        <f t="shared" si="308"/>
        <v>1173.1364142750001</v>
      </c>
      <c r="Q398" s="198">
        <f t="shared" si="309"/>
        <v>1465.0200151891843</v>
      </c>
      <c r="R398" s="199"/>
      <c r="X398" s="257"/>
    </row>
    <row r="399" spans="1:24" s="12" customFormat="1" x14ac:dyDescent="0.2">
      <c r="A399" s="209">
        <f>IF(J399&lt;&gt;"",1+MAX($A$18:A398),"")</f>
        <v>259</v>
      </c>
      <c r="B399" s="210" t="s">
        <v>463</v>
      </c>
      <c r="C399" s="210" t="s">
        <v>464</v>
      </c>
      <c r="D399" s="210" t="s">
        <v>21</v>
      </c>
      <c r="E399" s="255" t="s">
        <v>146</v>
      </c>
      <c r="F399" s="250" t="s">
        <v>427</v>
      </c>
      <c r="G399" s="310">
        <f>(G395/1.33)+(7*2)</f>
        <v>46.526315789473678</v>
      </c>
      <c r="H399" s="205">
        <f>IF(VLOOKUP(J399,'HOURLY RATES'!B$116:C$124,2,0)=0,$J$3,VLOOKUP(J399,'HOURLY RATES'!B$116:C$124,2,0))</f>
        <v>0</v>
      </c>
      <c r="I399" s="317">
        <f t="shared" si="305"/>
        <v>46.526315789473678</v>
      </c>
      <c r="J399" s="192" t="s">
        <v>16</v>
      </c>
      <c r="K399" s="382">
        <f>0.08*10</f>
        <v>0.8</v>
      </c>
      <c r="L399" s="228">
        <f t="shared" si="306"/>
        <v>37.221052631578942</v>
      </c>
      <c r="M399" s="194">
        <f>IF(VLOOKUP(E399,'HOURLY RATES'!C$6:D$105,2,0)=0,$E$3,VLOOKUP(E399,'HOURLY RATES'!C$6:D$105,2,0))</f>
        <v>38.508412499999999</v>
      </c>
      <c r="N399" s="206">
        <f t="shared" si="307"/>
        <v>1433.3236484210524</v>
      </c>
      <c r="O399" s="377">
        <f>3.95*18/16*10</f>
        <v>44.437500000000007</v>
      </c>
      <c r="P399" s="197">
        <f t="shared" si="308"/>
        <v>2067.5131578947371</v>
      </c>
      <c r="Q399" s="198">
        <f t="shared" si="309"/>
        <v>3500.8368063157895</v>
      </c>
      <c r="R399" s="199"/>
      <c r="X399" s="257"/>
    </row>
    <row r="400" spans="1:24" s="12" customFormat="1" x14ac:dyDescent="0.2">
      <c r="A400" s="209">
        <f>IF(J400&lt;&gt;"",1+MAX($A$18:A399),"")</f>
        <v>260</v>
      </c>
      <c r="B400" s="210" t="s">
        <v>463</v>
      </c>
      <c r="C400" s="210" t="s">
        <v>464</v>
      </c>
      <c r="D400" s="210" t="s">
        <v>21</v>
      </c>
      <c r="E400" s="255" t="s">
        <v>146</v>
      </c>
      <c r="F400" s="250" t="s">
        <v>423</v>
      </c>
      <c r="G400" s="310">
        <f>G395*2</f>
        <v>86.52</v>
      </c>
      <c r="H400" s="205">
        <f>IF(VLOOKUP(J400,'HOURLY RATES'!B$116:C$124,2,0)=0,$J$3,VLOOKUP(J400,'HOURLY RATES'!B$116:C$124,2,0))</f>
        <v>0.05</v>
      </c>
      <c r="I400" s="317">
        <f t="shared" si="305"/>
        <v>90.846000000000004</v>
      </c>
      <c r="J400" s="192" t="s">
        <v>19</v>
      </c>
      <c r="K400" s="382">
        <v>0.08</v>
      </c>
      <c r="L400" s="228">
        <f t="shared" si="306"/>
        <v>7.2676800000000004</v>
      </c>
      <c r="M400" s="194">
        <f>IF(VLOOKUP(E400,'HOURLY RATES'!C$6:D$105,2,0)=0,$E$3,VLOOKUP(E400,'HOURLY RATES'!C$6:D$105,2,0))</f>
        <v>38.508412499999999</v>
      </c>
      <c r="N400" s="206">
        <f t="shared" si="307"/>
        <v>279.86681935799999</v>
      </c>
      <c r="O400" s="377">
        <f>3.95*18/16</f>
        <v>4.4437500000000005</v>
      </c>
      <c r="P400" s="197">
        <f t="shared" si="308"/>
        <v>403.69691250000005</v>
      </c>
      <c r="Q400" s="198">
        <f t="shared" si="309"/>
        <v>683.56373185799998</v>
      </c>
      <c r="R400" s="199"/>
      <c r="X400" s="257"/>
    </row>
    <row r="401" spans="1:24" s="12" customFormat="1" x14ac:dyDescent="0.2">
      <c r="A401" s="209">
        <f>IF(J401&lt;&gt;"",1+MAX($A$18:A400),"")</f>
        <v>261</v>
      </c>
      <c r="B401" s="210" t="s">
        <v>463</v>
      </c>
      <c r="C401" s="210" t="s">
        <v>464</v>
      </c>
      <c r="D401" s="210" t="s">
        <v>21</v>
      </c>
      <c r="E401" s="255" t="s">
        <v>146</v>
      </c>
      <c r="F401" s="250" t="s">
        <v>426</v>
      </c>
      <c r="G401" s="310">
        <f>(15.17/4)*G395</f>
        <v>164.06354999999999</v>
      </c>
      <c r="H401" s="205">
        <f>IF(VLOOKUP(J401,'HOURLY RATES'!B$116:C$124,2,0)=0,$J$3,VLOOKUP(J401,'HOURLY RATES'!B$116:C$124,2,0))</f>
        <v>0.05</v>
      </c>
      <c r="I401" s="317">
        <f t="shared" si="305"/>
        <v>172.2667275</v>
      </c>
      <c r="J401" s="192" t="s">
        <v>19</v>
      </c>
      <c r="K401" s="382">
        <v>0.05</v>
      </c>
      <c r="L401" s="228">
        <f t="shared" si="306"/>
        <v>8.6133363750000012</v>
      </c>
      <c r="M401" s="194">
        <f>IF(VLOOKUP(E401,'HOURLY RATES'!C$6:D$105,2,0)=0,$E$3,VLOOKUP(E401,'HOURLY RATES'!C$6:D$105,2,0))</f>
        <v>38.508412499999999</v>
      </c>
      <c r="N401" s="206">
        <f t="shared" si="307"/>
        <v>331.68591012975475</v>
      </c>
      <c r="O401" s="377">
        <f>11.49/12</f>
        <v>0.95750000000000002</v>
      </c>
      <c r="P401" s="197">
        <f t="shared" si="308"/>
        <v>164.94539158124999</v>
      </c>
      <c r="Q401" s="198">
        <f t="shared" si="309"/>
        <v>496.63130171100477</v>
      </c>
      <c r="R401" s="199"/>
      <c r="X401" s="257"/>
    </row>
    <row r="402" spans="1:24" s="12" customFormat="1" x14ac:dyDescent="0.2">
      <c r="A402" s="209">
        <f>IF(J402&lt;&gt;"",1+MAX($A$18:A401),"")</f>
        <v>262</v>
      </c>
      <c r="B402" s="210" t="s">
        <v>463</v>
      </c>
      <c r="C402" s="210" t="s">
        <v>464</v>
      </c>
      <c r="D402" s="210" t="s">
        <v>21</v>
      </c>
      <c r="E402" s="255" t="s">
        <v>270</v>
      </c>
      <c r="F402" s="250" t="s">
        <v>180</v>
      </c>
      <c r="G402" s="310">
        <f>G395*4</f>
        <v>173.04</v>
      </c>
      <c r="H402" s="205">
        <f>IF(VLOOKUP(J402,'HOURLY RATES'!B$116:C$124,2,0)=0,$J$3,VLOOKUP(J402,'HOURLY RATES'!B$116:C$124,2,0))</f>
        <v>0.05</v>
      </c>
      <c r="I402" s="317">
        <f t="shared" si="305"/>
        <v>181.69200000000001</v>
      </c>
      <c r="J402" s="192" t="s">
        <v>19</v>
      </c>
      <c r="K402" s="382">
        <v>1.6E-2</v>
      </c>
      <c r="L402" s="228">
        <f t="shared" si="306"/>
        <v>2.9070720000000003</v>
      </c>
      <c r="M402" s="194">
        <f>IF(VLOOKUP(E402,'HOURLY RATES'!C$6:D$105,2,0)=0,$E$3,VLOOKUP(E402,'HOURLY RATES'!C$6:D$105,2,0))</f>
        <v>66.337424999999996</v>
      </c>
      <c r="N402" s="206">
        <f t="shared" si="307"/>
        <v>192.8476707696</v>
      </c>
      <c r="O402" s="377">
        <v>0.05</v>
      </c>
      <c r="P402" s="197">
        <f t="shared" si="308"/>
        <v>9.0846</v>
      </c>
      <c r="Q402" s="198">
        <f t="shared" si="309"/>
        <v>201.9322707696</v>
      </c>
      <c r="R402" s="199"/>
      <c r="X402" s="257"/>
    </row>
    <row r="403" spans="1:24" s="12" customFormat="1" x14ac:dyDescent="0.2">
      <c r="A403" s="209" t="str">
        <f>IF(J403&lt;&gt;"",1+MAX($A$18:A402),"")</f>
        <v/>
      </c>
      <c r="B403" s="210"/>
      <c r="C403" s="210"/>
      <c r="D403" s="210"/>
      <c r="E403" s="255"/>
      <c r="F403" s="250"/>
      <c r="G403" s="310"/>
      <c r="H403" s="205"/>
      <c r="I403" s="317"/>
      <c r="J403" s="192"/>
      <c r="K403" s="382"/>
      <c r="L403" s="228"/>
      <c r="M403" s="194"/>
      <c r="N403" s="206"/>
      <c r="O403" s="377"/>
      <c r="P403" s="197"/>
      <c r="Q403" s="198"/>
      <c r="R403" s="199"/>
      <c r="X403" s="257"/>
    </row>
    <row r="404" spans="1:24" s="12" customFormat="1" x14ac:dyDescent="0.2">
      <c r="A404" s="209">
        <f>IF(J404&lt;&gt;"",1+MAX($A$18:A403),"")</f>
        <v>263</v>
      </c>
      <c r="B404" s="210"/>
      <c r="C404" s="210"/>
      <c r="D404" s="210"/>
      <c r="E404" s="255"/>
      <c r="F404" s="219" t="s">
        <v>433</v>
      </c>
      <c r="G404" s="311">
        <v>48.15</v>
      </c>
      <c r="H404" s="205">
        <f>IF(VLOOKUP(J404,'HOURLY RATES'!B$116:C$124,2,0)=0,$J$3,VLOOKUP(J404,'HOURLY RATES'!B$116:C$124,2,0))</f>
        <v>0.05</v>
      </c>
      <c r="I404" s="317">
        <f t="shared" ref="I404:I411" si="310">(G404*(1+H404))</f>
        <v>50.557499999999997</v>
      </c>
      <c r="J404" s="192" t="s">
        <v>19</v>
      </c>
      <c r="K404" s="382"/>
      <c r="L404" s="228"/>
      <c r="M404" s="194"/>
      <c r="N404" s="206"/>
      <c r="O404" s="377"/>
      <c r="P404" s="197"/>
      <c r="Q404" s="198"/>
      <c r="R404" s="199"/>
      <c r="X404" s="257"/>
    </row>
    <row r="405" spans="1:24" s="12" customFormat="1" x14ac:dyDescent="0.2">
      <c r="A405" s="209">
        <f>IF(J405&lt;&gt;"",1+MAX($A$18:A404),"")</f>
        <v>264</v>
      </c>
      <c r="B405" s="210" t="s">
        <v>463</v>
      </c>
      <c r="C405" s="210" t="s">
        <v>464</v>
      </c>
      <c r="D405" s="210" t="s">
        <v>21</v>
      </c>
      <c r="E405" s="255" t="s">
        <v>43</v>
      </c>
      <c r="F405" s="250" t="s">
        <v>745</v>
      </c>
      <c r="G405" s="310">
        <f>(G404*18/32)</f>
        <v>27.084374999999998</v>
      </c>
      <c r="H405" s="205">
        <f>IF(VLOOKUP(J405,'HOURLY RATES'!B$116:C$124,2,0)=0,$J$3,VLOOKUP(J405,'HOURLY RATES'!B$116:C$124,2,0))</f>
        <v>0</v>
      </c>
      <c r="I405" s="317">
        <f t="shared" si="310"/>
        <v>27.084374999999998</v>
      </c>
      <c r="J405" s="192" t="s">
        <v>16</v>
      </c>
      <c r="K405" s="382">
        <f>0.026*32</f>
        <v>0.83199999999999996</v>
      </c>
      <c r="L405" s="228">
        <f t="shared" ref="L405:L411" si="311">K405*I405</f>
        <v>22.534199999999998</v>
      </c>
      <c r="M405" s="194">
        <f>IF(VLOOKUP(E405,'HOURLY RATES'!C$6:D$105,2,0)=0,$E$3,VLOOKUP(E405,'HOURLY RATES'!C$6:D$105,2,0))</f>
        <v>38.508412499999999</v>
      </c>
      <c r="N405" s="206">
        <f t="shared" ref="N405:N411" si="312">M405*L405</f>
        <v>867.75626895749986</v>
      </c>
      <c r="O405" s="377">
        <v>43.25</v>
      </c>
      <c r="P405" s="197">
        <f t="shared" ref="P405:P411" si="313">O405*I405</f>
        <v>1171.3992187499998</v>
      </c>
      <c r="Q405" s="198">
        <f t="shared" ref="Q405:Q411" si="314">P405+N405</f>
        <v>2039.1554877074996</v>
      </c>
      <c r="R405" s="199"/>
      <c r="X405" s="257"/>
    </row>
    <row r="406" spans="1:24" s="12" customFormat="1" x14ac:dyDescent="0.2">
      <c r="A406" s="209">
        <f>IF(J406&lt;&gt;"",1+MAX($A$18:A405),"")</f>
        <v>265</v>
      </c>
      <c r="B406" s="210" t="s">
        <v>463</v>
      </c>
      <c r="C406" s="210" t="s">
        <v>464</v>
      </c>
      <c r="D406" s="210" t="s">
        <v>21</v>
      </c>
      <c r="E406" s="255" t="s">
        <v>133</v>
      </c>
      <c r="F406" s="250" t="s">
        <v>424</v>
      </c>
      <c r="G406" s="310">
        <f>(G404*13/32)</f>
        <v>19.560937499999998</v>
      </c>
      <c r="H406" s="205">
        <f>IF(VLOOKUP(J406,'HOURLY RATES'!B$116:C$124,2,0)=0,$J$3,VLOOKUP(J406,'HOURLY RATES'!B$116:C$124,2,0))</f>
        <v>0</v>
      </c>
      <c r="I406" s="317">
        <f t="shared" si="310"/>
        <v>19.560937499999998</v>
      </c>
      <c r="J406" s="192" t="s">
        <v>16</v>
      </c>
      <c r="K406" s="382">
        <f>0.019*32</f>
        <v>0.60799999999999998</v>
      </c>
      <c r="L406" s="228">
        <f t="shared" si="311"/>
        <v>11.893049999999999</v>
      </c>
      <c r="M406" s="194">
        <f>IF(VLOOKUP(E406,'HOURLY RATES'!C$6:D$105,2,0)=0,$E$3,VLOOKUP(E406,'HOURLY RATES'!C$6:D$105,2,0))</f>
        <v>38.508412499999999</v>
      </c>
      <c r="N406" s="206">
        <f t="shared" si="312"/>
        <v>457.98247528312493</v>
      </c>
      <c r="O406" s="377">
        <v>10.56</v>
      </c>
      <c r="P406" s="197">
        <f t="shared" si="313"/>
        <v>206.56349999999998</v>
      </c>
      <c r="Q406" s="198">
        <f t="shared" si="314"/>
        <v>664.5459752831249</v>
      </c>
      <c r="R406" s="199"/>
      <c r="X406" s="257"/>
    </row>
    <row r="407" spans="1:24" s="12" customFormat="1" x14ac:dyDescent="0.2">
      <c r="A407" s="209">
        <f>IF(J407&lt;&gt;"",1+MAX($A$18:A406),"")</f>
        <v>266</v>
      </c>
      <c r="B407" s="210" t="s">
        <v>463</v>
      </c>
      <c r="C407" s="210" t="s">
        <v>464</v>
      </c>
      <c r="D407" s="210" t="s">
        <v>21</v>
      </c>
      <c r="E407" s="255" t="s">
        <v>63</v>
      </c>
      <c r="F407" s="250" t="s">
        <v>425</v>
      </c>
      <c r="G407" s="310">
        <f>G404*15.5</f>
        <v>746.32499999999993</v>
      </c>
      <c r="H407" s="205">
        <f>IF(VLOOKUP(J407,'HOURLY RATES'!B$116:C$124,2,0)=0,$J$3,VLOOKUP(J407,'HOURLY RATES'!B$116:C$124,2,0))</f>
        <v>0.05</v>
      </c>
      <c r="I407" s="317">
        <f t="shared" si="310"/>
        <v>783.64125000000001</v>
      </c>
      <c r="J407" s="192" t="s">
        <v>17</v>
      </c>
      <c r="K407" s="382">
        <v>1.0999999999999999E-2</v>
      </c>
      <c r="L407" s="228">
        <f t="shared" si="311"/>
        <v>8.6200537500000003</v>
      </c>
      <c r="M407" s="194">
        <f>IF(VLOOKUP(E407,'HOURLY RATES'!C$6:D$105,2,0)=0,$E$3,VLOOKUP(E407,'HOURLY RATES'!C$6:D$105,2,0))</f>
        <v>38.508412499999999</v>
      </c>
      <c r="N407" s="206">
        <f t="shared" si="312"/>
        <v>331.94458557717189</v>
      </c>
      <c r="O407" s="377">
        <f>2.27*1.5/2</f>
        <v>1.7025000000000001</v>
      </c>
      <c r="P407" s="197">
        <f t="shared" si="313"/>
        <v>1334.149228125</v>
      </c>
      <c r="Q407" s="198">
        <f t="shared" si="314"/>
        <v>1666.0938137021719</v>
      </c>
      <c r="R407" s="199"/>
      <c r="X407" s="257"/>
    </row>
    <row r="408" spans="1:24" s="12" customFormat="1" x14ac:dyDescent="0.2">
      <c r="A408" s="209">
        <f>IF(J408&lt;&gt;"",1+MAX($A$18:A407),"")</f>
        <v>267</v>
      </c>
      <c r="B408" s="210" t="s">
        <v>463</v>
      </c>
      <c r="C408" s="210" t="s">
        <v>464</v>
      </c>
      <c r="D408" s="210" t="s">
        <v>21</v>
      </c>
      <c r="E408" s="255" t="s">
        <v>146</v>
      </c>
      <c r="F408" s="250" t="s">
        <v>437</v>
      </c>
      <c r="G408" s="310">
        <f>(G404/1.33)+(7*2)</f>
        <v>50.203007518796987</v>
      </c>
      <c r="H408" s="205">
        <f>IF(VLOOKUP(J408,'HOURLY RATES'!B$116:C$124,2,0)=0,$J$3,VLOOKUP(J408,'HOURLY RATES'!B$116:C$124,2,0))</f>
        <v>0</v>
      </c>
      <c r="I408" s="317">
        <f t="shared" si="310"/>
        <v>50.203007518796987</v>
      </c>
      <c r="J408" s="192" t="s">
        <v>16</v>
      </c>
      <c r="K408" s="382">
        <f>0.09*16</f>
        <v>1.44</v>
      </c>
      <c r="L408" s="228">
        <f t="shared" si="311"/>
        <v>72.292330827067659</v>
      </c>
      <c r="M408" s="194">
        <f>IF(VLOOKUP(E408,'HOURLY RATES'!C$6:D$105,2,0)=0,$E$3,VLOOKUP(E408,'HOURLY RATES'!C$6:D$105,2,0))</f>
        <v>38.508412499999999</v>
      </c>
      <c r="N408" s="206">
        <f t="shared" si="312"/>
        <v>2783.8628960751876</v>
      </c>
      <c r="O408" s="377">
        <f>3.95*18/16*16</f>
        <v>71.100000000000009</v>
      </c>
      <c r="P408" s="197">
        <f t="shared" si="313"/>
        <v>3569.4338345864662</v>
      </c>
      <c r="Q408" s="198">
        <f t="shared" si="314"/>
        <v>6353.2967306616538</v>
      </c>
      <c r="R408" s="199"/>
      <c r="X408" s="257"/>
    </row>
    <row r="409" spans="1:24" s="12" customFormat="1" x14ac:dyDescent="0.2">
      <c r="A409" s="209">
        <f>IF(J409&lt;&gt;"",1+MAX($A$18:A408),"")</f>
        <v>268</v>
      </c>
      <c r="B409" s="210" t="s">
        <v>463</v>
      </c>
      <c r="C409" s="210" t="s">
        <v>464</v>
      </c>
      <c r="D409" s="210" t="s">
        <v>21</v>
      </c>
      <c r="E409" s="255" t="s">
        <v>146</v>
      </c>
      <c r="F409" s="250" t="s">
        <v>423</v>
      </c>
      <c r="G409" s="310">
        <f>G404*2</f>
        <v>96.3</v>
      </c>
      <c r="H409" s="205">
        <f>IF(VLOOKUP(J409,'HOURLY RATES'!B$116:C$124,2,0)=0,$J$3,VLOOKUP(J409,'HOURLY RATES'!B$116:C$124,2,0))</f>
        <v>0.05</v>
      </c>
      <c r="I409" s="317">
        <f t="shared" si="310"/>
        <v>101.11499999999999</v>
      </c>
      <c r="J409" s="192" t="s">
        <v>19</v>
      </c>
      <c r="K409" s="382">
        <v>0.09</v>
      </c>
      <c r="L409" s="228">
        <f t="shared" si="311"/>
        <v>9.1003499999999988</v>
      </c>
      <c r="M409" s="194">
        <f>IF(VLOOKUP(E409,'HOURLY RATES'!C$6:D$105,2,0)=0,$E$3,VLOOKUP(E409,'HOURLY RATES'!C$6:D$105,2,0))</f>
        <v>38.508412499999999</v>
      </c>
      <c r="N409" s="206">
        <f t="shared" si="312"/>
        <v>350.44003169437497</v>
      </c>
      <c r="O409" s="377">
        <f>3.95*18/16</f>
        <v>4.4437500000000005</v>
      </c>
      <c r="P409" s="197">
        <f t="shared" si="313"/>
        <v>449.32978125000005</v>
      </c>
      <c r="Q409" s="198">
        <f t="shared" si="314"/>
        <v>799.76981294437496</v>
      </c>
      <c r="R409" s="199"/>
      <c r="X409" s="257"/>
    </row>
    <row r="410" spans="1:24" s="12" customFormat="1" x14ac:dyDescent="0.2">
      <c r="A410" s="209">
        <f>IF(J410&lt;&gt;"",1+MAX($A$18:A409),"")</f>
        <v>269</v>
      </c>
      <c r="B410" s="210" t="s">
        <v>463</v>
      </c>
      <c r="C410" s="210" t="s">
        <v>464</v>
      </c>
      <c r="D410" s="210" t="s">
        <v>21</v>
      </c>
      <c r="E410" s="255" t="s">
        <v>146</v>
      </c>
      <c r="F410" s="250" t="s">
        <v>426</v>
      </c>
      <c r="G410" s="310">
        <f>(15.5/4)*G404</f>
        <v>186.58124999999998</v>
      </c>
      <c r="H410" s="205">
        <f>IF(VLOOKUP(J410,'HOURLY RATES'!B$116:C$124,2,0)=0,$J$3,VLOOKUP(J410,'HOURLY RATES'!B$116:C$124,2,0))</f>
        <v>0.05</v>
      </c>
      <c r="I410" s="317">
        <f t="shared" si="310"/>
        <v>195.9103125</v>
      </c>
      <c r="J410" s="192" t="s">
        <v>19</v>
      </c>
      <c r="K410" s="382">
        <v>0.05</v>
      </c>
      <c r="L410" s="228">
        <f t="shared" si="311"/>
        <v>9.7955156250000002</v>
      </c>
      <c r="M410" s="194">
        <f>IF(VLOOKUP(E410,'HOURLY RATES'!C$6:D$105,2,0)=0,$E$3,VLOOKUP(E410,'HOURLY RATES'!C$6:D$105,2,0))</f>
        <v>38.508412499999999</v>
      </c>
      <c r="N410" s="206">
        <f t="shared" si="312"/>
        <v>377.2097563376953</v>
      </c>
      <c r="O410" s="377">
        <f>11.49/12</f>
        <v>0.95750000000000002</v>
      </c>
      <c r="P410" s="197">
        <f t="shared" si="313"/>
        <v>187.58412421875002</v>
      </c>
      <c r="Q410" s="198">
        <f t="shared" si="314"/>
        <v>564.79388055644529</v>
      </c>
      <c r="R410" s="199"/>
      <c r="X410" s="257"/>
    </row>
    <row r="411" spans="1:24" s="12" customFormat="1" x14ac:dyDescent="0.2">
      <c r="A411" s="209">
        <f>IF(J411&lt;&gt;"",1+MAX($A$18:A410),"")</f>
        <v>270</v>
      </c>
      <c r="B411" s="210" t="s">
        <v>463</v>
      </c>
      <c r="C411" s="210" t="s">
        <v>464</v>
      </c>
      <c r="D411" s="210" t="s">
        <v>21</v>
      </c>
      <c r="E411" s="255" t="s">
        <v>270</v>
      </c>
      <c r="F411" s="250" t="s">
        <v>180</v>
      </c>
      <c r="G411" s="310">
        <f>G404*4</f>
        <v>192.6</v>
      </c>
      <c r="H411" s="205">
        <f>IF(VLOOKUP(J411,'HOURLY RATES'!B$116:C$124,2,0)=0,$J$3,VLOOKUP(J411,'HOURLY RATES'!B$116:C$124,2,0))</f>
        <v>0.05</v>
      </c>
      <c r="I411" s="317">
        <f t="shared" si="310"/>
        <v>202.23</v>
      </c>
      <c r="J411" s="192" t="s">
        <v>19</v>
      </c>
      <c r="K411" s="382">
        <v>1.6E-2</v>
      </c>
      <c r="L411" s="228">
        <f t="shared" si="311"/>
        <v>3.2356799999999999</v>
      </c>
      <c r="M411" s="194">
        <f>IF(VLOOKUP(E411,'HOURLY RATES'!C$6:D$105,2,0)=0,$E$3,VLOOKUP(E411,'HOURLY RATES'!C$6:D$105,2,0))</f>
        <v>66.337424999999996</v>
      </c>
      <c r="N411" s="206">
        <f t="shared" si="312"/>
        <v>214.64667932399999</v>
      </c>
      <c r="O411" s="377">
        <v>0.05</v>
      </c>
      <c r="P411" s="197">
        <f t="shared" si="313"/>
        <v>10.111499999999999</v>
      </c>
      <c r="Q411" s="198">
        <f t="shared" si="314"/>
        <v>224.758179324</v>
      </c>
      <c r="R411" s="199"/>
      <c r="X411" s="257"/>
    </row>
    <row r="412" spans="1:24" s="12" customFormat="1" x14ac:dyDescent="0.2">
      <c r="A412" s="209" t="str">
        <f>IF(J412&lt;&gt;"",1+MAX($A$18:A411),"")</f>
        <v/>
      </c>
      <c r="B412" s="210"/>
      <c r="C412" s="210"/>
      <c r="D412" s="210"/>
      <c r="E412" s="255"/>
      <c r="F412" s="250"/>
      <c r="G412" s="310"/>
      <c r="H412" s="205"/>
      <c r="I412" s="317"/>
      <c r="J412" s="192"/>
      <c r="K412" s="382"/>
      <c r="L412" s="228"/>
      <c r="M412" s="194"/>
      <c r="N412" s="206"/>
      <c r="O412" s="377"/>
      <c r="P412" s="197"/>
      <c r="Q412" s="198"/>
      <c r="R412" s="199"/>
      <c r="X412" s="257"/>
    </row>
    <row r="413" spans="1:24" s="12" customFormat="1" x14ac:dyDescent="0.2">
      <c r="A413" s="209">
        <f>IF(J413&lt;&gt;"",1+MAX($A$18:A412),"")</f>
        <v>271</v>
      </c>
      <c r="B413" s="210"/>
      <c r="C413" s="210"/>
      <c r="D413" s="210"/>
      <c r="E413" s="255"/>
      <c r="F413" s="219" t="s">
        <v>434</v>
      </c>
      <c r="G413" s="311">
        <v>26.84</v>
      </c>
      <c r="H413" s="205">
        <f>IF(VLOOKUP(J413,'HOURLY RATES'!B$116:C$124,2,0)=0,$J$3,VLOOKUP(J413,'HOURLY RATES'!B$116:C$124,2,0))</f>
        <v>0.05</v>
      </c>
      <c r="I413" s="317">
        <f t="shared" ref="I413:I420" si="315">(G413*(1+H413))</f>
        <v>28.182000000000002</v>
      </c>
      <c r="J413" s="192" t="s">
        <v>19</v>
      </c>
      <c r="K413" s="382"/>
      <c r="L413" s="228"/>
      <c r="M413" s="194"/>
      <c r="N413" s="206"/>
      <c r="O413" s="377"/>
      <c r="P413" s="197"/>
      <c r="Q413" s="198"/>
      <c r="R413" s="199"/>
      <c r="X413" s="257"/>
    </row>
    <row r="414" spans="1:24" s="12" customFormat="1" x14ac:dyDescent="0.2">
      <c r="A414" s="209">
        <f>IF(J414&lt;&gt;"",1+MAX($A$18:A413),"")</f>
        <v>272</v>
      </c>
      <c r="B414" s="210" t="s">
        <v>463</v>
      </c>
      <c r="C414" s="210" t="s">
        <v>464</v>
      </c>
      <c r="D414" s="210" t="s">
        <v>21</v>
      </c>
      <c r="E414" s="255" t="s">
        <v>43</v>
      </c>
      <c r="F414" s="250" t="s">
        <v>745</v>
      </c>
      <c r="G414" s="310">
        <f>(G413*19.5/32)</f>
        <v>16.355625</v>
      </c>
      <c r="H414" s="205">
        <f>IF(VLOOKUP(J414,'HOURLY RATES'!B$116:C$124,2,0)=0,$J$3,VLOOKUP(J414,'HOURLY RATES'!B$116:C$124,2,0))</f>
        <v>0</v>
      </c>
      <c r="I414" s="317">
        <f t="shared" si="315"/>
        <v>16.355625</v>
      </c>
      <c r="J414" s="192" t="s">
        <v>16</v>
      </c>
      <c r="K414" s="382">
        <f>0.026*32</f>
        <v>0.83199999999999996</v>
      </c>
      <c r="L414" s="228">
        <f t="shared" ref="L414:L420" si="316">K414*I414</f>
        <v>13.60788</v>
      </c>
      <c r="M414" s="194">
        <f>IF(VLOOKUP(E414,'HOURLY RATES'!C$6:D$105,2,0)=0,$E$3,VLOOKUP(E414,'HOURLY RATES'!C$6:D$105,2,0))</f>
        <v>38.508412499999999</v>
      </c>
      <c r="N414" s="206">
        <f t="shared" ref="N414:N420" si="317">M414*L414</f>
        <v>524.01785629049994</v>
      </c>
      <c r="O414" s="377">
        <v>43.25</v>
      </c>
      <c r="P414" s="197">
        <f t="shared" ref="P414:P420" si="318">O414*I414</f>
        <v>707.38078125000004</v>
      </c>
      <c r="Q414" s="198">
        <f t="shared" ref="Q414:Q420" si="319">P414+N414</f>
        <v>1231.3986375405</v>
      </c>
      <c r="R414" s="199"/>
      <c r="X414" s="257"/>
    </row>
    <row r="415" spans="1:24" s="12" customFormat="1" x14ac:dyDescent="0.2">
      <c r="A415" s="209">
        <f>IF(J415&lt;&gt;"",1+MAX($A$18:A414),"")</f>
        <v>273</v>
      </c>
      <c r="B415" s="210" t="s">
        <v>463</v>
      </c>
      <c r="C415" s="210" t="s">
        <v>464</v>
      </c>
      <c r="D415" s="210" t="s">
        <v>21</v>
      </c>
      <c r="E415" s="255" t="s">
        <v>133</v>
      </c>
      <c r="F415" s="250" t="s">
        <v>424</v>
      </c>
      <c r="G415" s="310">
        <f>(G413*13/32)</f>
        <v>10.90375</v>
      </c>
      <c r="H415" s="205">
        <f>IF(VLOOKUP(J415,'HOURLY RATES'!B$116:C$124,2,0)=0,$J$3,VLOOKUP(J415,'HOURLY RATES'!B$116:C$124,2,0))</f>
        <v>0</v>
      </c>
      <c r="I415" s="317">
        <f t="shared" si="315"/>
        <v>10.90375</v>
      </c>
      <c r="J415" s="192" t="s">
        <v>16</v>
      </c>
      <c r="K415" s="382">
        <f>0.019*32</f>
        <v>0.60799999999999998</v>
      </c>
      <c r="L415" s="228">
        <f t="shared" si="316"/>
        <v>6.62948</v>
      </c>
      <c r="M415" s="194">
        <f>IF(VLOOKUP(E415,'HOURLY RATES'!C$6:D$105,2,0)=0,$E$3,VLOOKUP(E415,'HOURLY RATES'!C$6:D$105,2,0))</f>
        <v>38.508412499999999</v>
      </c>
      <c r="N415" s="206">
        <f t="shared" si="317"/>
        <v>255.2907505005</v>
      </c>
      <c r="O415" s="377">
        <v>10.56</v>
      </c>
      <c r="P415" s="197">
        <f t="shared" si="318"/>
        <v>115.14360000000001</v>
      </c>
      <c r="Q415" s="198">
        <f t="shared" si="319"/>
        <v>370.43435050049999</v>
      </c>
      <c r="R415" s="199"/>
      <c r="X415" s="257"/>
    </row>
    <row r="416" spans="1:24" s="12" customFormat="1" x14ac:dyDescent="0.2">
      <c r="A416" s="209">
        <f>IF(J416&lt;&gt;"",1+MAX($A$18:A415),"")</f>
        <v>274</v>
      </c>
      <c r="B416" s="210" t="s">
        <v>463</v>
      </c>
      <c r="C416" s="210" t="s">
        <v>464</v>
      </c>
      <c r="D416" s="210" t="s">
        <v>21</v>
      </c>
      <c r="E416" s="255" t="s">
        <v>63</v>
      </c>
      <c r="F416" s="250" t="s">
        <v>425</v>
      </c>
      <c r="G416" s="310">
        <f>G413*16.25</f>
        <v>436.15</v>
      </c>
      <c r="H416" s="205">
        <f>IF(VLOOKUP(J416,'HOURLY RATES'!B$116:C$124,2,0)=0,$J$3,VLOOKUP(J416,'HOURLY RATES'!B$116:C$124,2,0))</f>
        <v>0.05</v>
      </c>
      <c r="I416" s="317">
        <f t="shared" si="315"/>
        <v>457.95749999999998</v>
      </c>
      <c r="J416" s="192" t="s">
        <v>17</v>
      </c>
      <c r="K416" s="382">
        <v>1.0999999999999999E-2</v>
      </c>
      <c r="L416" s="228">
        <f t="shared" si="316"/>
        <v>5.0375324999999993</v>
      </c>
      <c r="M416" s="194">
        <f>IF(VLOOKUP(E416,'HOURLY RATES'!C$6:D$105,2,0)=0,$E$3,VLOOKUP(E416,'HOURLY RATES'!C$6:D$105,2,0))</f>
        <v>38.508412499999999</v>
      </c>
      <c r="N416" s="206">
        <f t="shared" si="317"/>
        <v>193.98737949215621</v>
      </c>
      <c r="O416" s="377">
        <f>2.27*1.5/2</f>
        <v>1.7025000000000001</v>
      </c>
      <c r="P416" s="197">
        <f t="shared" si="318"/>
        <v>779.67264375000002</v>
      </c>
      <c r="Q416" s="198">
        <f t="shared" si="319"/>
        <v>973.66002324215629</v>
      </c>
      <c r="R416" s="199"/>
      <c r="X416" s="257"/>
    </row>
    <row r="417" spans="1:24" s="12" customFormat="1" x14ac:dyDescent="0.2">
      <c r="A417" s="209">
        <f>IF(J417&lt;&gt;"",1+MAX($A$18:A416),"")</f>
        <v>275</v>
      </c>
      <c r="B417" s="210" t="s">
        <v>463</v>
      </c>
      <c r="C417" s="210" t="s">
        <v>464</v>
      </c>
      <c r="D417" s="210" t="s">
        <v>21</v>
      </c>
      <c r="E417" s="255" t="s">
        <v>146</v>
      </c>
      <c r="F417" s="250" t="s">
        <v>438</v>
      </c>
      <c r="G417" s="310">
        <f>(G413/1.33)+(4*2)</f>
        <v>28.180451127819548</v>
      </c>
      <c r="H417" s="205">
        <f>IF(VLOOKUP(J417,'HOURLY RATES'!B$116:C$124,2,0)=0,$J$3,VLOOKUP(J417,'HOURLY RATES'!B$116:C$124,2,0))</f>
        <v>0</v>
      </c>
      <c r="I417" s="317">
        <f t="shared" si="315"/>
        <v>28.180451127819548</v>
      </c>
      <c r="J417" s="192" t="s">
        <v>16</v>
      </c>
      <c r="K417" s="382">
        <f>0.09*18</f>
        <v>1.6199999999999999</v>
      </c>
      <c r="L417" s="228">
        <f t="shared" si="316"/>
        <v>45.652330827067665</v>
      </c>
      <c r="M417" s="194">
        <f>IF(VLOOKUP(E417,'HOURLY RATES'!C$6:D$105,2,0)=0,$E$3,VLOOKUP(E417,'HOURLY RATES'!C$6:D$105,2,0))</f>
        <v>38.508412499999999</v>
      </c>
      <c r="N417" s="206">
        <f t="shared" si="317"/>
        <v>1757.9987870751877</v>
      </c>
      <c r="O417" s="377">
        <f>3.95*18/16*18</f>
        <v>79.987500000000011</v>
      </c>
      <c r="P417" s="197">
        <f t="shared" si="318"/>
        <v>2254.0838345864663</v>
      </c>
      <c r="Q417" s="198">
        <f t="shared" si="319"/>
        <v>4012.0826216616542</v>
      </c>
      <c r="R417" s="199"/>
      <c r="X417" s="257"/>
    </row>
    <row r="418" spans="1:24" s="12" customFormat="1" x14ac:dyDescent="0.2">
      <c r="A418" s="209">
        <f>IF(J418&lt;&gt;"",1+MAX($A$18:A417),"")</f>
        <v>276</v>
      </c>
      <c r="B418" s="210" t="s">
        <v>463</v>
      </c>
      <c r="C418" s="210" t="s">
        <v>464</v>
      </c>
      <c r="D418" s="210" t="s">
        <v>21</v>
      </c>
      <c r="E418" s="255" t="s">
        <v>146</v>
      </c>
      <c r="F418" s="250" t="s">
        <v>423</v>
      </c>
      <c r="G418" s="310">
        <f>G413*2</f>
        <v>53.68</v>
      </c>
      <c r="H418" s="205">
        <f>IF(VLOOKUP(J418,'HOURLY RATES'!B$116:C$124,2,0)=0,$J$3,VLOOKUP(J418,'HOURLY RATES'!B$116:C$124,2,0))</f>
        <v>0.05</v>
      </c>
      <c r="I418" s="317">
        <f t="shared" si="315"/>
        <v>56.364000000000004</v>
      </c>
      <c r="J418" s="192" t="s">
        <v>19</v>
      </c>
      <c r="K418" s="382">
        <v>0.09</v>
      </c>
      <c r="L418" s="228">
        <f t="shared" si="316"/>
        <v>5.0727600000000006</v>
      </c>
      <c r="M418" s="194">
        <f>IF(VLOOKUP(E418,'HOURLY RATES'!C$6:D$105,2,0)=0,$E$3,VLOOKUP(E418,'HOURLY RATES'!C$6:D$105,2,0))</f>
        <v>38.508412499999999</v>
      </c>
      <c r="N418" s="206">
        <f t="shared" si="317"/>
        <v>195.34393459350002</v>
      </c>
      <c r="O418" s="377">
        <f>3.95*18/16</f>
        <v>4.4437500000000005</v>
      </c>
      <c r="P418" s="197">
        <f t="shared" si="318"/>
        <v>250.46752500000005</v>
      </c>
      <c r="Q418" s="198">
        <f t="shared" si="319"/>
        <v>445.8114595935001</v>
      </c>
      <c r="R418" s="199"/>
      <c r="X418" s="257"/>
    </row>
    <row r="419" spans="1:24" s="12" customFormat="1" x14ac:dyDescent="0.2">
      <c r="A419" s="209">
        <f>IF(J419&lt;&gt;"",1+MAX($A$18:A418),"")</f>
        <v>277</v>
      </c>
      <c r="B419" s="210" t="s">
        <v>463</v>
      </c>
      <c r="C419" s="210" t="s">
        <v>464</v>
      </c>
      <c r="D419" s="210" t="s">
        <v>21</v>
      </c>
      <c r="E419" s="255" t="s">
        <v>146</v>
      </c>
      <c r="F419" s="250" t="s">
        <v>426</v>
      </c>
      <c r="G419" s="310">
        <f>(16.25/4)*G413</f>
        <v>109.03749999999999</v>
      </c>
      <c r="H419" s="205">
        <f>IF(VLOOKUP(J419,'HOURLY RATES'!B$116:C$124,2,0)=0,$J$3,VLOOKUP(J419,'HOURLY RATES'!B$116:C$124,2,0))</f>
        <v>0.05</v>
      </c>
      <c r="I419" s="317">
        <f t="shared" si="315"/>
        <v>114.489375</v>
      </c>
      <c r="J419" s="192" t="s">
        <v>19</v>
      </c>
      <c r="K419" s="382">
        <v>0.05</v>
      </c>
      <c r="L419" s="228">
        <f t="shared" si="316"/>
        <v>5.7244687499999998</v>
      </c>
      <c r="M419" s="194">
        <f>IF(VLOOKUP(E419,'HOURLY RATES'!C$6:D$105,2,0)=0,$E$3,VLOOKUP(E419,'HOURLY RATES'!C$6:D$105,2,0))</f>
        <v>38.508412499999999</v>
      </c>
      <c r="N419" s="206">
        <f t="shared" si="317"/>
        <v>220.44020396835936</v>
      </c>
      <c r="O419" s="377">
        <f>11.49/12</f>
        <v>0.95750000000000002</v>
      </c>
      <c r="P419" s="197">
        <f t="shared" si="318"/>
        <v>109.62357656249999</v>
      </c>
      <c r="Q419" s="198">
        <f t="shared" si="319"/>
        <v>330.06378053085933</v>
      </c>
      <c r="R419" s="199"/>
      <c r="X419" s="257"/>
    </row>
    <row r="420" spans="1:24" s="12" customFormat="1" x14ac:dyDescent="0.2">
      <c r="A420" s="209">
        <f>IF(J420&lt;&gt;"",1+MAX($A$18:A419),"")</f>
        <v>278</v>
      </c>
      <c r="B420" s="210" t="s">
        <v>463</v>
      </c>
      <c r="C420" s="210" t="s">
        <v>464</v>
      </c>
      <c r="D420" s="210" t="s">
        <v>21</v>
      </c>
      <c r="E420" s="255" t="s">
        <v>270</v>
      </c>
      <c r="F420" s="250" t="s">
        <v>180</v>
      </c>
      <c r="G420" s="310">
        <f>G413*4</f>
        <v>107.36</v>
      </c>
      <c r="H420" s="205">
        <f>IF(VLOOKUP(J420,'HOURLY RATES'!B$116:C$124,2,0)=0,$J$3,VLOOKUP(J420,'HOURLY RATES'!B$116:C$124,2,0))</f>
        <v>0.05</v>
      </c>
      <c r="I420" s="317">
        <f t="shared" si="315"/>
        <v>112.72800000000001</v>
      </c>
      <c r="J420" s="192" t="s">
        <v>19</v>
      </c>
      <c r="K420" s="382">
        <v>1.6E-2</v>
      </c>
      <c r="L420" s="228">
        <f t="shared" si="316"/>
        <v>1.8036480000000001</v>
      </c>
      <c r="M420" s="194">
        <f>IF(VLOOKUP(E420,'HOURLY RATES'!C$6:D$105,2,0)=0,$E$3,VLOOKUP(E420,'HOURLY RATES'!C$6:D$105,2,0))</f>
        <v>66.337424999999996</v>
      </c>
      <c r="N420" s="206">
        <f t="shared" si="317"/>
        <v>119.6493639264</v>
      </c>
      <c r="O420" s="377">
        <v>0.05</v>
      </c>
      <c r="P420" s="197">
        <f t="shared" si="318"/>
        <v>5.636400000000001</v>
      </c>
      <c r="Q420" s="198">
        <f t="shared" si="319"/>
        <v>125.28576392639999</v>
      </c>
      <c r="R420" s="199"/>
      <c r="X420" s="257"/>
    </row>
    <row r="421" spans="1:24" s="12" customFormat="1" x14ac:dyDescent="0.2">
      <c r="A421" s="209" t="str">
        <f>IF(J421&lt;&gt;"",1+MAX($A$18:A420),"")</f>
        <v/>
      </c>
      <c r="B421" s="210"/>
      <c r="C421" s="210"/>
      <c r="D421" s="210"/>
      <c r="E421" s="255"/>
      <c r="F421" s="250"/>
      <c r="G421" s="310"/>
      <c r="H421" s="205"/>
      <c r="I421" s="317"/>
      <c r="J421" s="192"/>
      <c r="K421" s="382"/>
      <c r="L421" s="228"/>
      <c r="M421" s="194"/>
      <c r="N421" s="206"/>
      <c r="O421" s="377"/>
      <c r="P421" s="197"/>
      <c r="Q421" s="198"/>
      <c r="R421" s="199"/>
      <c r="X421" s="257"/>
    </row>
    <row r="422" spans="1:24" s="12" customFormat="1" x14ac:dyDescent="0.2">
      <c r="A422" s="209">
        <f>IF(J422&lt;&gt;"",1+MAX($A$18:A421),"")</f>
        <v>279</v>
      </c>
      <c r="B422" s="210"/>
      <c r="C422" s="210"/>
      <c r="D422" s="210"/>
      <c r="E422" s="255"/>
      <c r="F422" s="219" t="s">
        <v>435</v>
      </c>
      <c r="G422" s="311">
        <v>32.14</v>
      </c>
      <c r="H422" s="205">
        <f>IF(VLOOKUP(J422,'HOURLY RATES'!B$116:C$124,2,0)=0,$J$3,VLOOKUP(J422,'HOURLY RATES'!B$116:C$124,2,0))</f>
        <v>0.05</v>
      </c>
      <c r="I422" s="317">
        <f t="shared" ref="I422:I429" si="320">(G422*(1+H422))</f>
        <v>33.747</v>
      </c>
      <c r="J422" s="192" t="s">
        <v>19</v>
      </c>
      <c r="K422" s="382"/>
      <c r="L422" s="228"/>
      <c r="M422" s="194"/>
      <c r="N422" s="206"/>
      <c r="O422" s="377"/>
      <c r="P422" s="197"/>
      <c r="Q422" s="198"/>
      <c r="R422" s="199"/>
      <c r="X422" s="257"/>
    </row>
    <row r="423" spans="1:24" s="12" customFormat="1" x14ac:dyDescent="0.2">
      <c r="A423" s="209">
        <f>IF(J423&lt;&gt;"",1+MAX($A$18:A422),"")</f>
        <v>280</v>
      </c>
      <c r="B423" s="210" t="s">
        <v>463</v>
      </c>
      <c r="C423" s="210" t="s">
        <v>464</v>
      </c>
      <c r="D423" s="210" t="s">
        <v>21</v>
      </c>
      <c r="E423" s="255" t="s">
        <v>43</v>
      </c>
      <c r="F423" s="250" t="s">
        <v>745</v>
      </c>
      <c r="G423" s="310">
        <f>(G422*20.42/32)</f>
        <v>20.509337500000001</v>
      </c>
      <c r="H423" s="205">
        <f>IF(VLOOKUP(J423,'HOURLY RATES'!B$116:C$124,2,0)=0,$J$3,VLOOKUP(J423,'HOURLY RATES'!B$116:C$124,2,0))</f>
        <v>0</v>
      </c>
      <c r="I423" s="317">
        <f t="shared" si="320"/>
        <v>20.509337500000001</v>
      </c>
      <c r="J423" s="192" t="s">
        <v>16</v>
      </c>
      <c r="K423" s="382">
        <f>0.026*32</f>
        <v>0.83199999999999996</v>
      </c>
      <c r="L423" s="228">
        <f t="shared" ref="L423:L429" si="321">K423*I423</f>
        <v>17.063768799999998</v>
      </c>
      <c r="M423" s="194">
        <f>IF(VLOOKUP(E423,'HOURLY RATES'!C$6:D$105,2,0)=0,$E$3,VLOOKUP(E423,'HOURLY RATES'!C$6:D$105,2,0))</f>
        <v>38.508412499999999</v>
      </c>
      <c r="N423" s="206">
        <f t="shared" ref="N423:N429" si="322">M423*L423</f>
        <v>657.0986477550299</v>
      </c>
      <c r="O423" s="377">
        <v>43.25</v>
      </c>
      <c r="P423" s="197">
        <f t="shared" ref="P423:P429" si="323">O423*I423</f>
        <v>887.028846875</v>
      </c>
      <c r="Q423" s="198">
        <f t="shared" ref="Q423:Q429" si="324">P423+N423</f>
        <v>1544.12749463003</v>
      </c>
      <c r="R423" s="199"/>
      <c r="X423" s="257"/>
    </row>
    <row r="424" spans="1:24" s="12" customFormat="1" x14ac:dyDescent="0.2">
      <c r="A424" s="209">
        <f>IF(J424&lt;&gt;"",1+MAX($A$18:A423),"")</f>
        <v>281</v>
      </c>
      <c r="B424" s="210" t="s">
        <v>463</v>
      </c>
      <c r="C424" s="210" t="s">
        <v>464</v>
      </c>
      <c r="D424" s="210" t="s">
        <v>21</v>
      </c>
      <c r="E424" s="255" t="s">
        <v>133</v>
      </c>
      <c r="F424" s="250" t="s">
        <v>424</v>
      </c>
      <c r="G424" s="310">
        <f>(G422*14.5/32)</f>
        <v>14.563437500000001</v>
      </c>
      <c r="H424" s="205">
        <f>IF(VLOOKUP(J424,'HOURLY RATES'!B$116:C$124,2,0)=0,$J$3,VLOOKUP(J424,'HOURLY RATES'!B$116:C$124,2,0))</f>
        <v>0</v>
      </c>
      <c r="I424" s="317">
        <f t="shared" si="320"/>
        <v>14.563437500000001</v>
      </c>
      <c r="J424" s="192" t="s">
        <v>16</v>
      </c>
      <c r="K424" s="382">
        <f>0.019*32</f>
        <v>0.60799999999999998</v>
      </c>
      <c r="L424" s="228">
        <f t="shared" si="321"/>
        <v>8.8545700000000007</v>
      </c>
      <c r="M424" s="194">
        <f>IF(VLOOKUP(E424,'HOURLY RATES'!C$6:D$105,2,0)=0,$E$3,VLOOKUP(E424,'HOURLY RATES'!C$6:D$105,2,0))</f>
        <v>38.508412499999999</v>
      </c>
      <c r="N424" s="206">
        <f t="shared" si="322"/>
        <v>340.975434070125</v>
      </c>
      <c r="O424" s="377">
        <v>10.56</v>
      </c>
      <c r="P424" s="197">
        <f t="shared" si="323"/>
        <v>153.78990000000002</v>
      </c>
      <c r="Q424" s="198">
        <f t="shared" si="324"/>
        <v>494.76533407012505</v>
      </c>
      <c r="R424" s="199"/>
      <c r="X424" s="257"/>
    </row>
    <row r="425" spans="1:24" s="12" customFormat="1" x14ac:dyDescent="0.2">
      <c r="A425" s="209">
        <f>IF(J425&lt;&gt;"",1+MAX($A$18:A424),"")</f>
        <v>282</v>
      </c>
      <c r="B425" s="210" t="s">
        <v>463</v>
      </c>
      <c r="C425" s="210" t="s">
        <v>464</v>
      </c>
      <c r="D425" s="210" t="s">
        <v>21</v>
      </c>
      <c r="E425" s="255" t="s">
        <v>63</v>
      </c>
      <c r="F425" s="250" t="s">
        <v>425</v>
      </c>
      <c r="G425" s="310">
        <f>G422*17.67</f>
        <v>567.91380000000004</v>
      </c>
      <c r="H425" s="205">
        <f>IF(VLOOKUP(J425,'HOURLY RATES'!B$116:C$124,2,0)=0,$J$3,VLOOKUP(J425,'HOURLY RATES'!B$116:C$124,2,0))</f>
        <v>0.05</v>
      </c>
      <c r="I425" s="317">
        <f t="shared" si="320"/>
        <v>596.3094900000001</v>
      </c>
      <c r="J425" s="192" t="s">
        <v>17</v>
      </c>
      <c r="K425" s="382">
        <v>1.0999999999999999E-2</v>
      </c>
      <c r="L425" s="228">
        <f t="shared" si="321"/>
        <v>6.559404390000001</v>
      </c>
      <c r="M425" s="194">
        <f>IF(VLOOKUP(E425,'HOURLY RATES'!C$6:D$105,2,0)=0,$E$3,VLOOKUP(E425,'HOURLY RATES'!C$6:D$105,2,0))</f>
        <v>38.508412499999999</v>
      </c>
      <c r="N425" s="206">
        <f t="shared" si="322"/>
        <v>252.59225000443089</v>
      </c>
      <c r="O425" s="377">
        <f>2.27*1.5/2</f>
        <v>1.7025000000000001</v>
      </c>
      <c r="P425" s="197">
        <f t="shared" si="323"/>
        <v>1015.2169067250003</v>
      </c>
      <c r="Q425" s="198">
        <f t="shared" si="324"/>
        <v>1267.8091567294312</v>
      </c>
      <c r="R425" s="199"/>
      <c r="X425" s="257"/>
    </row>
    <row r="426" spans="1:24" s="12" customFormat="1" x14ac:dyDescent="0.2">
      <c r="A426" s="209">
        <f>IF(J426&lt;&gt;"",1+MAX($A$18:A425),"")</f>
        <v>283</v>
      </c>
      <c r="B426" s="210" t="s">
        <v>463</v>
      </c>
      <c r="C426" s="210" t="s">
        <v>464</v>
      </c>
      <c r="D426" s="210" t="s">
        <v>21</v>
      </c>
      <c r="E426" s="255" t="s">
        <v>146</v>
      </c>
      <c r="F426" s="250" t="s">
        <v>438</v>
      </c>
      <c r="G426" s="310">
        <f>(G422/1.33)+(10*3)</f>
        <v>54.165413533834581</v>
      </c>
      <c r="H426" s="205">
        <f>IF(VLOOKUP(J426,'HOURLY RATES'!B$116:C$124,2,0)=0,$J$3,VLOOKUP(J426,'HOURLY RATES'!B$116:C$124,2,0))</f>
        <v>0</v>
      </c>
      <c r="I426" s="317">
        <f t="shared" si="320"/>
        <v>54.165413533834581</v>
      </c>
      <c r="J426" s="192" t="s">
        <v>16</v>
      </c>
      <c r="K426" s="382">
        <f>0.09*18</f>
        <v>1.6199999999999999</v>
      </c>
      <c r="L426" s="228">
        <f t="shared" si="321"/>
        <v>87.747969924812011</v>
      </c>
      <c r="M426" s="194">
        <f>IF(VLOOKUP(E426,'HOURLY RATES'!C$6:D$105,2,0)=0,$E$3,VLOOKUP(E426,'HOURLY RATES'!C$6:D$105,2,0))</f>
        <v>38.508412499999999</v>
      </c>
      <c r="N426" s="206">
        <f t="shared" si="322"/>
        <v>3379.0350219022548</v>
      </c>
      <c r="O426" s="377">
        <f>3.95*18/16*18</f>
        <v>79.987500000000011</v>
      </c>
      <c r="P426" s="197">
        <f t="shared" si="323"/>
        <v>4332.5560150375941</v>
      </c>
      <c r="Q426" s="198">
        <f t="shared" si="324"/>
        <v>7711.5910369398489</v>
      </c>
      <c r="R426" s="199"/>
      <c r="X426" s="257"/>
    </row>
    <row r="427" spans="1:24" s="12" customFormat="1" x14ac:dyDescent="0.2">
      <c r="A427" s="209">
        <f>IF(J427&lt;&gt;"",1+MAX($A$18:A426),"")</f>
        <v>284</v>
      </c>
      <c r="B427" s="210" t="s">
        <v>463</v>
      </c>
      <c r="C427" s="210" t="s">
        <v>464</v>
      </c>
      <c r="D427" s="210" t="s">
        <v>21</v>
      </c>
      <c r="E427" s="255" t="s">
        <v>146</v>
      </c>
      <c r="F427" s="250" t="s">
        <v>423</v>
      </c>
      <c r="G427" s="310">
        <f>G422*2</f>
        <v>64.28</v>
      </c>
      <c r="H427" s="205">
        <f>IF(VLOOKUP(J427,'HOURLY RATES'!B$116:C$124,2,0)=0,$J$3,VLOOKUP(J427,'HOURLY RATES'!B$116:C$124,2,0))</f>
        <v>0.05</v>
      </c>
      <c r="I427" s="317">
        <f t="shared" si="320"/>
        <v>67.494</v>
      </c>
      <c r="J427" s="192" t="s">
        <v>19</v>
      </c>
      <c r="K427" s="382">
        <v>0.09</v>
      </c>
      <c r="L427" s="228">
        <f t="shared" si="321"/>
        <v>6.0744600000000002</v>
      </c>
      <c r="M427" s="194">
        <f>IF(VLOOKUP(E427,'HOURLY RATES'!C$6:D$105,2,0)=0,$E$3,VLOOKUP(E427,'HOURLY RATES'!C$6:D$105,2,0))</f>
        <v>38.508412499999999</v>
      </c>
      <c r="N427" s="206">
        <f t="shared" si="322"/>
        <v>233.91781139475</v>
      </c>
      <c r="O427" s="377">
        <f>3.95*18/16</f>
        <v>4.4437500000000005</v>
      </c>
      <c r="P427" s="197">
        <f t="shared" si="323"/>
        <v>299.92646250000001</v>
      </c>
      <c r="Q427" s="198">
        <f t="shared" si="324"/>
        <v>533.84427389475002</v>
      </c>
      <c r="R427" s="199"/>
      <c r="X427" s="257"/>
    </row>
    <row r="428" spans="1:24" s="12" customFormat="1" x14ac:dyDescent="0.2">
      <c r="A428" s="209">
        <f>IF(J428&lt;&gt;"",1+MAX($A$18:A427),"")</f>
        <v>285</v>
      </c>
      <c r="B428" s="210" t="s">
        <v>463</v>
      </c>
      <c r="C428" s="210" t="s">
        <v>464</v>
      </c>
      <c r="D428" s="210" t="s">
        <v>21</v>
      </c>
      <c r="E428" s="255" t="s">
        <v>146</v>
      </c>
      <c r="F428" s="250" t="s">
        <v>426</v>
      </c>
      <c r="G428" s="310">
        <f>(17.67/4)*G422</f>
        <v>141.97845000000001</v>
      </c>
      <c r="H428" s="205">
        <f>IF(VLOOKUP(J428,'HOURLY RATES'!B$116:C$124,2,0)=0,$J$3,VLOOKUP(J428,'HOURLY RATES'!B$116:C$124,2,0))</f>
        <v>0.05</v>
      </c>
      <c r="I428" s="317">
        <f t="shared" si="320"/>
        <v>149.07737250000002</v>
      </c>
      <c r="J428" s="192" t="s">
        <v>19</v>
      </c>
      <c r="K428" s="382">
        <v>0.05</v>
      </c>
      <c r="L428" s="228">
        <f t="shared" si="321"/>
        <v>7.4538686250000019</v>
      </c>
      <c r="M428" s="194">
        <f>IF(VLOOKUP(E428,'HOURLY RATES'!C$6:D$105,2,0)=0,$E$3,VLOOKUP(E428,'HOURLY RATES'!C$6:D$105,2,0))</f>
        <v>38.508412499999999</v>
      </c>
      <c r="N428" s="206">
        <f t="shared" si="322"/>
        <v>287.03664773230787</v>
      </c>
      <c r="O428" s="377">
        <f>11.49/12</f>
        <v>0.95750000000000002</v>
      </c>
      <c r="P428" s="197">
        <f t="shared" si="323"/>
        <v>142.74158416875002</v>
      </c>
      <c r="Q428" s="198">
        <f t="shared" si="324"/>
        <v>429.77823190105789</v>
      </c>
      <c r="R428" s="199"/>
      <c r="X428" s="257"/>
    </row>
    <row r="429" spans="1:24" s="12" customFormat="1" x14ac:dyDescent="0.2">
      <c r="A429" s="209">
        <f>IF(J429&lt;&gt;"",1+MAX($A$18:A428),"")</f>
        <v>286</v>
      </c>
      <c r="B429" s="210" t="s">
        <v>463</v>
      </c>
      <c r="C429" s="210" t="s">
        <v>464</v>
      </c>
      <c r="D429" s="210" t="s">
        <v>21</v>
      </c>
      <c r="E429" s="255" t="s">
        <v>270</v>
      </c>
      <c r="F429" s="250" t="s">
        <v>180</v>
      </c>
      <c r="G429" s="310">
        <f>G422*4</f>
        <v>128.56</v>
      </c>
      <c r="H429" s="205">
        <f>IF(VLOOKUP(J429,'HOURLY RATES'!B$116:C$124,2,0)=0,$J$3,VLOOKUP(J429,'HOURLY RATES'!B$116:C$124,2,0))</f>
        <v>0.05</v>
      </c>
      <c r="I429" s="317">
        <f t="shared" si="320"/>
        <v>134.988</v>
      </c>
      <c r="J429" s="192" t="s">
        <v>19</v>
      </c>
      <c r="K429" s="382">
        <v>1.6E-2</v>
      </c>
      <c r="L429" s="228">
        <f t="shared" si="321"/>
        <v>2.159808</v>
      </c>
      <c r="M429" s="194">
        <f>IF(VLOOKUP(E429,'HOURLY RATES'!C$6:D$105,2,0)=0,$E$3,VLOOKUP(E429,'HOURLY RATES'!C$6:D$105,2,0))</f>
        <v>66.337424999999996</v>
      </c>
      <c r="N429" s="206">
        <f t="shared" si="322"/>
        <v>143.2761012144</v>
      </c>
      <c r="O429" s="377">
        <v>0.05</v>
      </c>
      <c r="P429" s="197">
        <f t="shared" si="323"/>
        <v>6.7494000000000005</v>
      </c>
      <c r="Q429" s="198">
        <f t="shared" si="324"/>
        <v>150.02550121440001</v>
      </c>
      <c r="R429" s="199"/>
      <c r="X429" s="257"/>
    </row>
    <row r="430" spans="1:24" s="12" customFormat="1" x14ac:dyDescent="0.2">
      <c r="A430" s="209" t="str">
        <f>IF(J430&lt;&gt;"",1+MAX($A$18:A429),"")</f>
        <v/>
      </c>
      <c r="B430" s="210"/>
      <c r="C430" s="210"/>
      <c r="D430" s="210"/>
      <c r="E430" s="255"/>
      <c r="F430" s="250"/>
      <c r="G430" s="310"/>
      <c r="H430" s="205"/>
      <c r="I430" s="317"/>
      <c r="J430" s="192"/>
      <c r="K430" s="382"/>
      <c r="L430" s="228"/>
      <c r="M430" s="194"/>
      <c r="N430" s="206"/>
      <c r="O430" s="377"/>
      <c r="P430" s="197"/>
      <c r="Q430" s="198"/>
      <c r="R430" s="199"/>
      <c r="X430" s="257"/>
    </row>
    <row r="431" spans="1:24" s="12" customFormat="1" x14ac:dyDescent="0.2">
      <c r="A431" s="209">
        <f>IF(J431&lt;&gt;"",1+MAX($A$18:A430),"")</f>
        <v>287</v>
      </c>
      <c r="B431" s="210"/>
      <c r="C431" s="210"/>
      <c r="D431" s="210"/>
      <c r="E431" s="255"/>
      <c r="F431" s="219" t="s">
        <v>454</v>
      </c>
      <c r="G431" s="311">
        <v>8.6300000000000008</v>
      </c>
      <c r="H431" s="205">
        <f>IF(VLOOKUP(J431,'HOURLY RATES'!B$116:C$124,2,0)=0,$J$3,VLOOKUP(J431,'HOURLY RATES'!B$116:C$124,2,0))</f>
        <v>0.05</v>
      </c>
      <c r="I431" s="317">
        <f t="shared" ref="I431:I435" si="325">(G431*(1+H431))</f>
        <v>9.0615000000000006</v>
      </c>
      <c r="J431" s="192" t="s">
        <v>19</v>
      </c>
      <c r="K431" s="382"/>
      <c r="L431" s="228"/>
      <c r="M431" s="194"/>
      <c r="N431" s="206"/>
      <c r="O431" s="377"/>
      <c r="P431" s="197"/>
      <c r="Q431" s="198"/>
      <c r="R431" s="199"/>
      <c r="X431" s="257"/>
    </row>
    <row r="432" spans="1:24" s="12" customFormat="1" x14ac:dyDescent="0.2">
      <c r="A432" s="209">
        <f>IF(J432&lt;&gt;"",1+MAX($A$18:A431),"")</f>
        <v>288</v>
      </c>
      <c r="B432" s="210" t="s">
        <v>463</v>
      </c>
      <c r="C432" s="210" t="s">
        <v>464</v>
      </c>
      <c r="D432" s="210" t="s">
        <v>21</v>
      </c>
      <c r="E432" s="255" t="s">
        <v>43</v>
      </c>
      <c r="F432" s="250" t="s">
        <v>745</v>
      </c>
      <c r="G432" s="310">
        <f>(G431*8.5/32)</f>
        <v>2.2923437500000001</v>
      </c>
      <c r="H432" s="205">
        <f>IF(VLOOKUP(J432,'HOURLY RATES'!B$116:C$124,2,0)=0,$J$3,VLOOKUP(J432,'HOURLY RATES'!B$116:C$124,2,0))</f>
        <v>0</v>
      </c>
      <c r="I432" s="317">
        <f t="shared" si="325"/>
        <v>2.2923437500000001</v>
      </c>
      <c r="J432" s="192" t="s">
        <v>16</v>
      </c>
      <c r="K432" s="382">
        <f>0.022*32</f>
        <v>0.70399999999999996</v>
      </c>
      <c r="L432" s="228">
        <f t="shared" ref="L432" si="326">K432*I432</f>
        <v>1.61381</v>
      </c>
      <c r="M432" s="194">
        <f>IF(VLOOKUP(E432,'HOURLY RATES'!C$6:D$105,2,0)=0,$E$3,VLOOKUP(E432,'HOURLY RATES'!C$6:D$105,2,0))</f>
        <v>38.508412499999999</v>
      </c>
      <c r="N432" s="206">
        <f t="shared" ref="N432" si="327">M432*L432</f>
        <v>62.145261176624999</v>
      </c>
      <c r="O432" s="377">
        <v>43.25</v>
      </c>
      <c r="P432" s="197">
        <f t="shared" ref="P432" si="328">O432*I432</f>
        <v>99.143867187500007</v>
      </c>
      <c r="Q432" s="198">
        <f t="shared" ref="Q432" si="329">P432+N432</f>
        <v>161.28912836412502</v>
      </c>
      <c r="R432" s="199"/>
      <c r="X432" s="257"/>
    </row>
    <row r="433" spans="1:24" s="12" customFormat="1" x14ac:dyDescent="0.2">
      <c r="A433" s="209">
        <f>IF(J433&lt;&gt;"",1+MAX($A$18:A432),"")</f>
        <v>289</v>
      </c>
      <c r="B433" s="210" t="s">
        <v>463</v>
      </c>
      <c r="C433" s="210" t="s">
        <v>464</v>
      </c>
      <c r="D433" s="210" t="s">
        <v>21</v>
      </c>
      <c r="E433" s="255" t="s">
        <v>146</v>
      </c>
      <c r="F433" s="250" t="s">
        <v>427</v>
      </c>
      <c r="G433" s="310">
        <f>(G431/1.33)</f>
        <v>6.488721804511278</v>
      </c>
      <c r="H433" s="205">
        <f>IF(VLOOKUP(J433,'HOURLY RATES'!B$116:C$124,2,0)=0,$J$3,VLOOKUP(J433,'HOURLY RATES'!B$116:C$124,2,0))</f>
        <v>0</v>
      </c>
      <c r="I433" s="317">
        <f t="shared" si="325"/>
        <v>6.488721804511278</v>
      </c>
      <c r="J433" s="192" t="s">
        <v>16</v>
      </c>
      <c r="K433" s="382">
        <f>0.08*10</f>
        <v>0.8</v>
      </c>
      <c r="L433" s="228">
        <f t="shared" ref="L433:L435" si="330">K433*I433</f>
        <v>5.1909774436090226</v>
      </c>
      <c r="M433" s="194">
        <f>IF(VLOOKUP(E433,'HOURLY RATES'!C$6:D$105,2,0)=0,$E$3,VLOOKUP(E433,'HOURLY RATES'!C$6:D$105,2,0))</f>
        <v>38.508412499999999</v>
      </c>
      <c r="N433" s="206">
        <f t="shared" ref="N433:N435" si="331">M433*L433</f>
        <v>199.89630067669171</v>
      </c>
      <c r="O433" s="377">
        <f>3.95*18/16*10</f>
        <v>44.437500000000007</v>
      </c>
      <c r="P433" s="197">
        <f t="shared" ref="P433:P435" si="332">O433*I433</f>
        <v>288.34257518796994</v>
      </c>
      <c r="Q433" s="198">
        <f t="shared" ref="Q433:Q435" si="333">P433+N433</f>
        <v>488.23887586466162</v>
      </c>
      <c r="R433" s="199"/>
      <c r="X433" s="257"/>
    </row>
    <row r="434" spans="1:24" s="12" customFormat="1" x14ac:dyDescent="0.2">
      <c r="A434" s="209">
        <f>IF(J434&lt;&gt;"",1+MAX($A$18:A433),"")</f>
        <v>290</v>
      </c>
      <c r="B434" s="210" t="s">
        <v>463</v>
      </c>
      <c r="C434" s="210" t="s">
        <v>464</v>
      </c>
      <c r="D434" s="210" t="s">
        <v>21</v>
      </c>
      <c r="E434" s="255" t="s">
        <v>146</v>
      </c>
      <c r="F434" s="250" t="s">
        <v>423</v>
      </c>
      <c r="G434" s="310">
        <f>G431*2</f>
        <v>17.260000000000002</v>
      </c>
      <c r="H434" s="205">
        <f>IF(VLOOKUP(J434,'HOURLY RATES'!B$116:C$124,2,0)=0,$J$3,VLOOKUP(J434,'HOURLY RATES'!B$116:C$124,2,0))</f>
        <v>0.05</v>
      </c>
      <c r="I434" s="317">
        <f t="shared" si="325"/>
        <v>18.123000000000001</v>
      </c>
      <c r="J434" s="192" t="s">
        <v>19</v>
      </c>
      <c r="K434" s="382">
        <v>0.08</v>
      </c>
      <c r="L434" s="228">
        <f t="shared" si="330"/>
        <v>1.44984</v>
      </c>
      <c r="M434" s="194">
        <f>IF(VLOOKUP(E434,'HOURLY RATES'!C$6:D$105,2,0)=0,$E$3,VLOOKUP(E434,'HOURLY RATES'!C$6:D$105,2,0))</f>
        <v>38.508412499999999</v>
      </c>
      <c r="N434" s="206">
        <f t="shared" si="331"/>
        <v>55.831036779000002</v>
      </c>
      <c r="O434" s="377">
        <f>3.95*18/16</f>
        <v>4.4437500000000005</v>
      </c>
      <c r="P434" s="197">
        <f t="shared" si="332"/>
        <v>80.534081250000014</v>
      </c>
      <c r="Q434" s="198">
        <f t="shared" si="333"/>
        <v>136.36511802900003</v>
      </c>
      <c r="R434" s="199"/>
      <c r="X434" s="257"/>
    </row>
    <row r="435" spans="1:24" s="12" customFormat="1" x14ac:dyDescent="0.2">
      <c r="A435" s="209">
        <f>IF(J435&lt;&gt;"",1+MAX($A$18:A434),"")</f>
        <v>291</v>
      </c>
      <c r="B435" s="210" t="s">
        <v>463</v>
      </c>
      <c r="C435" s="210" t="s">
        <v>464</v>
      </c>
      <c r="D435" s="210" t="s">
        <v>21</v>
      </c>
      <c r="E435" s="255" t="s">
        <v>270</v>
      </c>
      <c r="F435" s="250" t="s">
        <v>180</v>
      </c>
      <c r="G435" s="310">
        <f>G431*2</f>
        <v>17.260000000000002</v>
      </c>
      <c r="H435" s="205">
        <f>IF(VLOOKUP(J435,'HOURLY RATES'!B$116:C$124,2,0)=0,$J$3,VLOOKUP(J435,'HOURLY RATES'!B$116:C$124,2,0))</f>
        <v>0.05</v>
      </c>
      <c r="I435" s="317">
        <f t="shared" si="325"/>
        <v>18.123000000000001</v>
      </c>
      <c r="J435" s="192" t="s">
        <v>19</v>
      </c>
      <c r="K435" s="382">
        <v>1.6E-2</v>
      </c>
      <c r="L435" s="228">
        <f t="shared" si="330"/>
        <v>0.289968</v>
      </c>
      <c r="M435" s="194">
        <f>IF(VLOOKUP(E435,'HOURLY RATES'!C$6:D$105,2,0)=0,$E$3,VLOOKUP(E435,'HOURLY RATES'!C$6:D$105,2,0))</f>
        <v>66.337424999999996</v>
      </c>
      <c r="N435" s="206">
        <f t="shared" si="331"/>
        <v>19.235730452399999</v>
      </c>
      <c r="O435" s="377">
        <v>0.05</v>
      </c>
      <c r="P435" s="197">
        <f t="shared" si="332"/>
        <v>0.90615000000000012</v>
      </c>
      <c r="Q435" s="198">
        <f t="shared" si="333"/>
        <v>20.141880452399999</v>
      </c>
      <c r="R435" s="199"/>
      <c r="X435" s="257"/>
    </row>
    <row r="436" spans="1:24" s="12" customFormat="1" x14ac:dyDescent="0.2">
      <c r="A436" s="209" t="str">
        <f>IF(J436&lt;&gt;"",1+MAX($A$18:A435),"")</f>
        <v/>
      </c>
      <c r="B436" s="210"/>
      <c r="C436" s="210"/>
      <c r="D436" s="210"/>
      <c r="E436" s="255"/>
      <c r="F436" s="250"/>
      <c r="G436" s="310"/>
      <c r="H436" s="205"/>
      <c r="I436" s="317"/>
      <c r="J436" s="192"/>
      <c r="K436" s="382"/>
      <c r="L436" s="228"/>
      <c r="M436" s="194"/>
      <c r="N436" s="206"/>
      <c r="O436" s="377"/>
      <c r="P436" s="197"/>
      <c r="Q436" s="198"/>
      <c r="R436" s="199"/>
      <c r="X436" s="257"/>
    </row>
    <row r="437" spans="1:24" s="12" customFormat="1" x14ac:dyDescent="0.2">
      <c r="A437" s="209">
        <f>IF(J437&lt;&gt;"",1+MAX($A$18:A436),"")</f>
        <v>292</v>
      </c>
      <c r="B437" s="210"/>
      <c r="C437" s="210"/>
      <c r="D437" s="210"/>
      <c r="E437" s="255"/>
      <c r="F437" s="219" t="s">
        <v>439</v>
      </c>
      <c r="G437" s="311">
        <v>11.26</v>
      </c>
      <c r="H437" s="205">
        <f>IF(VLOOKUP(J437,'HOURLY RATES'!B$116:C$124,2,0)=0,$J$3,VLOOKUP(J437,'HOURLY RATES'!B$116:C$124,2,0))</f>
        <v>0.05</v>
      </c>
      <c r="I437" s="317">
        <f t="shared" ref="I437:I444" si="334">(G437*(1+H437))</f>
        <v>11.823</v>
      </c>
      <c r="J437" s="192" t="s">
        <v>19</v>
      </c>
      <c r="K437" s="382"/>
      <c r="L437" s="228"/>
      <c r="M437" s="194"/>
      <c r="N437" s="206"/>
      <c r="O437" s="377"/>
      <c r="P437" s="197"/>
      <c r="Q437" s="198"/>
      <c r="R437" s="199"/>
      <c r="X437" s="257"/>
    </row>
    <row r="438" spans="1:24" s="12" customFormat="1" x14ac:dyDescent="0.2">
      <c r="A438" s="209">
        <f>IF(J438&lt;&gt;"",1+MAX($A$18:A437),"")</f>
        <v>293</v>
      </c>
      <c r="B438" s="210" t="s">
        <v>463</v>
      </c>
      <c r="C438" s="210" t="s">
        <v>464</v>
      </c>
      <c r="D438" s="210" t="s">
        <v>21</v>
      </c>
      <c r="E438" s="255" t="s">
        <v>133</v>
      </c>
      <c r="F438" s="250" t="s">
        <v>178</v>
      </c>
      <c r="G438" s="310">
        <f>(G437*13*2/32)</f>
        <v>9.1487499999999997</v>
      </c>
      <c r="H438" s="205">
        <f>IF(VLOOKUP(J438,'HOURLY RATES'!B$116:C$124,2,0)=0,$J$3,VLOOKUP(J438,'HOURLY RATES'!B$116:C$124,2,0))</f>
        <v>0</v>
      </c>
      <c r="I438" s="317">
        <f t="shared" si="334"/>
        <v>9.1487499999999997</v>
      </c>
      <c r="J438" s="192" t="s">
        <v>16</v>
      </c>
      <c r="K438" s="382">
        <f>0.019*32</f>
        <v>0.60799999999999998</v>
      </c>
      <c r="L438" s="228">
        <f t="shared" ref="L438:L444" si="335">K438*I438</f>
        <v>5.5624399999999996</v>
      </c>
      <c r="M438" s="194">
        <f>IF(VLOOKUP(E438,'HOURLY RATES'!C$6:D$105,2,0)=0,$E$3,VLOOKUP(E438,'HOURLY RATES'!C$6:D$105,2,0))</f>
        <v>38.508412499999999</v>
      </c>
      <c r="N438" s="206">
        <f t="shared" ref="N438:N444" si="336">M438*L438</f>
        <v>214.20073402649999</v>
      </c>
      <c r="O438" s="377">
        <v>10.56</v>
      </c>
      <c r="P438" s="197">
        <f t="shared" ref="P438:P444" si="337">O438*I438</f>
        <v>96.610799999999998</v>
      </c>
      <c r="Q438" s="198">
        <f t="shared" ref="Q438:Q444" si="338">P438+N438</f>
        <v>310.8115340265</v>
      </c>
      <c r="R438" s="199"/>
      <c r="X438" s="257"/>
    </row>
    <row r="439" spans="1:24" s="12" customFormat="1" x14ac:dyDescent="0.2">
      <c r="A439" s="209">
        <f>IF(J439&lt;&gt;"",1+MAX($A$18:A438),"")</f>
        <v>294</v>
      </c>
      <c r="B439" s="210" t="s">
        <v>463</v>
      </c>
      <c r="C439" s="210" t="s">
        <v>464</v>
      </c>
      <c r="D439" s="210" t="s">
        <v>21</v>
      </c>
      <c r="E439" s="255" t="s">
        <v>63</v>
      </c>
      <c r="F439" s="250" t="s">
        <v>440</v>
      </c>
      <c r="G439" s="310">
        <f>G437*13</f>
        <v>146.38</v>
      </c>
      <c r="H439" s="205">
        <f>IF(VLOOKUP(J439,'HOURLY RATES'!B$116:C$124,2,0)=0,$J$3,VLOOKUP(J439,'HOURLY RATES'!B$116:C$124,2,0))</f>
        <v>0.05</v>
      </c>
      <c r="I439" s="317">
        <f t="shared" si="334"/>
        <v>153.69900000000001</v>
      </c>
      <c r="J439" s="192" t="s">
        <v>17</v>
      </c>
      <c r="K439" s="382">
        <v>1.0999999999999999E-2</v>
      </c>
      <c r="L439" s="228">
        <f t="shared" si="335"/>
        <v>1.6906890000000001</v>
      </c>
      <c r="M439" s="194">
        <f>IF(VLOOKUP(E439,'HOURLY RATES'!C$6:D$105,2,0)=0,$E$3,VLOOKUP(E439,'HOURLY RATES'!C$6:D$105,2,0))</f>
        <v>38.508412499999999</v>
      </c>
      <c r="N439" s="206">
        <f t="shared" si="336"/>
        <v>65.105749421212508</v>
      </c>
      <c r="O439" s="377">
        <v>0.54</v>
      </c>
      <c r="P439" s="197">
        <f t="shared" si="337"/>
        <v>82.997460000000018</v>
      </c>
      <c r="Q439" s="198">
        <f t="shared" si="338"/>
        <v>148.10320942121251</v>
      </c>
      <c r="R439" s="199"/>
      <c r="X439" s="257"/>
    </row>
    <row r="440" spans="1:24" s="12" customFormat="1" x14ac:dyDescent="0.2">
      <c r="A440" s="209">
        <f>IF(J440&lt;&gt;"",1+MAX($A$18:A439),"")</f>
        <v>295</v>
      </c>
      <c r="B440" s="210" t="s">
        <v>463</v>
      </c>
      <c r="C440" s="210" t="s">
        <v>464</v>
      </c>
      <c r="D440" s="210" t="s">
        <v>21</v>
      </c>
      <c r="E440" s="255" t="s">
        <v>146</v>
      </c>
      <c r="F440" s="250" t="s">
        <v>443</v>
      </c>
      <c r="G440" s="310">
        <f>(G437/1.33)+ (2*2)</f>
        <v>12.466165413533833</v>
      </c>
      <c r="H440" s="205">
        <f>IF(VLOOKUP(J440,'HOURLY RATES'!B$116:C$124,2,0)=0,$J$3,VLOOKUP(J440,'HOURLY RATES'!B$116:C$124,2,0))</f>
        <v>0</v>
      </c>
      <c r="I440" s="317">
        <f t="shared" si="334"/>
        <v>12.466165413533833</v>
      </c>
      <c r="J440" s="192" t="s">
        <v>16</v>
      </c>
      <c r="K440" s="382">
        <f>0.064*14</f>
        <v>0.89600000000000002</v>
      </c>
      <c r="L440" s="228">
        <f t="shared" si="335"/>
        <v>11.169684210526315</v>
      </c>
      <c r="M440" s="194">
        <f>IF(VLOOKUP(E440,'HOURLY RATES'!C$6:D$105,2,0)=0,$E$3,VLOOKUP(E440,'HOURLY RATES'!C$6:D$105,2,0))</f>
        <v>38.508412499999999</v>
      </c>
      <c r="N440" s="206">
        <f t="shared" si="336"/>
        <v>430.12680707368418</v>
      </c>
      <c r="O440" s="377">
        <f>1.13*20/22*14</f>
        <v>14.381818181818179</v>
      </c>
      <c r="P440" s="197">
        <f t="shared" si="337"/>
        <v>179.28612440191381</v>
      </c>
      <c r="Q440" s="198">
        <f t="shared" si="338"/>
        <v>609.41293147559804</v>
      </c>
      <c r="R440" s="199"/>
      <c r="X440" s="257"/>
    </row>
    <row r="441" spans="1:24" s="12" customFormat="1" x14ac:dyDescent="0.2">
      <c r="A441" s="209">
        <f>IF(J441&lt;&gt;"",1+MAX($A$18:A440),"")</f>
        <v>296</v>
      </c>
      <c r="B441" s="210" t="s">
        <v>463</v>
      </c>
      <c r="C441" s="210" t="s">
        <v>464</v>
      </c>
      <c r="D441" s="210" t="s">
        <v>21</v>
      </c>
      <c r="E441" s="255" t="s">
        <v>146</v>
      </c>
      <c r="F441" s="250" t="s">
        <v>441</v>
      </c>
      <c r="G441" s="310">
        <f>G437</f>
        <v>11.26</v>
      </c>
      <c r="H441" s="205">
        <f>IF(VLOOKUP(J441,'HOURLY RATES'!B$116:C$124,2,0)=0,$J$3,VLOOKUP(J441,'HOURLY RATES'!B$116:C$124,2,0))</f>
        <v>0.05</v>
      </c>
      <c r="I441" s="317">
        <f t="shared" si="334"/>
        <v>11.823</v>
      </c>
      <c r="J441" s="192" t="s">
        <v>19</v>
      </c>
      <c r="K441" s="382">
        <v>6.4000000000000001E-2</v>
      </c>
      <c r="L441" s="228">
        <f t="shared" si="335"/>
        <v>0.75667200000000001</v>
      </c>
      <c r="M441" s="194">
        <f>IF(VLOOKUP(E441,'HOURLY RATES'!C$6:D$105,2,0)=0,$E$3,VLOOKUP(E441,'HOURLY RATES'!C$6:D$105,2,0))</f>
        <v>38.508412499999999</v>
      </c>
      <c r="N441" s="206">
        <f t="shared" si="336"/>
        <v>29.138237503199999</v>
      </c>
      <c r="O441" s="377">
        <f>1.13*20/22</f>
        <v>1.0272727272727271</v>
      </c>
      <c r="P441" s="197">
        <f t="shared" si="337"/>
        <v>12.145445454545452</v>
      </c>
      <c r="Q441" s="198">
        <f t="shared" si="338"/>
        <v>41.283682957745455</v>
      </c>
      <c r="R441" s="199"/>
      <c r="X441" s="257"/>
    </row>
    <row r="442" spans="1:24" s="12" customFormat="1" x14ac:dyDescent="0.2">
      <c r="A442" s="209">
        <f>IF(J442&lt;&gt;"",1+MAX($A$18:A441),"")</f>
        <v>297</v>
      </c>
      <c r="B442" s="210" t="s">
        <v>463</v>
      </c>
      <c r="C442" s="210" t="s">
        <v>464</v>
      </c>
      <c r="D442" s="210" t="s">
        <v>21</v>
      </c>
      <c r="E442" s="255" t="s">
        <v>146</v>
      </c>
      <c r="F442" s="250" t="s">
        <v>442</v>
      </c>
      <c r="G442" s="310">
        <f>G437</f>
        <v>11.26</v>
      </c>
      <c r="H442" s="205">
        <f>IF(VLOOKUP(J442,'HOURLY RATES'!B$116:C$124,2,0)=0,$J$3,VLOOKUP(J442,'HOURLY RATES'!B$116:C$124,2,0))</f>
        <v>0.05</v>
      </c>
      <c r="I442" s="317">
        <f t="shared" ref="I442:I443" si="339">(G442*(1+H442))</f>
        <v>11.823</v>
      </c>
      <c r="J442" s="192" t="s">
        <v>19</v>
      </c>
      <c r="K442" s="382">
        <v>6.4000000000000001E-2</v>
      </c>
      <c r="L442" s="228">
        <f t="shared" ref="L442:L443" si="340">K442*I442</f>
        <v>0.75667200000000001</v>
      </c>
      <c r="M442" s="194">
        <f>IF(VLOOKUP(E442,'HOURLY RATES'!C$6:D$105,2,0)=0,$E$3,VLOOKUP(E442,'HOURLY RATES'!C$6:D$105,2,0))</f>
        <v>38.508412499999999</v>
      </c>
      <c r="N442" s="206">
        <f t="shared" ref="N442:N443" si="341">M442*L442</f>
        <v>29.138237503199999</v>
      </c>
      <c r="O442" s="377">
        <f>1.13*20/22</f>
        <v>1.0272727272727271</v>
      </c>
      <c r="P442" s="197">
        <f t="shared" ref="P442:P443" si="342">O442*I442</f>
        <v>12.145445454545452</v>
      </c>
      <c r="Q442" s="198">
        <f t="shared" ref="Q442:Q443" si="343">P442+N442</f>
        <v>41.283682957745455</v>
      </c>
      <c r="R442" s="199"/>
      <c r="X442" s="257"/>
    </row>
    <row r="443" spans="1:24" s="12" customFormat="1" x14ac:dyDescent="0.2">
      <c r="A443" s="209">
        <f>IF(J443&lt;&gt;"",1+MAX($A$18:A442),"")</f>
        <v>298</v>
      </c>
      <c r="B443" s="210" t="s">
        <v>463</v>
      </c>
      <c r="C443" s="210" t="s">
        <v>464</v>
      </c>
      <c r="D443" s="210" t="s">
        <v>21</v>
      </c>
      <c r="E443" s="255" t="s">
        <v>146</v>
      </c>
      <c r="F443" s="250" t="s">
        <v>426</v>
      </c>
      <c r="G443" s="310">
        <f>(13/4)*G437</f>
        <v>36.594999999999999</v>
      </c>
      <c r="H443" s="205">
        <f>IF(VLOOKUP(J443,'HOURLY RATES'!B$116:C$124,2,0)=0,$J$3,VLOOKUP(J443,'HOURLY RATES'!B$116:C$124,2,0))</f>
        <v>0.05</v>
      </c>
      <c r="I443" s="317">
        <f t="shared" si="339"/>
        <v>38.424750000000003</v>
      </c>
      <c r="J443" s="192" t="s">
        <v>19</v>
      </c>
      <c r="K443" s="382">
        <v>0.05</v>
      </c>
      <c r="L443" s="228">
        <f t="shared" si="340"/>
        <v>1.9212375000000002</v>
      </c>
      <c r="M443" s="194">
        <f>IF(VLOOKUP(E443,'HOURLY RATES'!C$6:D$105,2,0)=0,$E$3,VLOOKUP(E443,'HOURLY RATES'!C$6:D$105,2,0))</f>
        <v>38.508412499999999</v>
      </c>
      <c r="N443" s="206">
        <f t="shared" si="341"/>
        <v>73.98380616046876</v>
      </c>
      <c r="O443" s="377">
        <f>11.49/12</f>
        <v>0.95750000000000002</v>
      </c>
      <c r="P443" s="197">
        <f t="shared" si="342"/>
        <v>36.791698125000003</v>
      </c>
      <c r="Q443" s="198">
        <f t="shared" si="343"/>
        <v>110.77550428546877</v>
      </c>
      <c r="R443" s="199"/>
      <c r="X443" s="257"/>
    </row>
    <row r="444" spans="1:24" s="12" customFormat="1" x14ac:dyDescent="0.2">
      <c r="A444" s="209">
        <f>IF(J444&lt;&gt;"",1+MAX($A$18:A443),"")</f>
        <v>299</v>
      </c>
      <c r="B444" s="210" t="s">
        <v>463</v>
      </c>
      <c r="C444" s="210" t="s">
        <v>464</v>
      </c>
      <c r="D444" s="210" t="s">
        <v>21</v>
      </c>
      <c r="E444" s="255" t="s">
        <v>270</v>
      </c>
      <c r="F444" s="250" t="s">
        <v>180</v>
      </c>
      <c r="G444" s="310">
        <f>G437*4</f>
        <v>45.04</v>
      </c>
      <c r="H444" s="205">
        <f>IF(VLOOKUP(J444,'HOURLY RATES'!B$116:C$124,2,0)=0,$J$3,VLOOKUP(J444,'HOURLY RATES'!B$116:C$124,2,0))</f>
        <v>0.05</v>
      </c>
      <c r="I444" s="317">
        <f t="shared" si="334"/>
        <v>47.292000000000002</v>
      </c>
      <c r="J444" s="192" t="s">
        <v>19</v>
      </c>
      <c r="K444" s="382">
        <v>1.6E-2</v>
      </c>
      <c r="L444" s="228">
        <f t="shared" si="335"/>
        <v>0.75667200000000001</v>
      </c>
      <c r="M444" s="194">
        <f>IF(VLOOKUP(E444,'HOURLY RATES'!C$6:D$105,2,0)=0,$E$3,VLOOKUP(E444,'HOURLY RATES'!C$6:D$105,2,0))</f>
        <v>66.337424999999996</v>
      </c>
      <c r="N444" s="206">
        <f t="shared" si="336"/>
        <v>50.195672049599999</v>
      </c>
      <c r="O444" s="377">
        <v>0.05</v>
      </c>
      <c r="P444" s="197">
        <f t="shared" si="337"/>
        <v>2.3646000000000003</v>
      </c>
      <c r="Q444" s="198">
        <f t="shared" si="338"/>
        <v>52.560272049600002</v>
      </c>
      <c r="R444" s="199"/>
      <c r="X444" s="257"/>
    </row>
    <row r="445" spans="1:24" s="12" customFormat="1" x14ac:dyDescent="0.2">
      <c r="A445" s="209" t="str">
        <f>IF(J445&lt;&gt;"",1+MAX($A$18:A444),"")</f>
        <v/>
      </c>
      <c r="B445" s="210"/>
      <c r="C445" s="210"/>
      <c r="D445" s="210"/>
      <c r="E445" s="255"/>
      <c r="F445" s="250" t="s">
        <v>28</v>
      </c>
      <c r="G445" s="310"/>
      <c r="H445" s="205"/>
      <c r="I445" s="317"/>
      <c r="J445" s="192"/>
      <c r="K445" s="382"/>
      <c r="L445" s="228"/>
      <c r="M445" s="194"/>
      <c r="N445" s="206"/>
      <c r="O445" s="377"/>
      <c r="P445" s="197"/>
      <c r="Q445" s="198"/>
      <c r="R445" s="199"/>
      <c r="X445" s="257"/>
    </row>
    <row r="446" spans="1:24" s="12" customFormat="1" x14ac:dyDescent="0.2">
      <c r="A446" s="209">
        <f>IF(J446&lt;&gt;"",1+MAX($A$18:A445),"")</f>
        <v>300</v>
      </c>
      <c r="B446" s="210"/>
      <c r="C446" s="210"/>
      <c r="D446" s="210"/>
      <c r="E446" s="255"/>
      <c r="F446" s="219" t="s">
        <v>444</v>
      </c>
      <c r="G446" s="311">
        <v>61.46</v>
      </c>
      <c r="H446" s="205">
        <f>IF(VLOOKUP(J446,'HOURLY RATES'!B$116:C$124,2,0)=0,$J$3,VLOOKUP(J446,'HOURLY RATES'!B$116:C$124,2,0))</f>
        <v>0.05</v>
      </c>
      <c r="I446" s="317">
        <f t="shared" ref="I446:I452" si="344">(G446*(1+H446))</f>
        <v>64.533000000000001</v>
      </c>
      <c r="J446" s="192" t="s">
        <v>19</v>
      </c>
      <c r="K446" s="382"/>
      <c r="L446" s="228"/>
      <c r="M446" s="194"/>
      <c r="N446" s="206"/>
      <c r="O446" s="377"/>
      <c r="P446" s="197"/>
      <c r="Q446" s="198"/>
      <c r="R446" s="199"/>
      <c r="X446" s="257"/>
    </row>
    <row r="447" spans="1:24" s="12" customFormat="1" x14ac:dyDescent="0.2">
      <c r="A447" s="209">
        <f>IF(J447&lt;&gt;"",1+MAX($A$18:A446),"")</f>
        <v>301</v>
      </c>
      <c r="B447" s="210" t="s">
        <v>463</v>
      </c>
      <c r="C447" s="210" t="s">
        <v>464</v>
      </c>
      <c r="D447" s="210" t="s">
        <v>21</v>
      </c>
      <c r="E447" s="255" t="s">
        <v>133</v>
      </c>
      <c r="F447" s="250" t="s">
        <v>178</v>
      </c>
      <c r="G447" s="310">
        <f>(G446*13*2/32)</f>
        <v>49.936250000000001</v>
      </c>
      <c r="H447" s="205">
        <f>IF(VLOOKUP(J447,'HOURLY RATES'!B$116:C$124,2,0)=0,$J$3,VLOOKUP(J447,'HOURLY RATES'!B$116:C$124,2,0))</f>
        <v>0</v>
      </c>
      <c r="I447" s="317">
        <f t="shared" si="344"/>
        <v>49.936250000000001</v>
      </c>
      <c r="J447" s="192" t="s">
        <v>16</v>
      </c>
      <c r="K447" s="382">
        <f>0.019*32</f>
        <v>0.60799999999999998</v>
      </c>
      <c r="L447" s="228">
        <f t="shared" ref="L447:L452" si="345">K447*I447</f>
        <v>30.361239999999999</v>
      </c>
      <c r="M447" s="194">
        <f>IF(VLOOKUP(E447,'HOURLY RATES'!C$6:D$105,2,0)=0,$E$3,VLOOKUP(E447,'HOURLY RATES'!C$6:D$105,2,0))</f>
        <v>38.508412499999999</v>
      </c>
      <c r="N447" s="206">
        <f t="shared" ref="N447:N452" si="346">M447*L447</f>
        <v>1169.1631539314999</v>
      </c>
      <c r="O447" s="377">
        <v>10.56</v>
      </c>
      <c r="P447" s="197">
        <f t="shared" ref="P447:P452" si="347">O447*I447</f>
        <v>527.32680000000005</v>
      </c>
      <c r="Q447" s="198">
        <f t="shared" ref="Q447:Q452" si="348">P447+N447</f>
        <v>1696.4899539314999</v>
      </c>
      <c r="R447" s="199"/>
      <c r="X447" s="257"/>
    </row>
    <row r="448" spans="1:24" s="12" customFormat="1" x14ac:dyDescent="0.2">
      <c r="A448" s="209">
        <f>IF(J448&lt;&gt;"",1+MAX($A$18:A447),"")</f>
        <v>302</v>
      </c>
      <c r="B448" s="210" t="s">
        <v>463</v>
      </c>
      <c r="C448" s="210" t="s">
        <v>464</v>
      </c>
      <c r="D448" s="210" t="s">
        <v>21</v>
      </c>
      <c r="E448" s="255" t="s">
        <v>146</v>
      </c>
      <c r="F448" s="250" t="s">
        <v>443</v>
      </c>
      <c r="G448" s="310">
        <f>(G446/1.33)+ (21*2)</f>
        <v>88.21052631578948</v>
      </c>
      <c r="H448" s="205">
        <f>IF(VLOOKUP(J448,'HOURLY RATES'!B$116:C$124,2,0)=0,$J$3,VLOOKUP(J448,'HOURLY RATES'!B$116:C$124,2,0))</f>
        <v>0</v>
      </c>
      <c r="I448" s="317">
        <f t="shared" si="344"/>
        <v>88.21052631578948</v>
      </c>
      <c r="J448" s="192" t="s">
        <v>16</v>
      </c>
      <c r="K448" s="382">
        <f>0.064*14</f>
        <v>0.89600000000000002</v>
      </c>
      <c r="L448" s="228">
        <f t="shared" si="345"/>
        <v>79.036631578947379</v>
      </c>
      <c r="M448" s="194">
        <f>IF(VLOOKUP(E448,'HOURLY RATES'!C$6:D$105,2,0)=0,$E$3,VLOOKUP(E448,'HOURLY RATES'!C$6:D$105,2,0))</f>
        <v>38.508412499999999</v>
      </c>
      <c r="N448" s="206">
        <f t="shared" si="346"/>
        <v>3043.5752114526317</v>
      </c>
      <c r="O448" s="377">
        <f>1.13*20/22*14</f>
        <v>14.381818181818179</v>
      </c>
      <c r="P448" s="197">
        <f t="shared" si="347"/>
        <v>1268.6277511961721</v>
      </c>
      <c r="Q448" s="198">
        <f t="shared" si="348"/>
        <v>4312.2029626488038</v>
      </c>
      <c r="R448" s="199"/>
      <c r="X448" s="257"/>
    </row>
    <row r="449" spans="1:24" s="12" customFormat="1" x14ac:dyDescent="0.2">
      <c r="A449" s="209">
        <f>IF(J449&lt;&gt;"",1+MAX($A$18:A448),"")</f>
        <v>303</v>
      </c>
      <c r="B449" s="210" t="s">
        <v>463</v>
      </c>
      <c r="C449" s="210" t="s">
        <v>464</v>
      </c>
      <c r="D449" s="210" t="s">
        <v>21</v>
      </c>
      <c r="E449" s="255" t="s">
        <v>146</v>
      </c>
      <c r="F449" s="250" t="s">
        <v>441</v>
      </c>
      <c r="G449" s="310">
        <f>G446</f>
        <v>61.46</v>
      </c>
      <c r="H449" s="205">
        <f>IF(VLOOKUP(J449,'HOURLY RATES'!B$116:C$124,2,0)=0,$J$3,VLOOKUP(J449,'HOURLY RATES'!B$116:C$124,2,0))</f>
        <v>0.05</v>
      </c>
      <c r="I449" s="317">
        <f t="shared" si="344"/>
        <v>64.533000000000001</v>
      </c>
      <c r="J449" s="192" t="s">
        <v>19</v>
      </c>
      <c r="K449" s="382">
        <v>6.4000000000000001E-2</v>
      </c>
      <c r="L449" s="228">
        <f t="shared" si="345"/>
        <v>4.1301120000000004</v>
      </c>
      <c r="M449" s="194">
        <f>IF(VLOOKUP(E449,'HOURLY RATES'!C$6:D$105,2,0)=0,$E$3,VLOOKUP(E449,'HOURLY RATES'!C$6:D$105,2,0))</f>
        <v>38.508412499999999</v>
      </c>
      <c r="N449" s="206">
        <f t="shared" si="346"/>
        <v>159.04405656720002</v>
      </c>
      <c r="O449" s="377">
        <f>1.13*20/22</f>
        <v>1.0272727272727271</v>
      </c>
      <c r="P449" s="197">
        <f t="shared" si="347"/>
        <v>66.292990909090904</v>
      </c>
      <c r="Q449" s="198">
        <f t="shared" si="348"/>
        <v>225.33704747629093</v>
      </c>
      <c r="R449" s="199"/>
      <c r="X449" s="257"/>
    </row>
    <row r="450" spans="1:24" s="12" customFormat="1" x14ac:dyDescent="0.2">
      <c r="A450" s="209">
        <f>IF(J450&lt;&gt;"",1+MAX($A$18:A449),"")</f>
        <v>304</v>
      </c>
      <c r="B450" s="210" t="s">
        <v>463</v>
      </c>
      <c r="C450" s="210" t="s">
        <v>464</v>
      </c>
      <c r="D450" s="210" t="s">
        <v>21</v>
      </c>
      <c r="E450" s="255" t="s">
        <v>146</v>
      </c>
      <c r="F450" s="250" t="s">
        <v>442</v>
      </c>
      <c r="G450" s="310">
        <f>G446</f>
        <v>61.46</v>
      </c>
      <c r="H450" s="205">
        <f>IF(VLOOKUP(J450,'HOURLY RATES'!B$116:C$124,2,0)=0,$J$3,VLOOKUP(J450,'HOURLY RATES'!B$116:C$124,2,0))</f>
        <v>0.05</v>
      </c>
      <c r="I450" s="317">
        <f t="shared" si="344"/>
        <v>64.533000000000001</v>
      </c>
      <c r="J450" s="192" t="s">
        <v>19</v>
      </c>
      <c r="K450" s="382">
        <v>6.4000000000000001E-2</v>
      </c>
      <c r="L450" s="228">
        <f t="shared" si="345"/>
        <v>4.1301120000000004</v>
      </c>
      <c r="M450" s="194">
        <f>IF(VLOOKUP(E450,'HOURLY RATES'!C$6:D$105,2,0)=0,$E$3,VLOOKUP(E450,'HOURLY RATES'!C$6:D$105,2,0))</f>
        <v>38.508412499999999</v>
      </c>
      <c r="N450" s="206">
        <f t="shared" si="346"/>
        <v>159.04405656720002</v>
      </c>
      <c r="O450" s="377">
        <f>1.13*20/22</f>
        <v>1.0272727272727271</v>
      </c>
      <c r="P450" s="197">
        <f t="shared" si="347"/>
        <v>66.292990909090904</v>
      </c>
      <c r="Q450" s="198">
        <f t="shared" si="348"/>
        <v>225.33704747629093</v>
      </c>
      <c r="R450" s="199"/>
      <c r="X450" s="257"/>
    </row>
    <row r="451" spans="1:24" s="12" customFormat="1" x14ac:dyDescent="0.2">
      <c r="A451" s="209">
        <f>IF(J451&lt;&gt;"",1+MAX($A$18:A450),"")</f>
        <v>305</v>
      </c>
      <c r="B451" s="210" t="s">
        <v>463</v>
      </c>
      <c r="C451" s="210" t="s">
        <v>464</v>
      </c>
      <c r="D451" s="210" t="s">
        <v>21</v>
      </c>
      <c r="E451" s="255" t="s">
        <v>146</v>
      </c>
      <c r="F451" s="250" t="s">
        <v>426</v>
      </c>
      <c r="G451" s="310">
        <f>(13/4)*G446</f>
        <v>199.745</v>
      </c>
      <c r="H451" s="205">
        <f>IF(VLOOKUP(J451,'HOURLY RATES'!B$116:C$124,2,0)=0,$J$3,VLOOKUP(J451,'HOURLY RATES'!B$116:C$124,2,0))</f>
        <v>0.05</v>
      </c>
      <c r="I451" s="317">
        <f t="shared" si="344"/>
        <v>209.73225000000002</v>
      </c>
      <c r="J451" s="192" t="s">
        <v>19</v>
      </c>
      <c r="K451" s="382">
        <v>0.05</v>
      </c>
      <c r="L451" s="228">
        <f t="shared" si="345"/>
        <v>10.486612500000001</v>
      </c>
      <c r="M451" s="194">
        <f>IF(VLOOKUP(E451,'HOURLY RATES'!C$6:D$105,2,0)=0,$E$3,VLOOKUP(E451,'HOURLY RATES'!C$6:D$105,2,0))</f>
        <v>38.508412499999999</v>
      </c>
      <c r="N451" s="206">
        <f t="shared" si="346"/>
        <v>403.82279987765628</v>
      </c>
      <c r="O451" s="377">
        <f>11.49/12</f>
        <v>0.95750000000000002</v>
      </c>
      <c r="P451" s="197">
        <f t="shared" si="347"/>
        <v>200.81862937500003</v>
      </c>
      <c r="Q451" s="198">
        <f t="shared" si="348"/>
        <v>604.64142925265628</v>
      </c>
      <c r="R451" s="199"/>
      <c r="X451" s="257"/>
    </row>
    <row r="452" spans="1:24" s="12" customFormat="1" x14ac:dyDescent="0.2">
      <c r="A452" s="209">
        <f>IF(J452&lt;&gt;"",1+MAX($A$18:A451),"")</f>
        <v>306</v>
      </c>
      <c r="B452" s="210" t="s">
        <v>463</v>
      </c>
      <c r="C452" s="210" t="s">
        <v>464</v>
      </c>
      <c r="D452" s="210" t="s">
        <v>21</v>
      </c>
      <c r="E452" s="255" t="s">
        <v>270</v>
      </c>
      <c r="F452" s="250" t="s">
        <v>180</v>
      </c>
      <c r="G452" s="310">
        <f>G446*4</f>
        <v>245.84</v>
      </c>
      <c r="H452" s="205">
        <f>IF(VLOOKUP(J452,'HOURLY RATES'!B$116:C$124,2,0)=0,$J$3,VLOOKUP(J452,'HOURLY RATES'!B$116:C$124,2,0))</f>
        <v>0.05</v>
      </c>
      <c r="I452" s="317">
        <f t="shared" si="344"/>
        <v>258.13200000000001</v>
      </c>
      <c r="J452" s="192" t="s">
        <v>19</v>
      </c>
      <c r="K452" s="382">
        <v>1.6E-2</v>
      </c>
      <c r="L452" s="228">
        <f t="shared" si="345"/>
        <v>4.1301120000000004</v>
      </c>
      <c r="M452" s="194">
        <f>IF(VLOOKUP(E452,'HOURLY RATES'!C$6:D$105,2,0)=0,$E$3,VLOOKUP(E452,'HOURLY RATES'!C$6:D$105,2,0))</f>
        <v>66.337424999999996</v>
      </c>
      <c r="N452" s="206">
        <f t="shared" si="346"/>
        <v>273.98099504160001</v>
      </c>
      <c r="O452" s="377">
        <v>0.05</v>
      </c>
      <c r="P452" s="197">
        <f t="shared" si="347"/>
        <v>12.906600000000001</v>
      </c>
      <c r="Q452" s="198">
        <f t="shared" si="348"/>
        <v>286.88759504160004</v>
      </c>
      <c r="R452" s="199"/>
      <c r="X452" s="257"/>
    </row>
    <row r="453" spans="1:24" s="12" customFormat="1" x14ac:dyDescent="0.2">
      <c r="A453" s="209" t="str">
        <f>IF(J453&lt;&gt;"",1+MAX($A$18:A452),"")</f>
        <v/>
      </c>
      <c r="B453" s="210"/>
      <c r="C453" s="210"/>
      <c r="D453" s="210"/>
      <c r="E453" s="255"/>
      <c r="F453" s="250"/>
      <c r="G453" s="310"/>
      <c r="H453" s="205"/>
      <c r="I453" s="317"/>
      <c r="J453" s="192"/>
      <c r="K453" s="382"/>
      <c r="L453" s="228"/>
      <c r="M453" s="194"/>
      <c r="N453" s="206"/>
      <c r="O453" s="377"/>
      <c r="P453" s="197"/>
      <c r="Q453" s="198"/>
      <c r="R453" s="199"/>
      <c r="X453" s="257"/>
    </row>
    <row r="454" spans="1:24" s="12" customFormat="1" x14ac:dyDescent="0.2">
      <c r="A454" s="209">
        <f>IF(J454&lt;&gt;"",1+MAX($A$18:A453),"")</f>
        <v>307</v>
      </c>
      <c r="B454" s="210"/>
      <c r="C454" s="210"/>
      <c r="D454" s="210"/>
      <c r="E454" s="255"/>
      <c r="F454" s="219" t="s">
        <v>445</v>
      </c>
      <c r="G454" s="311">
        <v>196.07</v>
      </c>
      <c r="H454" s="205">
        <f>IF(VLOOKUP(J454,'HOURLY RATES'!B$116:C$124,2,0)=0,$J$3,VLOOKUP(J454,'HOURLY RATES'!B$116:C$124,2,0))</f>
        <v>0.05</v>
      </c>
      <c r="I454" s="317">
        <f t="shared" ref="I454:I461" si="349">(G454*(1+H454))</f>
        <v>205.87350000000001</v>
      </c>
      <c r="J454" s="192" t="s">
        <v>19</v>
      </c>
      <c r="K454" s="382"/>
      <c r="L454" s="228"/>
      <c r="M454" s="194"/>
      <c r="N454" s="206"/>
      <c r="O454" s="377"/>
      <c r="P454" s="197"/>
      <c r="Q454" s="198"/>
      <c r="R454" s="199"/>
      <c r="X454" s="257"/>
    </row>
    <row r="455" spans="1:24" s="12" customFormat="1" x14ac:dyDescent="0.2">
      <c r="A455" s="209">
        <f>IF(J455&lt;&gt;"",1+MAX($A$18:A454),"")</f>
        <v>308</v>
      </c>
      <c r="B455" s="210" t="s">
        <v>463</v>
      </c>
      <c r="C455" s="210" t="s">
        <v>464</v>
      </c>
      <c r="D455" s="210" t="s">
        <v>21</v>
      </c>
      <c r="E455" s="255" t="s">
        <v>133</v>
      </c>
      <c r="F455" s="250" t="s">
        <v>446</v>
      </c>
      <c r="G455" s="310">
        <f>(G454*13*2/32)</f>
        <v>159.30687499999999</v>
      </c>
      <c r="H455" s="205">
        <f>IF(VLOOKUP(J455,'HOURLY RATES'!B$116:C$124,2,0)=0,$J$3,VLOOKUP(J455,'HOURLY RATES'!B$116:C$124,2,0))</f>
        <v>0</v>
      </c>
      <c r="I455" s="317">
        <f t="shared" si="349"/>
        <v>159.30687499999999</v>
      </c>
      <c r="J455" s="192" t="s">
        <v>16</v>
      </c>
      <c r="K455" s="382">
        <f>0.019*32</f>
        <v>0.60799999999999998</v>
      </c>
      <c r="L455" s="228">
        <f t="shared" ref="L455:L461" si="350">K455*I455</f>
        <v>96.858579999999989</v>
      </c>
      <c r="M455" s="194">
        <f>IF(VLOOKUP(E455,'HOURLY RATES'!C$6:D$105,2,0)=0,$E$3,VLOOKUP(E455,'HOURLY RATES'!C$6:D$105,2,0))</f>
        <v>38.508412499999999</v>
      </c>
      <c r="N455" s="206">
        <f t="shared" ref="N455:N461" si="351">M455*L455</f>
        <v>3729.8701528042493</v>
      </c>
      <c r="O455" s="377">
        <v>12.28</v>
      </c>
      <c r="P455" s="197">
        <f t="shared" ref="P455:P461" si="352">O455*I455</f>
        <v>1956.2884249999997</v>
      </c>
      <c r="Q455" s="198">
        <f t="shared" ref="Q455:Q461" si="353">P455+N455</f>
        <v>5686.158577804249</v>
      </c>
      <c r="R455" s="199"/>
      <c r="X455" s="257"/>
    </row>
    <row r="456" spans="1:24" s="12" customFormat="1" x14ac:dyDescent="0.2">
      <c r="A456" s="209">
        <f>IF(J456&lt;&gt;"",1+MAX($A$18:A455),"")</f>
        <v>309</v>
      </c>
      <c r="B456" s="210" t="s">
        <v>463</v>
      </c>
      <c r="C456" s="210" t="s">
        <v>464</v>
      </c>
      <c r="D456" s="210" t="s">
        <v>21</v>
      </c>
      <c r="E456" s="255" t="s">
        <v>63</v>
      </c>
      <c r="F456" s="250" t="s">
        <v>440</v>
      </c>
      <c r="G456" s="310">
        <f>G454*13</f>
        <v>2548.91</v>
      </c>
      <c r="H456" s="205">
        <f>IF(VLOOKUP(J456,'HOURLY RATES'!B$116:C$124,2,0)=0,$J$3,VLOOKUP(J456,'HOURLY RATES'!B$116:C$124,2,0))</f>
        <v>0.05</v>
      </c>
      <c r="I456" s="317">
        <f t="shared" si="349"/>
        <v>2676.3555000000001</v>
      </c>
      <c r="J456" s="192" t="s">
        <v>17</v>
      </c>
      <c r="K456" s="382">
        <v>1.0999999999999999E-2</v>
      </c>
      <c r="L456" s="228">
        <f t="shared" si="350"/>
        <v>29.4399105</v>
      </c>
      <c r="M456" s="194">
        <f>IF(VLOOKUP(E456,'HOURLY RATES'!C$6:D$105,2,0)=0,$E$3,VLOOKUP(E456,'HOURLY RATES'!C$6:D$105,2,0))</f>
        <v>38.508412499999999</v>
      </c>
      <c r="N456" s="206">
        <f t="shared" si="351"/>
        <v>1133.6842174970811</v>
      </c>
      <c r="O456" s="377">
        <v>0.54</v>
      </c>
      <c r="P456" s="197">
        <f t="shared" si="352"/>
        <v>1445.23197</v>
      </c>
      <c r="Q456" s="198">
        <f t="shared" si="353"/>
        <v>2578.9161874970814</v>
      </c>
      <c r="R456" s="199"/>
      <c r="X456" s="257"/>
    </row>
    <row r="457" spans="1:24" s="12" customFormat="1" x14ac:dyDescent="0.2">
      <c r="A457" s="209">
        <f>IF(J457&lt;&gt;"",1+MAX($A$18:A456),"")</f>
        <v>310</v>
      </c>
      <c r="B457" s="210" t="s">
        <v>463</v>
      </c>
      <c r="C457" s="210" t="s">
        <v>464</v>
      </c>
      <c r="D457" s="210" t="s">
        <v>21</v>
      </c>
      <c r="E457" s="255" t="s">
        <v>146</v>
      </c>
      <c r="F457" s="250" t="s">
        <v>443</v>
      </c>
      <c r="G457" s="310">
        <f>(G454/1.33)+ (32*2)</f>
        <v>211.42105263157893</v>
      </c>
      <c r="H457" s="205">
        <f>IF(VLOOKUP(J457,'HOURLY RATES'!B$116:C$124,2,0)=0,$J$3,VLOOKUP(J457,'HOURLY RATES'!B$116:C$124,2,0))</f>
        <v>0</v>
      </c>
      <c r="I457" s="317">
        <f t="shared" si="349"/>
        <v>211.42105263157893</v>
      </c>
      <c r="J457" s="192" t="s">
        <v>16</v>
      </c>
      <c r="K457" s="382">
        <f>0.064*14</f>
        <v>0.89600000000000002</v>
      </c>
      <c r="L457" s="228">
        <f t="shared" si="350"/>
        <v>189.43326315789471</v>
      </c>
      <c r="M457" s="194">
        <f>IF(VLOOKUP(E457,'HOURLY RATES'!C$6:D$105,2,0)=0,$E$3,VLOOKUP(E457,'HOURLY RATES'!C$6:D$105,2,0))</f>
        <v>38.508412499999999</v>
      </c>
      <c r="N457" s="206">
        <f t="shared" si="351"/>
        <v>7294.7742389052619</v>
      </c>
      <c r="O457" s="377">
        <f>1.13*20/22*14</f>
        <v>14.381818181818179</v>
      </c>
      <c r="P457" s="197">
        <f t="shared" si="352"/>
        <v>3040.6191387559802</v>
      </c>
      <c r="Q457" s="198">
        <f t="shared" si="353"/>
        <v>10335.393377661243</v>
      </c>
      <c r="R457" s="199"/>
      <c r="X457" s="257"/>
    </row>
    <row r="458" spans="1:24" s="12" customFormat="1" x14ac:dyDescent="0.2">
      <c r="A458" s="209">
        <f>IF(J458&lt;&gt;"",1+MAX($A$18:A457),"")</f>
        <v>311</v>
      </c>
      <c r="B458" s="210" t="s">
        <v>463</v>
      </c>
      <c r="C458" s="210" t="s">
        <v>464</v>
      </c>
      <c r="D458" s="210" t="s">
        <v>21</v>
      </c>
      <c r="E458" s="255" t="s">
        <v>146</v>
      </c>
      <c r="F458" s="250" t="s">
        <v>441</v>
      </c>
      <c r="G458" s="310">
        <f>G454</f>
        <v>196.07</v>
      </c>
      <c r="H458" s="205">
        <f>IF(VLOOKUP(J458,'HOURLY RATES'!B$116:C$124,2,0)=0,$J$3,VLOOKUP(J458,'HOURLY RATES'!B$116:C$124,2,0))</f>
        <v>0.05</v>
      </c>
      <c r="I458" s="317">
        <f t="shared" si="349"/>
        <v>205.87350000000001</v>
      </c>
      <c r="J458" s="192" t="s">
        <v>19</v>
      </c>
      <c r="K458" s="382">
        <v>6.4000000000000001E-2</v>
      </c>
      <c r="L458" s="228">
        <f t="shared" si="350"/>
        <v>13.175904000000001</v>
      </c>
      <c r="M458" s="194">
        <f>IF(VLOOKUP(E458,'HOURLY RATES'!C$6:D$105,2,0)=0,$E$3,VLOOKUP(E458,'HOURLY RATES'!C$6:D$105,2,0))</f>
        <v>38.508412499999999</v>
      </c>
      <c r="N458" s="206">
        <f t="shared" si="351"/>
        <v>507.3831462924</v>
      </c>
      <c r="O458" s="377">
        <f>1.13*20/22</f>
        <v>1.0272727272727271</v>
      </c>
      <c r="P458" s="197">
        <f t="shared" si="352"/>
        <v>211.48823181818179</v>
      </c>
      <c r="Q458" s="198">
        <f t="shared" si="353"/>
        <v>718.87137811058176</v>
      </c>
      <c r="R458" s="199"/>
      <c r="X458" s="257"/>
    </row>
    <row r="459" spans="1:24" s="12" customFormat="1" x14ac:dyDescent="0.2">
      <c r="A459" s="209">
        <f>IF(J459&lt;&gt;"",1+MAX($A$18:A458),"")</f>
        <v>312</v>
      </c>
      <c r="B459" s="210" t="s">
        <v>463</v>
      </c>
      <c r="C459" s="210" t="s">
        <v>464</v>
      </c>
      <c r="D459" s="210" t="s">
        <v>21</v>
      </c>
      <c r="E459" s="255" t="s">
        <v>146</v>
      </c>
      <c r="F459" s="250" t="s">
        <v>442</v>
      </c>
      <c r="G459" s="310">
        <f>G454</f>
        <v>196.07</v>
      </c>
      <c r="H459" s="205">
        <f>IF(VLOOKUP(J459,'HOURLY RATES'!B$116:C$124,2,0)=0,$J$3,VLOOKUP(J459,'HOURLY RATES'!B$116:C$124,2,0))</f>
        <v>0.05</v>
      </c>
      <c r="I459" s="317">
        <f t="shared" si="349"/>
        <v>205.87350000000001</v>
      </c>
      <c r="J459" s="192" t="s">
        <v>19</v>
      </c>
      <c r="K459" s="382">
        <v>6.4000000000000001E-2</v>
      </c>
      <c r="L459" s="228">
        <f t="shared" si="350"/>
        <v>13.175904000000001</v>
      </c>
      <c r="M459" s="194">
        <f>IF(VLOOKUP(E459,'HOURLY RATES'!C$6:D$105,2,0)=0,$E$3,VLOOKUP(E459,'HOURLY RATES'!C$6:D$105,2,0))</f>
        <v>38.508412499999999</v>
      </c>
      <c r="N459" s="206">
        <f t="shared" si="351"/>
        <v>507.3831462924</v>
      </c>
      <c r="O459" s="377">
        <f>1.13*20/22</f>
        <v>1.0272727272727271</v>
      </c>
      <c r="P459" s="197">
        <f t="shared" si="352"/>
        <v>211.48823181818179</v>
      </c>
      <c r="Q459" s="198">
        <f t="shared" si="353"/>
        <v>718.87137811058176</v>
      </c>
      <c r="R459" s="199"/>
      <c r="X459" s="257"/>
    </row>
    <row r="460" spans="1:24" s="12" customFormat="1" x14ac:dyDescent="0.2">
      <c r="A460" s="209">
        <f>IF(J460&lt;&gt;"",1+MAX($A$18:A459),"")</f>
        <v>313</v>
      </c>
      <c r="B460" s="210" t="s">
        <v>463</v>
      </c>
      <c r="C460" s="210" t="s">
        <v>464</v>
      </c>
      <c r="D460" s="210" t="s">
        <v>21</v>
      </c>
      <c r="E460" s="255" t="s">
        <v>146</v>
      </c>
      <c r="F460" s="250" t="s">
        <v>426</v>
      </c>
      <c r="G460" s="310">
        <f>(13/4)*G454</f>
        <v>637.22749999999996</v>
      </c>
      <c r="H460" s="205">
        <f>IF(VLOOKUP(J460,'HOURLY RATES'!B$116:C$124,2,0)=0,$J$3,VLOOKUP(J460,'HOURLY RATES'!B$116:C$124,2,0))</f>
        <v>0.05</v>
      </c>
      <c r="I460" s="317">
        <f t="shared" si="349"/>
        <v>669.08887500000003</v>
      </c>
      <c r="J460" s="192" t="s">
        <v>19</v>
      </c>
      <c r="K460" s="382">
        <v>0.05</v>
      </c>
      <c r="L460" s="228">
        <f t="shared" si="350"/>
        <v>33.454443750000003</v>
      </c>
      <c r="M460" s="194">
        <f>IF(VLOOKUP(E460,'HOURLY RATES'!C$6:D$105,2,0)=0,$E$3,VLOOKUP(E460,'HOURLY RATES'!C$6:D$105,2,0))</f>
        <v>38.508412499999999</v>
      </c>
      <c r="N460" s="206">
        <f t="shared" si="351"/>
        <v>1288.277519883047</v>
      </c>
      <c r="O460" s="377">
        <f>11.49/12</f>
        <v>0.95750000000000002</v>
      </c>
      <c r="P460" s="197">
        <f t="shared" si="352"/>
        <v>640.65259781250006</v>
      </c>
      <c r="Q460" s="198">
        <f t="shared" si="353"/>
        <v>1928.9301176955471</v>
      </c>
      <c r="R460" s="199"/>
      <c r="X460" s="257"/>
    </row>
    <row r="461" spans="1:24" s="12" customFormat="1" x14ac:dyDescent="0.2">
      <c r="A461" s="209">
        <f>IF(J461&lt;&gt;"",1+MAX($A$18:A460),"")</f>
        <v>314</v>
      </c>
      <c r="B461" s="210" t="s">
        <v>463</v>
      </c>
      <c r="C461" s="210" t="s">
        <v>464</v>
      </c>
      <c r="D461" s="210" t="s">
        <v>21</v>
      </c>
      <c r="E461" s="255" t="s">
        <v>270</v>
      </c>
      <c r="F461" s="250" t="s">
        <v>180</v>
      </c>
      <c r="G461" s="310">
        <f>G454*4</f>
        <v>784.28</v>
      </c>
      <c r="H461" s="205">
        <f>IF(VLOOKUP(J461,'HOURLY RATES'!B$116:C$124,2,0)=0,$J$3,VLOOKUP(J461,'HOURLY RATES'!B$116:C$124,2,0))</f>
        <v>0.05</v>
      </c>
      <c r="I461" s="317">
        <f t="shared" si="349"/>
        <v>823.49400000000003</v>
      </c>
      <c r="J461" s="192" t="s">
        <v>19</v>
      </c>
      <c r="K461" s="382">
        <v>1.6E-2</v>
      </c>
      <c r="L461" s="228">
        <f t="shared" si="350"/>
        <v>13.175904000000001</v>
      </c>
      <c r="M461" s="194">
        <f>IF(VLOOKUP(E461,'HOURLY RATES'!C$6:D$105,2,0)=0,$E$3,VLOOKUP(E461,'HOURLY RATES'!C$6:D$105,2,0))</f>
        <v>66.337424999999996</v>
      </c>
      <c r="N461" s="206">
        <f t="shared" si="351"/>
        <v>874.05554340720005</v>
      </c>
      <c r="O461" s="377">
        <v>0.05</v>
      </c>
      <c r="P461" s="197">
        <f t="shared" si="352"/>
        <v>41.174700000000001</v>
      </c>
      <c r="Q461" s="198">
        <f t="shared" si="353"/>
        <v>915.23024340720008</v>
      </c>
      <c r="R461" s="199"/>
      <c r="X461" s="257"/>
    </row>
    <row r="462" spans="1:24" s="12" customFormat="1" x14ac:dyDescent="0.2">
      <c r="A462" s="209" t="str">
        <f>IF(J462&lt;&gt;"",1+MAX($A$18:A461),"")</f>
        <v/>
      </c>
      <c r="B462" s="210"/>
      <c r="C462" s="210"/>
      <c r="D462" s="210"/>
      <c r="E462" s="255"/>
      <c r="F462" s="250"/>
      <c r="G462" s="310"/>
      <c r="H462" s="205"/>
      <c r="I462" s="317"/>
      <c r="J462" s="192"/>
      <c r="K462" s="382"/>
      <c r="L462" s="228"/>
      <c r="M462" s="194"/>
      <c r="N462" s="206"/>
      <c r="O462" s="377"/>
      <c r="P462" s="197"/>
      <c r="Q462" s="198"/>
      <c r="R462" s="199"/>
      <c r="X462" s="257"/>
    </row>
    <row r="463" spans="1:24" s="12" customFormat="1" x14ac:dyDescent="0.2">
      <c r="A463" s="209">
        <f>IF(J463&lt;&gt;"",1+MAX($A$18:A462),"")</f>
        <v>315</v>
      </c>
      <c r="B463" s="210"/>
      <c r="C463" s="210"/>
      <c r="D463" s="210"/>
      <c r="E463" s="255"/>
      <c r="F463" s="219" t="s">
        <v>447</v>
      </c>
      <c r="G463" s="311">
        <v>810.14</v>
      </c>
      <c r="H463" s="205">
        <f>IF(VLOOKUP(J463,'HOURLY RATES'!B$116:C$124,2,0)=0,$J$3,VLOOKUP(J463,'HOURLY RATES'!B$116:C$124,2,0))</f>
        <v>0.05</v>
      </c>
      <c r="I463" s="317">
        <f t="shared" ref="I463:I470" si="354">(G463*(1+H463))</f>
        <v>850.64700000000005</v>
      </c>
      <c r="J463" s="192" t="s">
        <v>19</v>
      </c>
      <c r="K463" s="382"/>
      <c r="L463" s="228"/>
      <c r="M463" s="194"/>
      <c r="N463" s="206"/>
      <c r="O463" s="377"/>
      <c r="P463" s="197"/>
      <c r="Q463" s="198"/>
      <c r="R463" s="199"/>
      <c r="X463" s="257"/>
    </row>
    <row r="464" spans="1:24" s="12" customFormat="1" x14ac:dyDescent="0.2">
      <c r="A464" s="209">
        <f>IF(J464&lt;&gt;"",1+MAX($A$18:A463),"")</f>
        <v>316</v>
      </c>
      <c r="B464" s="210" t="s">
        <v>463</v>
      </c>
      <c r="C464" s="210" t="s">
        <v>464</v>
      </c>
      <c r="D464" s="210" t="s">
        <v>21</v>
      </c>
      <c r="E464" s="255" t="s">
        <v>133</v>
      </c>
      <c r="F464" s="250" t="s">
        <v>178</v>
      </c>
      <c r="G464" s="310">
        <f>(G463*13*2/32)</f>
        <v>658.23874999999998</v>
      </c>
      <c r="H464" s="205">
        <f>IF(VLOOKUP(J464,'HOURLY RATES'!B$116:C$124,2,0)=0,$J$3,VLOOKUP(J464,'HOURLY RATES'!B$116:C$124,2,0))</f>
        <v>0</v>
      </c>
      <c r="I464" s="317">
        <f t="shared" si="354"/>
        <v>658.23874999999998</v>
      </c>
      <c r="J464" s="192" t="s">
        <v>16</v>
      </c>
      <c r="K464" s="382">
        <f>0.019*32</f>
        <v>0.60799999999999998</v>
      </c>
      <c r="L464" s="228">
        <f t="shared" ref="L464:L470" si="355">K464*I464</f>
        <v>400.20916</v>
      </c>
      <c r="M464" s="194">
        <f>IF(VLOOKUP(E464,'HOURLY RATES'!C$6:D$105,2,0)=0,$E$3,VLOOKUP(E464,'HOURLY RATES'!C$6:D$105,2,0))</f>
        <v>38.508412499999999</v>
      </c>
      <c r="N464" s="206">
        <f t="shared" ref="N464:N470" si="356">M464*L464</f>
        <v>15411.419419558499</v>
      </c>
      <c r="O464" s="377">
        <v>10.56</v>
      </c>
      <c r="P464" s="197">
        <f t="shared" ref="P464:P470" si="357">O464*I464</f>
        <v>6951.0011999999997</v>
      </c>
      <c r="Q464" s="198">
        <f t="shared" ref="Q464:Q470" si="358">P464+N464</f>
        <v>22362.420619558499</v>
      </c>
      <c r="R464" s="199"/>
      <c r="X464" s="257"/>
    </row>
    <row r="465" spans="1:24" s="12" customFormat="1" x14ac:dyDescent="0.2">
      <c r="A465" s="209">
        <f>IF(J465&lt;&gt;"",1+MAX($A$18:A464),"")</f>
        <v>317</v>
      </c>
      <c r="B465" s="210" t="s">
        <v>463</v>
      </c>
      <c r="C465" s="210" t="s">
        <v>464</v>
      </c>
      <c r="D465" s="210" t="s">
        <v>21</v>
      </c>
      <c r="E465" s="255" t="s">
        <v>63</v>
      </c>
      <c r="F465" s="250" t="s">
        <v>440</v>
      </c>
      <c r="G465" s="310">
        <f>G463*13</f>
        <v>10531.82</v>
      </c>
      <c r="H465" s="205">
        <f>IF(VLOOKUP(J465,'HOURLY RATES'!B$116:C$124,2,0)=0,$J$3,VLOOKUP(J465,'HOURLY RATES'!B$116:C$124,2,0))</f>
        <v>0.05</v>
      </c>
      <c r="I465" s="317">
        <f t="shared" si="354"/>
        <v>11058.411</v>
      </c>
      <c r="J465" s="192" t="s">
        <v>17</v>
      </c>
      <c r="K465" s="382">
        <v>1.0999999999999999E-2</v>
      </c>
      <c r="L465" s="228">
        <f t="shared" si="355"/>
        <v>121.64252099999999</v>
      </c>
      <c r="M465" s="194">
        <f>IF(VLOOKUP(E465,'HOURLY RATES'!C$6:D$105,2,0)=0,$E$3,VLOOKUP(E465,'HOURLY RATES'!C$6:D$105,2,0))</f>
        <v>38.508412499999999</v>
      </c>
      <c r="N465" s="206">
        <f t="shared" si="356"/>
        <v>4684.2603762079116</v>
      </c>
      <c r="O465" s="377">
        <v>0.54</v>
      </c>
      <c r="P465" s="197">
        <f t="shared" si="357"/>
        <v>5971.5419400000001</v>
      </c>
      <c r="Q465" s="198">
        <f t="shared" si="358"/>
        <v>10655.802316207912</v>
      </c>
      <c r="R465" s="199"/>
      <c r="X465" s="257"/>
    </row>
    <row r="466" spans="1:24" s="12" customFormat="1" x14ac:dyDescent="0.2">
      <c r="A466" s="209">
        <f>IF(J466&lt;&gt;"",1+MAX($A$18:A465),"")</f>
        <v>318</v>
      </c>
      <c r="B466" s="210" t="s">
        <v>463</v>
      </c>
      <c r="C466" s="210" t="s">
        <v>464</v>
      </c>
      <c r="D466" s="210" t="s">
        <v>21</v>
      </c>
      <c r="E466" s="255" t="s">
        <v>146</v>
      </c>
      <c r="F466" s="250" t="s">
        <v>443</v>
      </c>
      <c r="G466" s="310">
        <f>(G463/1.33)+ (129*2)</f>
        <v>867.12781954887214</v>
      </c>
      <c r="H466" s="205">
        <f>IF(VLOOKUP(J466,'HOURLY RATES'!B$116:C$124,2,0)=0,$J$3,VLOOKUP(J466,'HOURLY RATES'!B$116:C$124,2,0))</f>
        <v>0</v>
      </c>
      <c r="I466" s="317">
        <f t="shared" si="354"/>
        <v>867.12781954887214</v>
      </c>
      <c r="J466" s="192" t="s">
        <v>16</v>
      </c>
      <c r="K466" s="382">
        <f>0.064*14</f>
        <v>0.89600000000000002</v>
      </c>
      <c r="L466" s="228">
        <f t="shared" si="355"/>
        <v>776.94652631578947</v>
      </c>
      <c r="M466" s="194">
        <f>IF(VLOOKUP(E466,'HOURLY RATES'!C$6:D$105,2,0)=0,$E$3,VLOOKUP(E466,'HOURLY RATES'!C$6:D$105,2,0))</f>
        <v>38.508412499999999</v>
      </c>
      <c r="N466" s="206">
        <f t="shared" si="356"/>
        <v>29918.977325810523</v>
      </c>
      <c r="O466" s="377">
        <f>1.13*20/22*14</f>
        <v>14.381818181818179</v>
      </c>
      <c r="P466" s="197">
        <f t="shared" si="357"/>
        <v>12470.874641148323</v>
      </c>
      <c r="Q466" s="198">
        <f t="shared" si="358"/>
        <v>42389.851966958842</v>
      </c>
      <c r="R466" s="199"/>
      <c r="X466" s="257"/>
    </row>
    <row r="467" spans="1:24" s="12" customFormat="1" x14ac:dyDescent="0.2">
      <c r="A467" s="209">
        <f>IF(J467&lt;&gt;"",1+MAX($A$18:A466),"")</f>
        <v>319</v>
      </c>
      <c r="B467" s="210" t="s">
        <v>463</v>
      </c>
      <c r="C467" s="210" t="s">
        <v>464</v>
      </c>
      <c r="D467" s="210" t="s">
        <v>21</v>
      </c>
      <c r="E467" s="255" t="s">
        <v>146</v>
      </c>
      <c r="F467" s="250" t="s">
        <v>441</v>
      </c>
      <c r="G467" s="310">
        <f>G463</f>
        <v>810.14</v>
      </c>
      <c r="H467" s="205">
        <f>IF(VLOOKUP(J467,'HOURLY RATES'!B$116:C$124,2,0)=0,$J$3,VLOOKUP(J467,'HOURLY RATES'!B$116:C$124,2,0))</f>
        <v>0.05</v>
      </c>
      <c r="I467" s="317">
        <f t="shared" si="354"/>
        <v>850.64700000000005</v>
      </c>
      <c r="J467" s="192" t="s">
        <v>19</v>
      </c>
      <c r="K467" s="382">
        <v>6.4000000000000001E-2</v>
      </c>
      <c r="L467" s="228">
        <f t="shared" si="355"/>
        <v>54.441408000000003</v>
      </c>
      <c r="M467" s="194">
        <f>IF(VLOOKUP(E467,'HOURLY RATES'!C$6:D$105,2,0)=0,$E$3,VLOOKUP(E467,'HOURLY RATES'!C$6:D$105,2,0))</f>
        <v>38.508412499999999</v>
      </c>
      <c r="N467" s="206">
        <f t="shared" si="356"/>
        <v>2096.4521963448001</v>
      </c>
      <c r="O467" s="377">
        <f>1.13*20/22</f>
        <v>1.0272727272727271</v>
      </c>
      <c r="P467" s="197">
        <f t="shared" si="357"/>
        <v>873.84646363636352</v>
      </c>
      <c r="Q467" s="198">
        <f t="shared" si="358"/>
        <v>2970.2986599811638</v>
      </c>
      <c r="R467" s="199"/>
      <c r="X467" s="257"/>
    </row>
    <row r="468" spans="1:24" s="12" customFormat="1" x14ac:dyDescent="0.2">
      <c r="A468" s="209">
        <f>IF(J468&lt;&gt;"",1+MAX($A$18:A467),"")</f>
        <v>320</v>
      </c>
      <c r="B468" s="210" t="s">
        <v>463</v>
      </c>
      <c r="C468" s="210" t="s">
        <v>464</v>
      </c>
      <c r="D468" s="210" t="s">
        <v>21</v>
      </c>
      <c r="E468" s="255" t="s">
        <v>146</v>
      </c>
      <c r="F468" s="250" t="s">
        <v>442</v>
      </c>
      <c r="G468" s="310">
        <f>G463</f>
        <v>810.14</v>
      </c>
      <c r="H468" s="205">
        <f>IF(VLOOKUP(J468,'HOURLY RATES'!B$116:C$124,2,0)=0,$J$3,VLOOKUP(J468,'HOURLY RATES'!B$116:C$124,2,0))</f>
        <v>0.05</v>
      </c>
      <c r="I468" s="317">
        <f t="shared" si="354"/>
        <v>850.64700000000005</v>
      </c>
      <c r="J468" s="192" t="s">
        <v>19</v>
      </c>
      <c r="K468" s="382">
        <v>6.4000000000000001E-2</v>
      </c>
      <c r="L468" s="228">
        <f t="shared" si="355"/>
        <v>54.441408000000003</v>
      </c>
      <c r="M468" s="194">
        <f>IF(VLOOKUP(E468,'HOURLY RATES'!C$6:D$105,2,0)=0,$E$3,VLOOKUP(E468,'HOURLY RATES'!C$6:D$105,2,0))</f>
        <v>38.508412499999999</v>
      </c>
      <c r="N468" s="206">
        <f t="shared" si="356"/>
        <v>2096.4521963448001</v>
      </c>
      <c r="O468" s="377">
        <f>1.13*20/22</f>
        <v>1.0272727272727271</v>
      </c>
      <c r="P468" s="197">
        <f t="shared" si="357"/>
        <v>873.84646363636352</v>
      </c>
      <c r="Q468" s="198">
        <f t="shared" si="358"/>
        <v>2970.2986599811638</v>
      </c>
      <c r="R468" s="199"/>
      <c r="X468" s="257"/>
    </row>
    <row r="469" spans="1:24" s="12" customFormat="1" x14ac:dyDescent="0.2">
      <c r="A469" s="209">
        <f>IF(J469&lt;&gt;"",1+MAX($A$18:A468),"")</f>
        <v>321</v>
      </c>
      <c r="B469" s="210" t="s">
        <v>463</v>
      </c>
      <c r="C469" s="210" t="s">
        <v>464</v>
      </c>
      <c r="D469" s="210" t="s">
        <v>21</v>
      </c>
      <c r="E469" s="255" t="s">
        <v>146</v>
      </c>
      <c r="F469" s="250" t="s">
        <v>426</v>
      </c>
      <c r="G469" s="310">
        <f>(13/4)*G463</f>
        <v>2632.9549999999999</v>
      </c>
      <c r="H469" s="205">
        <f>IF(VLOOKUP(J469,'HOURLY RATES'!B$116:C$124,2,0)=0,$J$3,VLOOKUP(J469,'HOURLY RATES'!B$116:C$124,2,0))</f>
        <v>0.05</v>
      </c>
      <c r="I469" s="317">
        <f t="shared" si="354"/>
        <v>2764.60275</v>
      </c>
      <c r="J469" s="192" t="s">
        <v>19</v>
      </c>
      <c r="K469" s="382">
        <v>0.05</v>
      </c>
      <c r="L469" s="228">
        <f t="shared" si="355"/>
        <v>138.23013750000001</v>
      </c>
      <c r="M469" s="194">
        <f>IF(VLOOKUP(E469,'HOURLY RATES'!C$6:D$105,2,0)=0,$E$3,VLOOKUP(E469,'HOURLY RATES'!C$6:D$105,2,0))</f>
        <v>38.508412499999999</v>
      </c>
      <c r="N469" s="206">
        <f t="shared" si="356"/>
        <v>5323.0231547817193</v>
      </c>
      <c r="O469" s="377">
        <f>11.49/12</f>
        <v>0.95750000000000002</v>
      </c>
      <c r="P469" s="197">
        <f t="shared" si="357"/>
        <v>2647.107133125</v>
      </c>
      <c r="Q469" s="198">
        <f t="shared" si="358"/>
        <v>7970.1302879067189</v>
      </c>
      <c r="R469" s="199"/>
      <c r="X469" s="257"/>
    </row>
    <row r="470" spans="1:24" s="12" customFormat="1" x14ac:dyDescent="0.2">
      <c r="A470" s="209">
        <f>IF(J470&lt;&gt;"",1+MAX($A$18:A469),"")</f>
        <v>322</v>
      </c>
      <c r="B470" s="210" t="s">
        <v>463</v>
      </c>
      <c r="C470" s="210" t="s">
        <v>464</v>
      </c>
      <c r="D470" s="210" t="s">
        <v>21</v>
      </c>
      <c r="E470" s="255" t="s">
        <v>270</v>
      </c>
      <c r="F470" s="250" t="s">
        <v>180</v>
      </c>
      <c r="G470" s="310">
        <f>G463*4</f>
        <v>3240.56</v>
      </c>
      <c r="H470" s="205">
        <f>IF(VLOOKUP(J470,'HOURLY RATES'!B$116:C$124,2,0)=0,$J$3,VLOOKUP(J470,'HOURLY RATES'!B$116:C$124,2,0))</f>
        <v>0.05</v>
      </c>
      <c r="I470" s="317">
        <f t="shared" si="354"/>
        <v>3402.5880000000002</v>
      </c>
      <c r="J470" s="192" t="s">
        <v>19</v>
      </c>
      <c r="K470" s="382">
        <v>1.6E-2</v>
      </c>
      <c r="L470" s="228">
        <f t="shared" si="355"/>
        <v>54.441408000000003</v>
      </c>
      <c r="M470" s="194">
        <f>IF(VLOOKUP(E470,'HOURLY RATES'!C$6:D$105,2,0)=0,$E$3,VLOOKUP(E470,'HOURLY RATES'!C$6:D$105,2,0))</f>
        <v>66.337424999999996</v>
      </c>
      <c r="N470" s="206">
        <f t="shared" si="356"/>
        <v>3611.5028200943998</v>
      </c>
      <c r="O470" s="377">
        <v>0.05</v>
      </c>
      <c r="P470" s="197">
        <f t="shared" si="357"/>
        <v>170.12940000000003</v>
      </c>
      <c r="Q470" s="198">
        <f t="shared" si="358"/>
        <v>3781.6322200943996</v>
      </c>
      <c r="R470" s="199"/>
      <c r="X470" s="257"/>
    </row>
    <row r="471" spans="1:24" s="12" customFormat="1" x14ac:dyDescent="0.2">
      <c r="A471" s="209" t="str">
        <f>IF(J471&lt;&gt;"",1+MAX($A$18:A470),"")</f>
        <v/>
      </c>
      <c r="B471" s="210"/>
      <c r="C471" s="210"/>
      <c r="D471" s="210"/>
      <c r="E471" s="255"/>
      <c r="F471" s="250"/>
      <c r="G471" s="310"/>
      <c r="H471" s="205"/>
      <c r="I471" s="317"/>
      <c r="J471" s="192"/>
      <c r="K471" s="382"/>
      <c r="L471" s="228"/>
      <c r="M471" s="194"/>
      <c r="N471" s="206"/>
      <c r="O471" s="377"/>
      <c r="P471" s="197"/>
      <c r="Q471" s="198"/>
      <c r="R471" s="199"/>
      <c r="X471" s="257"/>
    </row>
    <row r="472" spans="1:24" s="12" customFormat="1" x14ac:dyDescent="0.2">
      <c r="A472" s="209">
        <f>IF(J472&lt;&gt;"",1+MAX($A$18:A471),"")</f>
        <v>323</v>
      </c>
      <c r="B472" s="210"/>
      <c r="C472" s="210"/>
      <c r="D472" s="210"/>
      <c r="E472" s="255"/>
      <c r="F472" s="219" t="s">
        <v>448</v>
      </c>
      <c r="G472" s="311">
        <v>192.38</v>
      </c>
      <c r="H472" s="205">
        <f>IF(VLOOKUP(J472,'HOURLY RATES'!B$116:C$124,2,0)=0,$J$3,VLOOKUP(J472,'HOURLY RATES'!B$116:C$124,2,0))</f>
        <v>0.05</v>
      </c>
      <c r="I472" s="317">
        <f t="shared" ref="I472:I479" si="359">(G472*(1+H472))</f>
        <v>201.999</v>
      </c>
      <c r="J472" s="192" t="s">
        <v>19</v>
      </c>
      <c r="K472" s="382"/>
      <c r="L472" s="228"/>
      <c r="M472" s="194"/>
      <c r="N472" s="206"/>
      <c r="O472" s="377"/>
      <c r="P472" s="197"/>
      <c r="Q472" s="198"/>
      <c r="R472" s="199"/>
      <c r="X472" s="257"/>
    </row>
    <row r="473" spans="1:24" s="12" customFormat="1" x14ac:dyDescent="0.2">
      <c r="A473" s="209">
        <f>IF(J473&lt;&gt;"",1+MAX($A$18:A472),"")</f>
        <v>324</v>
      </c>
      <c r="B473" s="210" t="s">
        <v>463</v>
      </c>
      <c r="C473" s="210" t="s">
        <v>464</v>
      </c>
      <c r="D473" s="210" t="s">
        <v>21</v>
      </c>
      <c r="E473" s="255" t="s">
        <v>133</v>
      </c>
      <c r="F473" s="250" t="s">
        <v>746</v>
      </c>
      <c r="G473" s="310">
        <f>(G472*13*2/32)</f>
        <v>156.30875</v>
      </c>
      <c r="H473" s="205">
        <f>IF(VLOOKUP(J473,'HOURLY RATES'!B$116:C$124,2,0)=0,$J$3,VLOOKUP(J473,'HOURLY RATES'!B$116:C$124,2,0))</f>
        <v>0</v>
      </c>
      <c r="I473" s="317">
        <f t="shared" si="359"/>
        <v>156.30875</v>
      </c>
      <c r="J473" s="192" t="s">
        <v>16</v>
      </c>
      <c r="K473" s="382">
        <f>0.019*32</f>
        <v>0.60799999999999998</v>
      </c>
      <c r="L473" s="228">
        <f t="shared" ref="L473:L479" si="360">K473*I473</f>
        <v>95.035719999999998</v>
      </c>
      <c r="M473" s="194">
        <f>IF(VLOOKUP(E473,'HOURLY RATES'!C$6:D$105,2,0)=0,$E$3,VLOOKUP(E473,'HOURLY RATES'!C$6:D$105,2,0))</f>
        <v>38.508412499999999</v>
      </c>
      <c r="N473" s="206">
        <f t="shared" ref="N473:N479" si="361">M473*L473</f>
        <v>3659.6747079944998</v>
      </c>
      <c r="O473" s="377">
        <v>15.94</v>
      </c>
      <c r="P473" s="197">
        <f t="shared" ref="P473:P479" si="362">O473*I473</f>
        <v>2491.561475</v>
      </c>
      <c r="Q473" s="198">
        <f t="shared" ref="Q473:Q479" si="363">P473+N473</f>
        <v>6151.2361829945003</v>
      </c>
      <c r="R473" s="199"/>
      <c r="X473" s="257"/>
    </row>
    <row r="474" spans="1:24" s="12" customFormat="1" x14ac:dyDescent="0.2">
      <c r="A474" s="209">
        <f>IF(J474&lt;&gt;"",1+MAX($A$18:A473),"")</f>
        <v>325</v>
      </c>
      <c r="B474" s="210" t="s">
        <v>463</v>
      </c>
      <c r="C474" s="210" t="s">
        <v>464</v>
      </c>
      <c r="D474" s="210" t="s">
        <v>21</v>
      </c>
      <c r="E474" s="255" t="s">
        <v>63</v>
      </c>
      <c r="F474" s="250" t="s">
        <v>449</v>
      </c>
      <c r="G474" s="310">
        <f>G472*13</f>
        <v>2500.94</v>
      </c>
      <c r="H474" s="205">
        <f>IF(VLOOKUP(J474,'HOURLY RATES'!B$116:C$124,2,0)=0,$J$3,VLOOKUP(J474,'HOURLY RATES'!B$116:C$124,2,0))</f>
        <v>0.05</v>
      </c>
      <c r="I474" s="317">
        <f t="shared" si="359"/>
        <v>2625.9870000000001</v>
      </c>
      <c r="J474" s="192" t="s">
        <v>17</v>
      </c>
      <c r="K474" s="382">
        <v>1.0999999999999999E-2</v>
      </c>
      <c r="L474" s="228">
        <f t="shared" si="360"/>
        <v>28.885856999999998</v>
      </c>
      <c r="M474" s="194">
        <f>IF(VLOOKUP(E474,'HOURLY RATES'!C$6:D$105,2,0)=0,$E$3,VLOOKUP(E474,'HOURLY RATES'!C$6:D$105,2,0))</f>
        <v>38.508412499999999</v>
      </c>
      <c r="N474" s="206">
        <f t="shared" si="361"/>
        <v>1112.3484967720124</v>
      </c>
      <c r="O474" s="377">
        <f>2.27*3.5/2</f>
        <v>3.9725000000000001</v>
      </c>
      <c r="P474" s="197">
        <f t="shared" si="362"/>
        <v>10431.733357500001</v>
      </c>
      <c r="Q474" s="198">
        <f t="shared" si="363"/>
        <v>11544.081854272014</v>
      </c>
      <c r="R474" s="199"/>
      <c r="X474" s="257"/>
    </row>
    <row r="475" spans="1:24" s="12" customFormat="1" x14ac:dyDescent="0.2">
      <c r="A475" s="209">
        <f>IF(J475&lt;&gt;"",1+MAX($A$18:A474),"")</f>
        <v>326</v>
      </c>
      <c r="B475" s="210" t="s">
        <v>463</v>
      </c>
      <c r="C475" s="210" t="s">
        <v>464</v>
      </c>
      <c r="D475" s="210" t="s">
        <v>21</v>
      </c>
      <c r="E475" s="255" t="s">
        <v>146</v>
      </c>
      <c r="F475" s="250" t="s">
        <v>443</v>
      </c>
      <c r="G475" s="310">
        <f>(G472/1.33)+ (27*2)</f>
        <v>198.64661654135338</v>
      </c>
      <c r="H475" s="205">
        <f>IF(VLOOKUP(J475,'HOURLY RATES'!B$116:C$124,2,0)=0,$J$3,VLOOKUP(J475,'HOURLY RATES'!B$116:C$124,2,0))</f>
        <v>0</v>
      </c>
      <c r="I475" s="317">
        <f t="shared" si="359"/>
        <v>198.64661654135338</v>
      </c>
      <c r="J475" s="192" t="s">
        <v>16</v>
      </c>
      <c r="K475" s="382">
        <f>0.064*14</f>
        <v>0.89600000000000002</v>
      </c>
      <c r="L475" s="228">
        <f t="shared" si="360"/>
        <v>177.98736842105262</v>
      </c>
      <c r="M475" s="194">
        <f>IF(VLOOKUP(E475,'HOURLY RATES'!C$6:D$105,2,0)=0,$E$3,VLOOKUP(E475,'HOURLY RATES'!C$6:D$105,2,0))</f>
        <v>38.508412499999999</v>
      </c>
      <c r="N475" s="206">
        <f t="shared" si="361"/>
        <v>6854.0110029473681</v>
      </c>
      <c r="O475" s="377">
        <f>1.13*20/22*14</f>
        <v>14.381818181818179</v>
      </c>
      <c r="P475" s="197">
        <f t="shared" si="362"/>
        <v>2856.8995215310997</v>
      </c>
      <c r="Q475" s="198">
        <f t="shared" si="363"/>
        <v>9710.9105244784678</v>
      </c>
      <c r="R475" s="199"/>
      <c r="X475" s="257"/>
    </row>
    <row r="476" spans="1:24" s="12" customFormat="1" x14ac:dyDescent="0.2">
      <c r="A476" s="209">
        <f>IF(J476&lt;&gt;"",1+MAX($A$18:A475),"")</f>
        <v>327</v>
      </c>
      <c r="B476" s="210" t="s">
        <v>463</v>
      </c>
      <c r="C476" s="210" t="s">
        <v>464</v>
      </c>
      <c r="D476" s="210" t="s">
        <v>21</v>
      </c>
      <c r="E476" s="255" t="s">
        <v>146</v>
      </c>
      <c r="F476" s="250" t="s">
        <v>441</v>
      </c>
      <c r="G476" s="310">
        <f>G472</f>
        <v>192.38</v>
      </c>
      <c r="H476" s="205">
        <f>IF(VLOOKUP(J476,'HOURLY RATES'!B$116:C$124,2,0)=0,$J$3,VLOOKUP(J476,'HOURLY RATES'!B$116:C$124,2,0))</f>
        <v>0.05</v>
      </c>
      <c r="I476" s="317">
        <f t="shared" si="359"/>
        <v>201.999</v>
      </c>
      <c r="J476" s="192" t="s">
        <v>19</v>
      </c>
      <c r="K476" s="382">
        <v>6.4000000000000001E-2</v>
      </c>
      <c r="L476" s="228">
        <f t="shared" si="360"/>
        <v>12.927936000000001</v>
      </c>
      <c r="M476" s="194">
        <f>IF(VLOOKUP(E476,'HOURLY RATES'!C$6:D$105,2,0)=0,$E$3,VLOOKUP(E476,'HOURLY RATES'!C$6:D$105,2,0))</f>
        <v>38.508412499999999</v>
      </c>
      <c r="N476" s="206">
        <f t="shared" si="361"/>
        <v>497.83429226160001</v>
      </c>
      <c r="O476" s="377">
        <f>1.13*20/22</f>
        <v>1.0272727272727271</v>
      </c>
      <c r="P476" s="197">
        <f t="shared" si="362"/>
        <v>207.5080636363636</v>
      </c>
      <c r="Q476" s="198">
        <f t="shared" si="363"/>
        <v>705.34235589796367</v>
      </c>
      <c r="R476" s="199"/>
      <c r="X476" s="257"/>
    </row>
    <row r="477" spans="1:24" s="12" customFormat="1" x14ac:dyDescent="0.2">
      <c r="A477" s="209">
        <f>IF(J477&lt;&gt;"",1+MAX($A$18:A476),"")</f>
        <v>328</v>
      </c>
      <c r="B477" s="210" t="s">
        <v>463</v>
      </c>
      <c r="C477" s="210" t="s">
        <v>464</v>
      </c>
      <c r="D477" s="210" t="s">
        <v>21</v>
      </c>
      <c r="E477" s="255" t="s">
        <v>146</v>
      </c>
      <c r="F477" s="250" t="s">
        <v>442</v>
      </c>
      <c r="G477" s="310">
        <f>G472</f>
        <v>192.38</v>
      </c>
      <c r="H477" s="205">
        <f>IF(VLOOKUP(J477,'HOURLY RATES'!B$116:C$124,2,0)=0,$J$3,VLOOKUP(J477,'HOURLY RATES'!B$116:C$124,2,0))</f>
        <v>0.05</v>
      </c>
      <c r="I477" s="317">
        <f t="shared" si="359"/>
        <v>201.999</v>
      </c>
      <c r="J477" s="192" t="s">
        <v>19</v>
      </c>
      <c r="K477" s="382">
        <v>6.4000000000000001E-2</v>
      </c>
      <c r="L477" s="228">
        <f t="shared" si="360"/>
        <v>12.927936000000001</v>
      </c>
      <c r="M477" s="194">
        <f>IF(VLOOKUP(E477,'HOURLY RATES'!C$6:D$105,2,0)=0,$E$3,VLOOKUP(E477,'HOURLY RATES'!C$6:D$105,2,0))</f>
        <v>38.508412499999999</v>
      </c>
      <c r="N477" s="206">
        <f t="shared" si="361"/>
        <v>497.83429226160001</v>
      </c>
      <c r="O477" s="377">
        <f>1.13*20/22</f>
        <v>1.0272727272727271</v>
      </c>
      <c r="P477" s="197">
        <f t="shared" si="362"/>
        <v>207.5080636363636</v>
      </c>
      <c r="Q477" s="198">
        <f t="shared" si="363"/>
        <v>705.34235589796367</v>
      </c>
      <c r="R477" s="199"/>
      <c r="X477" s="257"/>
    </row>
    <row r="478" spans="1:24" s="12" customFormat="1" x14ac:dyDescent="0.2">
      <c r="A478" s="209">
        <f>IF(J478&lt;&gt;"",1+MAX($A$18:A477),"")</f>
        <v>329</v>
      </c>
      <c r="B478" s="210" t="s">
        <v>463</v>
      </c>
      <c r="C478" s="210" t="s">
        <v>464</v>
      </c>
      <c r="D478" s="210" t="s">
        <v>21</v>
      </c>
      <c r="E478" s="255" t="s">
        <v>146</v>
      </c>
      <c r="F478" s="250" t="s">
        <v>426</v>
      </c>
      <c r="G478" s="310">
        <f>(13/4)*G472</f>
        <v>625.23500000000001</v>
      </c>
      <c r="H478" s="205">
        <f>IF(VLOOKUP(J478,'HOURLY RATES'!B$116:C$124,2,0)=0,$J$3,VLOOKUP(J478,'HOURLY RATES'!B$116:C$124,2,0))</f>
        <v>0.05</v>
      </c>
      <c r="I478" s="317">
        <f t="shared" si="359"/>
        <v>656.49675000000002</v>
      </c>
      <c r="J478" s="192" t="s">
        <v>19</v>
      </c>
      <c r="K478" s="382">
        <v>0.05</v>
      </c>
      <c r="L478" s="228">
        <f t="shared" si="360"/>
        <v>32.824837500000001</v>
      </c>
      <c r="M478" s="194">
        <f>IF(VLOOKUP(E478,'HOURLY RATES'!C$6:D$105,2,0)=0,$E$3,VLOOKUP(E478,'HOURLY RATES'!C$6:D$105,2,0))</f>
        <v>38.508412499999999</v>
      </c>
      <c r="N478" s="206">
        <f t="shared" si="361"/>
        <v>1264.0323826954686</v>
      </c>
      <c r="O478" s="377">
        <f>11.49/12</f>
        <v>0.95750000000000002</v>
      </c>
      <c r="P478" s="197">
        <f t="shared" si="362"/>
        <v>628.59563812500005</v>
      </c>
      <c r="Q478" s="198">
        <f t="shared" si="363"/>
        <v>1892.6280208204687</v>
      </c>
      <c r="R478" s="199"/>
      <c r="X478" s="257"/>
    </row>
    <row r="479" spans="1:24" s="12" customFormat="1" x14ac:dyDescent="0.2">
      <c r="A479" s="209">
        <f>IF(J479&lt;&gt;"",1+MAX($A$18:A478),"")</f>
        <v>330</v>
      </c>
      <c r="B479" s="210" t="s">
        <v>463</v>
      </c>
      <c r="C479" s="210" t="s">
        <v>464</v>
      </c>
      <c r="D479" s="210" t="s">
        <v>21</v>
      </c>
      <c r="E479" s="255" t="s">
        <v>270</v>
      </c>
      <c r="F479" s="250" t="s">
        <v>180</v>
      </c>
      <c r="G479" s="310">
        <f>G472*4</f>
        <v>769.52</v>
      </c>
      <c r="H479" s="205">
        <f>IF(VLOOKUP(J479,'HOURLY RATES'!B$116:C$124,2,0)=0,$J$3,VLOOKUP(J479,'HOURLY RATES'!B$116:C$124,2,0))</f>
        <v>0.05</v>
      </c>
      <c r="I479" s="317">
        <f t="shared" si="359"/>
        <v>807.99599999999998</v>
      </c>
      <c r="J479" s="192" t="s">
        <v>19</v>
      </c>
      <c r="K479" s="382">
        <v>1.6E-2</v>
      </c>
      <c r="L479" s="228">
        <f t="shared" si="360"/>
        <v>12.927936000000001</v>
      </c>
      <c r="M479" s="194">
        <f>IF(VLOOKUP(E479,'HOURLY RATES'!C$6:D$105,2,0)=0,$E$3,VLOOKUP(E479,'HOURLY RATES'!C$6:D$105,2,0))</f>
        <v>66.337424999999996</v>
      </c>
      <c r="N479" s="206">
        <f t="shared" si="361"/>
        <v>857.60598480479996</v>
      </c>
      <c r="O479" s="377">
        <v>0.05</v>
      </c>
      <c r="P479" s="197">
        <f t="shared" si="362"/>
        <v>40.399799999999999</v>
      </c>
      <c r="Q479" s="198">
        <f t="shared" si="363"/>
        <v>898.00578480479999</v>
      </c>
      <c r="R479" s="199"/>
      <c r="X479" s="257"/>
    </row>
    <row r="480" spans="1:24" s="12" customFormat="1" x14ac:dyDescent="0.2">
      <c r="A480" s="209" t="str">
        <f>IF(J480&lt;&gt;"",1+MAX($A$18:A479),"")</f>
        <v/>
      </c>
      <c r="B480" s="210"/>
      <c r="C480" s="210"/>
      <c r="D480" s="210"/>
      <c r="E480" s="255"/>
      <c r="F480" s="250"/>
      <c r="G480" s="310"/>
      <c r="H480" s="205"/>
      <c r="I480" s="317"/>
      <c r="J480" s="192"/>
      <c r="K480" s="382"/>
      <c r="L480" s="228"/>
      <c r="M480" s="194"/>
      <c r="N480" s="206"/>
      <c r="O480" s="377"/>
      <c r="P480" s="197"/>
      <c r="Q480" s="198"/>
      <c r="R480" s="199"/>
      <c r="X480" s="257"/>
    </row>
    <row r="481" spans="1:24" s="12" customFormat="1" x14ac:dyDescent="0.2">
      <c r="A481" s="209">
        <f>IF(J481&lt;&gt;"",1+MAX($A$18:A480),"")</f>
        <v>331</v>
      </c>
      <c r="B481" s="210"/>
      <c r="C481" s="210"/>
      <c r="D481" s="210"/>
      <c r="E481" s="255"/>
      <c r="F481" s="219" t="s">
        <v>450</v>
      </c>
      <c r="G481" s="311">
        <v>7.57</v>
      </c>
      <c r="H481" s="205">
        <f>IF(VLOOKUP(J481,'HOURLY RATES'!B$116:C$124,2,0)=0,$J$3,VLOOKUP(J481,'HOURLY RATES'!B$116:C$124,2,0))</f>
        <v>0.05</v>
      </c>
      <c r="I481" s="317">
        <f t="shared" ref="I481:I488" si="364">(G481*(1+H481))</f>
        <v>7.948500000000001</v>
      </c>
      <c r="J481" s="192" t="s">
        <v>19</v>
      </c>
      <c r="K481" s="382"/>
      <c r="L481" s="228"/>
      <c r="M481" s="194"/>
      <c r="N481" s="206"/>
      <c r="O481" s="377"/>
      <c r="P481" s="197"/>
      <c r="Q481" s="198"/>
      <c r="R481" s="199"/>
      <c r="X481" s="257"/>
    </row>
    <row r="482" spans="1:24" s="12" customFormat="1" x14ac:dyDescent="0.2">
      <c r="A482" s="209">
        <f>IF(J482&lt;&gt;"",1+MAX($A$18:A481),"")</f>
        <v>332</v>
      </c>
      <c r="B482" s="210" t="s">
        <v>463</v>
      </c>
      <c r="C482" s="210" t="s">
        <v>464</v>
      </c>
      <c r="D482" s="210" t="s">
        <v>21</v>
      </c>
      <c r="E482" s="255" t="s">
        <v>133</v>
      </c>
      <c r="F482" s="250" t="s">
        <v>446</v>
      </c>
      <c r="G482" s="310">
        <f>(G481*13*2/32)</f>
        <v>6.1506249999999998</v>
      </c>
      <c r="H482" s="205">
        <f>IF(VLOOKUP(J482,'HOURLY RATES'!B$116:C$124,2,0)=0,$J$3,VLOOKUP(J482,'HOURLY RATES'!B$116:C$124,2,0))</f>
        <v>0</v>
      </c>
      <c r="I482" s="317">
        <f t="shared" si="364"/>
        <v>6.1506249999999998</v>
      </c>
      <c r="J482" s="192" t="s">
        <v>16</v>
      </c>
      <c r="K482" s="382">
        <f>0.019*32</f>
        <v>0.60799999999999998</v>
      </c>
      <c r="L482" s="228">
        <f t="shared" ref="L482:L488" si="365">K482*I482</f>
        <v>3.7395799999999997</v>
      </c>
      <c r="M482" s="194">
        <f>IF(VLOOKUP(E482,'HOURLY RATES'!C$6:D$105,2,0)=0,$E$3,VLOOKUP(E482,'HOURLY RATES'!C$6:D$105,2,0))</f>
        <v>38.508412499999999</v>
      </c>
      <c r="N482" s="206">
        <f t="shared" ref="N482:N488" si="366">M482*L482</f>
        <v>144.00528921674999</v>
      </c>
      <c r="O482" s="377">
        <v>12.28</v>
      </c>
      <c r="P482" s="197">
        <f t="shared" ref="P482:P488" si="367">O482*I482</f>
        <v>75.529674999999997</v>
      </c>
      <c r="Q482" s="198">
        <f t="shared" ref="Q482:Q488" si="368">P482+N482</f>
        <v>219.53496421674998</v>
      </c>
      <c r="R482" s="199"/>
      <c r="X482" s="257"/>
    </row>
    <row r="483" spans="1:24" s="12" customFormat="1" x14ac:dyDescent="0.2">
      <c r="A483" s="209">
        <f>IF(J483&lt;&gt;"",1+MAX($A$18:A482),"")</f>
        <v>333</v>
      </c>
      <c r="B483" s="210" t="s">
        <v>463</v>
      </c>
      <c r="C483" s="210" t="s">
        <v>464</v>
      </c>
      <c r="D483" s="210" t="s">
        <v>21</v>
      </c>
      <c r="E483" s="255" t="s">
        <v>63</v>
      </c>
      <c r="F483" s="250" t="s">
        <v>440</v>
      </c>
      <c r="G483" s="310">
        <f>G481*13*2</f>
        <v>196.82</v>
      </c>
      <c r="H483" s="205">
        <f>IF(VLOOKUP(J483,'HOURLY RATES'!B$116:C$124,2,0)=0,$J$3,VLOOKUP(J483,'HOURLY RATES'!B$116:C$124,2,0))</f>
        <v>0.05</v>
      </c>
      <c r="I483" s="317">
        <f t="shared" si="364"/>
        <v>206.661</v>
      </c>
      <c r="J483" s="192" t="s">
        <v>17</v>
      </c>
      <c r="K483" s="382">
        <v>1.0999999999999999E-2</v>
      </c>
      <c r="L483" s="228">
        <f t="shared" si="365"/>
        <v>2.2732709999999998</v>
      </c>
      <c r="M483" s="194">
        <f>IF(VLOOKUP(E483,'HOURLY RATES'!C$6:D$105,2,0)=0,$E$3,VLOOKUP(E483,'HOURLY RATES'!C$6:D$105,2,0))</f>
        <v>38.508412499999999</v>
      </c>
      <c r="N483" s="206">
        <f t="shared" si="366"/>
        <v>87.540057392287494</v>
      </c>
      <c r="O483" s="377">
        <v>0.54</v>
      </c>
      <c r="P483" s="197">
        <f t="shared" si="367"/>
        <v>111.59694</v>
      </c>
      <c r="Q483" s="198">
        <f t="shared" si="368"/>
        <v>199.1369973922875</v>
      </c>
      <c r="R483" s="199"/>
      <c r="X483" s="257"/>
    </row>
    <row r="484" spans="1:24" s="12" customFormat="1" x14ac:dyDescent="0.2">
      <c r="A484" s="209">
        <f>IF(J484&lt;&gt;"",1+MAX($A$18:A483),"")</f>
        <v>334</v>
      </c>
      <c r="B484" s="210" t="s">
        <v>463</v>
      </c>
      <c r="C484" s="210" t="s">
        <v>464</v>
      </c>
      <c r="D484" s="210" t="s">
        <v>21</v>
      </c>
      <c r="E484" s="255" t="s">
        <v>146</v>
      </c>
      <c r="F484" s="250" t="s">
        <v>451</v>
      </c>
      <c r="G484" s="310">
        <f>((G481/1.33)+ (2*2))*2</f>
        <v>19.383458646616539</v>
      </c>
      <c r="H484" s="205">
        <f>IF(VLOOKUP(J484,'HOURLY RATES'!B$116:C$124,2,0)=0,$J$3,VLOOKUP(J484,'HOURLY RATES'!B$116:C$124,2,0))</f>
        <v>0</v>
      </c>
      <c r="I484" s="317">
        <f t="shared" si="364"/>
        <v>19.383458646616539</v>
      </c>
      <c r="J484" s="192" t="s">
        <v>16</v>
      </c>
      <c r="K484" s="382">
        <f>0.064*14</f>
        <v>0.89600000000000002</v>
      </c>
      <c r="L484" s="228">
        <f t="shared" si="365"/>
        <v>17.367578947368418</v>
      </c>
      <c r="M484" s="194">
        <f>IF(VLOOKUP(E484,'HOURLY RATES'!C$6:D$105,2,0)=0,$E$3,VLOOKUP(E484,'HOURLY RATES'!C$6:D$105,2,0))</f>
        <v>38.508412499999999</v>
      </c>
      <c r="N484" s="206">
        <f t="shared" si="366"/>
        <v>668.79789423157877</v>
      </c>
      <c r="O484" s="377">
        <f>1.13*14</f>
        <v>15.819999999999999</v>
      </c>
      <c r="P484" s="197">
        <f t="shared" si="367"/>
        <v>306.64631578947365</v>
      </c>
      <c r="Q484" s="198">
        <f t="shared" si="368"/>
        <v>975.44421002105241</v>
      </c>
      <c r="R484" s="199"/>
      <c r="X484" s="257"/>
    </row>
    <row r="485" spans="1:24" s="12" customFormat="1" x14ac:dyDescent="0.2">
      <c r="A485" s="209">
        <f>IF(J485&lt;&gt;"",1+MAX($A$18:A484),"")</f>
        <v>335</v>
      </c>
      <c r="B485" s="210" t="s">
        <v>463</v>
      </c>
      <c r="C485" s="210" t="s">
        <v>464</v>
      </c>
      <c r="D485" s="210" t="s">
        <v>21</v>
      </c>
      <c r="E485" s="255" t="s">
        <v>146</v>
      </c>
      <c r="F485" s="250" t="s">
        <v>441</v>
      </c>
      <c r="G485" s="310">
        <f>G481*2</f>
        <v>15.14</v>
      </c>
      <c r="H485" s="205">
        <f>IF(VLOOKUP(J485,'HOURLY RATES'!B$116:C$124,2,0)=0,$J$3,VLOOKUP(J485,'HOURLY RATES'!B$116:C$124,2,0))</f>
        <v>0.05</v>
      </c>
      <c r="I485" s="317">
        <f t="shared" si="364"/>
        <v>15.897000000000002</v>
      </c>
      <c r="J485" s="192" t="s">
        <v>19</v>
      </c>
      <c r="K485" s="382">
        <v>6.4000000000000001E-2</v>
      </c>
      <c r="L485" s="228">
        <f t="shared" si="365"/>
        <v>1.0174080000000001</v>
      </c>
      <c r="M485" s="194">
        <f>IF(VLOOKUP(E485,'HOURLY RATES'!C$6:D$105,2,0)=0,$E$3,VLOOKUP(E485,'HOURLY RATES'!C$6:D$105,2,0))</f>
        <v>38.508412499999999</v>
      </c>
      <c r="N485" s="206">
        <f t="shared" si="366"/>
        <v>39.178766944800003</v>
      </c>
      <c r="O485" s="377">
        <v>1.1299999999999999</v>
      </c>
      <c r="P485" s="197">
        <f t="shared" si="367"/>
        <v>17.963609999999999</v>
      </c>
      <c r="Q485" s="198">
        <f t="shared" si="368"/>
        <v>57.142376944800006</v>
      </c>
      <c r="R485" s="199"/>
      <c r="X485" s="257"/>
    </row>
    <row r="486" spans="1:24" s="12" customFormat="1" x14ac:dyDescent="0.2">
      <c r="A486" s="209">
        <f>IF(J486&lt;&gt;"",1+MAX($A$18:A485),"")</f>
        <v>336</v>
      </c>
      <c r="B486" s="210" t="s">
        <v>463</v>
      </c>
      <c r="C486" s="210" t="s">
        <v>464</v>
      </c>
      <c r="D486" s="210" t="s">
        <v>21</v>
      </c>
      <c r="E486" s="255" t="s">
        <v>146</v>
      </c>
      <c r="F486" s="250" t="s">
        <v>442</v>
      </c>
      <c r="G486" s="310">
        <f>G481*2</f>
        <v>15.14</v>
      </c>
      <c r="H486" s="205">
        <f>IF(VLOOKUP(J486,'HOURLY RATES'!B$116:C$124,2,0)=0,$J$3,VLOOKUP(J486,'HOURLY RATES'!B$116:C$124,2,0))</f>
        <v>0.05</v>
      </c>
      <c r="I486" s="317">
        <f t="shared" si="364"/>
        <v>15.897000000000002</v>
      </c>
      <c r="J486" s="192" t="s">
        <v>19</v>
      </c>
      <c r="K486" s="382">
        <v>6.4000000000000001E-2</v>
      </c>
      <c r="L486" s="228">
        <f t="shared" si="365"/>
        <v>1.0174080000000001</v>
      </c>
      <c r="M486" s="194">
        <f>IF(VLOOKUP(E486,'HOURLY RATES'!C$6:D$105,2,0)=0,$E$3,VLOOKUP(E486,'HOURLY RATES'!C$6:D$105,2,0))</f>
        <v>38.508412499999999</v>
      </c>
      <c r="N486" s="206">
        <f t="shared" si="366"/>
        <v>39.178766944800003</v>
      </c>
      <c r="O486" s="377">
        <v>1.1299999999999999</v>
      </c>
      <c r="P486" s="197">
        <f t="shared" si="367"/>
        <v>17.963609999999999</v>
      </c>
      <c r="Q486" s="198">
        <f t="shared" si="368"/>
        <v>57.142376944800006</v>
      </c>
      <c r="R486" s="199"/>
      <c r="X486" s="257"/>
    </row>
    <row r="487" spans="1:24" s="12" customFormat="1" x14ac:dyDescent="0.2">
      <c r="A487" s="209">
        <f>IF(J487&lt;&gt;"",1+MAX($A$18:A486),"")</f>
        <v>337</v>
      </c>
      <c r="B487" s="210" t="s">
        <v>463</v>
      </c>
      <c r="C487" s="210" t="s">
        <v>464</v>
      </c>
      <c r="D487" s="210" t="s">
        <v>21</v>
      </c>
      <c r="E487" s="255" t="s">
        <v>146</v>
      </c>
      <c r="F487" s="250" t="s">
        <v>426</v>
      </c>
      <c r="G487" s="310">
        <f>((13/4)*G481)*2</f>
        <v>49.204999999999998</v>
      </c>
      <c r="H487" s="205">
        <f>IF(VLOOKUP(J487,'HOURLY RATES'!B$116:C$124,2,0)=0,$J$3,VLOOKUP(J487,'HOURLY RATES'!B$116:C$124,2,0))</f>
        <v>0.05</v>
      </c>
      <c r="I487" s="317">
        <f t="shared" si="364"/>
        <v>51.66525</v>
      </c>
      <c r="J487" s="192" t="s">
        <v>19</v>
      </c>
      <c r="K487" s="382">
        <v>0.05</v>
      </c>
      <c r="L487" s="228">
        <f t="shared" si="365"/>
        <v>2.5832625</v>
      </c>
      <c r="M487" s="194">
        <f>IF(VLOOKUP(E487,'HOURLY RATES'!C$6:D$105,2,0)=0,$E$3,VLOOKUP(E487,'HOURLY RATES'!C$6:D$105,2,0))</f>
        <v>38.508412499999999</v>
      </c>
      <c r="N487" s="206">
        <f t="shared" si="366"/>
        <v>99.477337945781244</v>
      </c>
      <c r="O487" s="377">
        <f>11.49/12</f>
        <v>0.95750000000000002</v>
      </c>
      <c r="P487" s="197">
        <f t="shared" si="367"/>
        <v>49.469476874999998</v>
      </c>
      <c r="Q487" s="198">
        <f t="shared" si="368"/>
        <v>148.94681482078124</v>
      </c>
      <c r="R487" s="199"/>
      <c r="X487" s="257"/>
    </row>
    <row r="488" spans="1:24" s="12" customFormat="1" x14ac:dyDescent="0.2">
      <c r="A488" s="209">
        <f>IF(J488&lt;&gt;"",1+MAX($A$18:A487),"")</f>
        <v>338</v>
      </c>
      <c r="B488" s="210" t="s">
        <v>463</v>
      </c>
      <c r="C488" s="210" t="s">
        <v>464</v>
      </c>
      <c r="D488" s="210" t="s">
        <v>21</v>
      </c>
      <c r="E488" s="255" t="s">
        <v>270</v>
      </c>
      <c r="F488" s="250" t="s">
        <v>180</v>
      </c>
      <c r="G488" s="310">
        <f>G481*4</f>
        <v>30.28</v>
      </c>
      <c r="H488" s="205">
        <f>IF(VLOOKUP(J488,'HOURLY RATES'!B$116:C$124,2,0)=0,$J$3,VLOOKUP(J488,'HOURLY RATES'!B$116:C$124,2,0))</f>
        <v>0.05</v>
      </c>
      <c r="I488" s="317">
        <f t="shared" si="364"/>
        <v>31.794000000000004</v>
      </c>
      <c r="J488" s="192" t="s">
        <v>19</v>
      </c>
      <c r="K488" s="382">
        <v>1.6E-2</v>
      </c>
      <c r="L488" s="228">
        <f t="shared" si="365"/>
        <v>0.50870400000000005</v>
      </c>
      <c r="M488" s="194">
        <f>IF(VLOOKUP(E488,'HOURLY RATES'!C$6:D$105,2,0)=0,$E$3,VLOOKUP(E488,'HOURLY RATES'!C$6:D$105,2,0))</f>
        <v>66.337424999999996</v>
      </c>
      <c r="N488" s="206">
        <f t="shared" si="366"/>
        <v>33.746113447200003</v>
      </c>
      <c r="O488" s="377">
        <v>0.05</v>
      </c>
      <c r="P488" s="197">
        <f t="shared" si="367"/>
        <v>1.5897000000000003</v>
      </c>
      <c r="Q488" s="198">
        <f t="shared" si="368"/>
        <v>35.335813447200003</v>
      </c>
      <c r="R488" s="199"/>
      <c r="X488" s="257"/>
    </row>
    <row r="489" spans="1:24" s="12" customFormat="1" x14ac:dyDescent="0.2">
      <c r="A489" s="209" t="str">
        <f>IF(J489&lt;&gt;"",1+MAX($A$18:A488),"")</f>
        <v/>
      </c>
      <c r="B489" s="210"/>
      <c r="C489" s="210"/>
      <c r="D489" s="210"/>
      <c r="E489" s="255"/>
      <c r="F489" s="250"/>
      <c r="G489" s="310"/>
      <c r="H489" s="205"/>
      <c r="I489" s="317"/>
      <c r="J489" s="192"/>
      <c r="K489" s="382"/>
      <c r="L489" s="228"/>
      <c r="M489" s="194"/>
      <c r="N489" s="206"/>
      <c r="O489" s="377"/>
      <c r="P489" s="197"/>
      <c r="Q489" s="198"/>
      <c r="R489" s="199"/>
      <c r="X489" s="257"/>
    </row>
    <row r="490" spans="1:24" s="12" customFormat="1" x14ac:dyDescent="0.2">
      <c r="A490" s="209">
        <f>IF(J490&lt;&gt;"",1+MAX($A$18:A489),"")</f>
        <v>339</v>
      </c>
      <c r="B490" s="210"/>
      <c r="C490" s="210"/>
      <c r="D490" s="210"/>
      <c r="E490" s="255"/>
      <c r="F490" s="219" t="s">
        <v>452</v>
      </c>
      <c r="G490" s="311">
        <v>44.86</v>
      </c>
      <c r="H490" s="205">
        <f>IF(VLOOKUP(J490,'HOURLY RATES'!B$116:C$124,2,0)=0,$J$3,VLOOKUP(J490,'HOURLY RATES'!B$116:C$124,2,0))</f>
        <v>0.05</v>
      </c>
      <c r="I490" s="317">
        <f t="shared" ref="I490:I494" si="369">(G490*(1+H490))</f>
        <v>47.103000000000002</v>
      </c>
      <c r="J490" s="192" t="s">
        <v>19</v>
      </c>
      <c r="K490" s="382"/>
      <c r="L490" s="228"/>
      <c r="M490" s="194"/>
      <c r="N490" s="206"/>
      <c r="O490" s="377"/>
      <c r="P490" s="197"/>
      <c r="Q490" s="198"/>
      <c r="R490" s="199"/>
      <c r="X490" s="257"/>
    </row>
    <row r="491" spans="1:24" s="12" customFormat="1" x14ac:dyDescent="0.2">
      <c r="A491" s="209">
        <f>IF(J491&lt;&gt;"",1+MAX($A$18:A490),"")</f>
        <v>340</v>
      </c>
      <c r="B491" s="210" t="s">
        <v>463</v>
      </c>
      <c r="C491" s="210" t="s">
        <v>464</v>
      </c>
      <c r="D491" s="210" t="s">
        <v>21</v>
      </c>
      <c r="E491" s="255" t="s">
        <v>133</v>
      </c>
      <c r="F491" s="250" t="s">
        <v>181</v>
      </c>
      <c r="G491" s="310">
        <f>(G490*13/32)</f>
        <v>18.224374999999998</v>
      </c>
      <c r="H491" s="205">
        <f>IF(VLOOKUP(J491,'HOURLY RATES'!B$116:C$124,2,0)=0,$J$3,VLOOKUP(J491,'HOURLY RATES'!B$116:C$124,2,0))</f>
        <v>0</v>
      </c>
      <c r="I491" s="317">
        <f t="shared" si="369"/>
        <v>18.224374999999998</v>
      </c>
      <c r="J491" s="192" t="s">
        <v>16</v>
      </c>
      <c r="K491" s="382">
        <f>0.019*32</f>
        <v>0.60799999999999998</v>
      </c>
      <c r="L491" s="228">
        <f t="shared" ref="L491:L494" si="370">K491*I491</f>
        <v>11.080419999999998</v>
      </c>
      <c r="M491" s="194">
        <f>IF(VLOOKUP(E491,'HOURLY RATES'!C$6:D$105,2,0)=0,$E$3,VLOOKUP(E491,'HOURLY RATES'!C$6:D$105,2,0))</f>
        <v>38.508412499999999</v>
      </c>
      <c r="N491" s="206">
        <f t="shared" ref="N491:N494" si="371">M491*L491</f>
        <v>426.68938403324989</v>
      </c>
      <c r="O491" s="377">
        <v>10.56</v>
      </c>
      <c r="P491" s="197">
        <f t="shared" ref="P491:P494" si="372">O491*I491</f>
        <v>192.4494</v>
      </c>
      <c r="Q491" s="198">
        <f t="shared" ref="Q491:Q494" si="373">P491+N491</f>
        <v>619.13878403324986</v>
      </c>
      <c r="R491" s="199"/>
      <c r="X491" s="257"/>
    </row>
    <row r="492" spans="1:24" s="12" customFormat="1" x14ac:dyDescent="0.2">
      <c r="A492" s="209">
        <f>IF(J492&lt;&gt;"",1+MAX($A$18:A491),"")</f>
        <v>341</v>
      </c>
      <c r="B492" s="210" t="s">
        <v>463</v>
      </c>
      <c r="C492" s="210" t="s">
        <v>464</v>
      </c>
      <c r="D492" s="210" t="s">
        <v>21</v>
      </c>
      <c r="E492" s="255" t="s">
        <v>146</v>
      </c>
      <c r="F492" s="250" t="s">
        <v>443</v>
      </c>
      <c r="G492" s="310">
        <f>(G490/1.33)</f>
        <v>33.729323308270672</v>
      </c>
      <c r="H492" s="205">
        <f>IF(VLOOKUP(J492,'HOURLY RATES'!B$116:C$124,2,0)=0,$J$3,VLOOKUP(J492,'HOURLY RATES'!B$116:C$124,2,0))</f>
        <v>0</v>
      </c>
      <c r="I492" s="317">
        <f t="shared" si="369"/>
        <v>33.729323308270672</v>
      </c>
      <c r="J492" s="192" t="s">
        <v>16</v>
      </c>
      <c r="K492" s="382">
        <f>0.064*14</f>
        <v>0.89600000000000002</v>
      </c>
      <c r="L492" s="228">
        <f t="shared" si="370"/>
        <v>30.221473684210522</v>
      </c>
      <c r="M492" s="194">
        <f>IF(VLOOKUP(E492,'HOURLY RATES'!C$6:D$105,2,0)=0,$E$3,VLOOKUP(E492,'HOURLY RATES'!C$6:D$105,2,0))</f>
        <v>38.508412499999999</v>
      </c>
      <c r="N492" s="206">
        <f t="shared" si="371"/>
        <v>1163.7809749894734</v>
      </c>
      <c r="O492" s="377">
        <f>1.13*20/22*14</f>
        <v>14.381818181818179</v>
      </c>
      <c r="P492" s="197">
        <f t="shared" si="372"/>
        <v>485.08899521531083</v>
      </c>
      <c r="Q492" s="198">
        <f t="shared" si="373"/>
        <v>1648.8699702047843</v>
      </c>
      <c r="R492" s="199"/>
      <c r="X492" s="257"/>
    </row>
    <row r="493" spans="1:24" s="12" customFormat="1" x14ac:dyDescent="0.2">
      <c r="A493" s="209">
        <f>IF(J493&lt;&gt;"",1+MAX($A$18:A492),"")</f>
        <v>342</v>
      </c>
      <c r="B493" s="210" t="s">
        <v>463</v>
      </c>
      <c r="C493" s="210" t="s">
        <v>464</v>
      </c>
      <c r="D493" s="210" t="s">
        <v>21</v>
      </c>
      <c r="E493" s="255" t="s">
        <v>146</v>
      </c>
      <c r="F493" s="250" t="s">
        <v>179</v>
      </c>
      <c r="G493" s="310">
        <f>G490*2</f>
        <v>89.72</v>
      </c>
      <c r="H493" s="205">
        <f>IF(VLOOKUP(J493,'HOURLY RATES'!B$116:C$124,2,0)=0,$J$3,VLOOKUP(J493,'HOURLY RATES'!B$116:C$124,2,0))</f>
        <v>0.05</v>
      </c>
      <c r="I493" s="317">
        <f t="shared" si="369"/>
        <v>94.206000000000003</v>
      </c>
      <c r="J493" s="192" t="s">
        <v>19</v>
      </c>
      <c r="K493" s="382">
        <v>6.4000000000000001E-2</v>
      </c>
      <c r="L493" s="228">
        <f t="shared" si="370"/>
        <v>6.0291840000000008</v>
      </c>
      <c r="M493" s="194">
        <f>IF(VLOOKUP(E493,'HOURLY RATES'!C$6:D$105,2,0)=0,$E$3,VLOOKUP(E493,'HOURLY RATES'!C$6:D$105,2,0))</f>
        <v>38.508412499999999</v>
      </c>
      <c r="N493" s="206">
        <f t="shared" si="371"/>
        <v>232.17430451040002</v>
      </c>
      <c r="O493" s="377">
        <f>1.13*20/22</f>
        <v>1.0272727272727271</v>
      </c>
      <c r="P493" s="197">
        <f t="shared" si="372"/>
        <v>96.77525454545453</v>
      </c>
      <c r="Q493" s="198">
        <f t="shared" si="373"/>
        <v>328.94955905585454</v>
      </c>
      <c r="R493" s="199"/>
      <c r="X493" s="257"/>
    </row>
    <row r="494" spans="1:24" s="12" customFormat="1" x14ac:dyDescent="0.2">
      <c r="A494" s="209">
        <f>IF(J494&lt;&gt;"",1+MAX($A$18:A493),"")</f>
        <v>343</v>
      </c>
      <c r="B494" s="210" t="s">
        <v>463</v>
      </c>
      <c r="C494" s="210" t="s">
        <v>464</v>
      </c>
      <c r="D494" s="210" t="s">
        <v>21</v>
      </c>
      <c r="E494" s="255" t="s">
        <v>270</v>
      </c>
      <c r="F494" s="250" t="s">
        <v>180</v>
      </c>
      <c r="G494" s="310">
        <f>G490*2</f>
        <v>89.72</v>
      </c>
      <c r="H494" s="205">
        <f>IF(VLOOKUP(J494,'HOURLY RATES'!B$116:C$124,2,0)=0,$J$3,VLOOKUP(J494,'HOURLY RATES'!B$116:C$124,2,0))</f>
        <v>0.05</v>
      </c>
      <c r="I494" s="317">
        <f t="shared" si="369"/>
        <v>94.206000000000003</v>
      </c>
      <c r="J494" s="192" t="s">
        <v>19</v>
      </c>
      <c r="K494" s="382">
        <v>1.6E-2</v>
      </c>
      <c r="L494" s="228">
        <f t="shared" si="370"/>
        <v>1.5072960000000002</v>
      </c>
      <c r="M494" s="194">
        <f>IF(VLOOKUP(E494,'HOURLY RATES'!C$6:D$105,2,0)=0,$E$3,VLOOKUP(E494,'HOURLY RATES'!C$6:D$105,2,0))</f>
        <v>66.337424999999996</v>
      </c>
      <c r="N494" s="206">
        <f t="shared" si="371"/>
        <v>99.99013535280001</v>
      </c>
      <c r="O494" s="377">
        <v>0.05</v>
      </c>
      <c r="P494" s="197">
        <f t="shared" si="372"/>
        <v>4.7103000000000002</v>
      </c>
      <c r="Q494" s="198">
        <f t="shared" si="373"/>
        <v>104.70043535280001</v>
      </c>
      <c r="R494" s="199"/>
      <c r="X494" s="257"/>
    </row>
    <row r="495" spans="1:24" s="12" customFormat="1" x14ac:dyDescent="0.2">
      <c r="A495" s="209" t="str">
        <f>IF(J495&lt;&gt;"",1+MAX($A$18:A494),"")</f>
        <v/>
      </c>
      <c r="B495" s="210"/>
      <c r="C495" s="210"/>
      <c r="D495" s="210"/>
      <c r="E495" s="255"/>
      <c r="F495" s="250"/>
      <c r="G495" s="310"/>
      <c r="H495" s="205"/>
      <c r="I495" s="317"/>
      <c r="J495" s="192"/>
      <c r="K495" s="382"/>
      <c r="L495" s="228"/>
      <c r="M495" s="194"/>
      <c r="N495" s="206"/>
      <c r="O495" s="377"/>
      <c r="P495" s="197"/>
      <c r="Q495" s="198"/>
      <c r="R495" s="199"/>
      <c r="X495" s="257"/>
    </row>
    <row r="496" spans="1:24" s="12" customFormat="1" x14ac:dyDescent="0.2">
      <c r="A496" s="209">
        <f>IF(J496&lt;&gt;"",1+MAX($A$18:A495),"")</f>
        <v>344</v>
      </c>
      <c r="B496" s="210"/>
      <c r="C496" s="210"/>
      <c r="D496" s="210"/>
      <c r="E496" s="255"/>
      <c r="F496" s="219" t="s">
        <v>453</v>
      </c>
      <c r="G496" s="311">
        <v>5.4</v>
      </c>
      <c r="H496" s="205">
        <f>IF(VLOOKUP(J496,'HOURLY RATES'!B$116:C$124,2,0)=0,$J$3,VLOOKUP(J496,'HOURLY RATES'!B$116:C$124,2,0))</f>
        <v>0.05</v>
      </c>
      <c r="I496" s="317">
        <f t="shared" ref="I496:I500" si="374">(G496*(1+H496))</f>
        <v>5.6700000000000008</v>
      </c>
      <c r="J496" s="192" t="s">
        <v>19</v>
      </c>
      <c r="K496" s="382"/>
      <c r="L496" s="228"/>
      <c r="M496" s="194"/>
      <c r="N496" s="206"/>
      <c r="O496" s="377"/>
      <c r="P496" s="197"/>
      <c r="Q496" s="198"/>
      <c r="R496" s="199"/>
      <c r="X496" s="257"/>
    </row>
    <row r="497" spans="1:24" s="12" customFormat="1" x14ac:dyDescent="0.2">
      <c r="A497" s="209">
        <f>IF(J497&lt;&gt;"",1+MAX($A$18:A496),"")</f>
        <v>345</v>
      </c>
      <c r="B497" s="210" t="s">
        <v>463</v>
      </c>
      <c r="C497" s="210" t="s">
        <v>464</v>
      </c>
      <c r="D497" s="210" t="s">
        <v>21</v>
      </c>
      <c r="E497" s="255" t="s">
        <v>133</v>
      </c>
      <c r="F497" s="250" t="s">
        <v>181</v>
      </c>
      <c r="G497" s="310">
        <f>(G496*13/32)</f>
        <v>2.1937500000000001</v>
      </c>
      <c r="H497" s="205">
        <f>IF(VLOOKUP(J497,'HOURLY RATES'!B$116:C$124,2,0)=0,$J$3,VLOOKUP(J497,'HOURLY RATES'!B$116:C$124,2,0))</f>
        <v>0</v>
      </c>
      <c r="I497" s="317">
        <f t="shared" si="374"/>
        <v>2.1937500000000001</v>
      </c>
      <c r="J497" s="192" t="s">
        <v>16</v>
      </c>
      <c r="K497" s="382">
        <f>0.019*32</f>
        <v>0.60799999999999998</v>
      </c>
      <c r="L497" s="228">
        <f t="shared" ref="L497:L500" si="375">K497*I497</f>
        <v>1.3338000000000001</v>
      </c>
      <c r="M497" s="194">
        <f>IF(VLOOKUP(E497,'HOURLY RATES'!C$6:D$105,2,0)=0,$E$3,VLOOKUP(E497,'HOURLY RATES'!C$6:D$105,2,0))</f>
        <v>38.508412499999999</v>
      </c>
      <c r="N497" s="206">
        <f t="shared" ref="N497:N500" si="376">M497*L497</f>
        <v>51.362520592500005</v>
      </c>
      <c r="O497" s="377">
        <v>10.56</v>
      </c>
      <c r="P497" s="197">
        <f t="shared" ref="P497:P500" si="377">O497*I497</f>
        <v>23.166</v>
      </c>
      <c r="Q497" s="198">
        <f t="shared" ref="Q497:Q500" si="378">P497+N497</f>
        <v>74.528520592500001</v>
      </c>
      <c r="R497" s="199"/>
      <c r="X497" s="257"/>
    </row>
    <row r="498" spans="1:24" s="12" customFormat="1" x14ac:dyDescent="0.2">
      <c r="A498" s="209">
        <f>IF(J498&lt;&gt;"",1+MAX($A$18:A497),"")</f>
        <v>346</v>
      </c>
      <c r="B498" s="210" t="s">
        <v>463</v>
      </c>
      <c r="C498" s="210" t="s">
        <v>464</v>
      </c>
      <c r="D498" s="210" t="s">
        <v>21</v>
      </c>
      <c r="E498" s="255" t="s">
        <v>146</v>
      </c>
      <c r="F498" s="250" t="s">
        <v>443</v>
      </c>
      <c r="G498" s="310">
        <f>(G496/1.33)</f>
        <v>4.0601503759398501</v>
      </c>
      <c r="H498" s="205">
        <f>IF(VLOOKUP(J498,'HOURLY RATES'!B$116:C$124,2,0)=0,$J$3,VLOOKUP(J498,'HOURLY RATES'!B$116:C$124,2,0))</f>
        <v>0</v>
      </c>
      <c r="I498" s="317">
        <f t="shared" si="374"/>
        <v>4.0601503759398501</v>
      </c>
      <c r="J498" s="192" t="s">
        <v>16</v>
      </c>
      <c r="K498" s="382">
        <f>0.064*14</f>
        <v>0.89600000000000002</v>
      </c>
      <c r="L498" s="228">
        <f t="shared" si="375"/>
        <v>3.6378947368421057</v>
      </c>
      <c r="M498" s="194">
        <f>IF(VLOOKUP(E498,'HOURLY RATES'!C$6:D$105,2,0)=0,$E$3,VLOOKUP(E498,'HOURLY RATES'!C$6:D$105,2,0))</f>
        <v>38.508412499999999</v>
      </c>
      <c r="N498" s="206">
        <f t="shared" si="376"/>
        <v>140.08955115789476</v>
      </c>
      <c r="O498" s="377">
        <f>1.13*20/22*14</f>
        <v>14.381818181818179</v>
      </c>
      <c r="P498" s="197">
        <f t="shared" si="377"/>
        <v>58.392344497607652</v>
      </c>
      <c r="Q498" s="198">
        <f t="shared" si="378"/>
        <v>198.4818956555024</v>
      </c>
      <c r="R498" s="199"/>
      <c r="X498" s="257"/>
    </row>
    <row r="499" spans="1:24" s="12" customFormat="1" x14ac:dyDescent="0.2">
      <c r="A499" s="209">
        <f>IF(J499&lt;&gt;"",1+MAX($A$18:A498),"")</f>
        <v>347</v>
      </c>
      <c r="B499" s="210" t="s">
        <v>463</v>
      </c>
      <c r="C499" s="210" t="s">
        <v>464</v>
      </c>
      <c r="D499" s="210" t="s">
        <v>21</v>
      </c>
      <c r="E499" s="255" t="s">
        <v>146</v>
      </c>
      <c r="F499" s="250" t="s">
        <v>179</v>
      </c>
      <c r="G499" s="310">
        <f>G496*2</f>
        <v>10.8</v>
      </c>
      <c r="H499" s="205">
        <f>IF(VLOOKUP(J499,'HOURLY RATES'!B$116:C$124,2,0)=0,$J$3,VLOOKUP(J499,'HOURLY RATES'!B$116:C$124,2,0))</f>
        <v>0.05</v>
      </c>
      <c r="I499" s="317">
        <f t="shared" si="374"/>
        <v>11.340000000000002</v>
      </c>
      <c r="J499" s="192" t="s">
        <v>19</v>
      </c>
      <c r="K499" s="382">
        <v>6.4000000000000001E-2</v>
      </c>
      <c r="L499" s="228">
        <f t="shared" si="375"/>
        <v>0.72576000000000007</v>
      </c>
      <c r="M499" s="194">
        <f>IF(VLOOKUP(E499,'HOURLY RATES'!C$6:D$105,2,0)=0,$E$3,VLOOKUP(E499,'HOURLY RATES'!C$6:D$105,2,0))</f>
        <v>38.508412499999999</v>
      </c>
      <c r="N499" s="206">
        <f t="shared" si="376"/>
        <v>27.947865456000002</v>
      </c>
      <c r="O499" s="377">
        <f>1.13*20/22</f>
        <v>1.0272727272727271</v>
      </c>
      <c r="P499" s="197">
        <f t="shared" si="377"/>
        <v>11.649272727272727</v>
      </c>
      <c r="Q499" s="198">
        <f t="shared" si="378"/>
        <v>39.597138183272733</v>
      </c>
      <c r="R499" s="199"/>
      <c r="X499" s="257"/>
    </row>
    <row r="500" spans="1:24" s="12" customFormat="1" x14ac:dyDescent="0.2">
      <c r="A500" s="209">
        <f>IF(J500&lt;&gt;"",1+MAX($A$18:A499),"")</f>
        <v>348</v>
      </c>
      <c r="B500" s="210" t="s">
        <v>463</v>
      </c>
      <c r="C500" s="210" t="s">
        <v>464</v>
      </c>
      <c r="D500" s="210" t="s">
        <v>21</v>
      </c>
      <c r="E500" s="255" t="s">
        <v>270</v>
      </c>
      <c r="F500" s="250" t="s">
        <v>180</v>
      </c>
      <c r="G500" s="310">
        <f>G496*2</f>
        <v>10.8</v>
      </c>
      <c r="H500" s="205">
        <f>IF(VLOOKUP(J500,'HOURLY RATES'!B$116:C$124,2,0)=0,$J$3,VLOOKUP(J500,'HOURLY RATES'!B$116:C$124,2,0))</f>
        <v>0.05</v>
      </c>
      <c r="I500" s="317">
        <f t="shared" si="374"/>
        <v>11.340000000000002</v>
      </c>
      <c r="J500" s="192" t="s">
        <v>19</v>
      </c>
      <c r="K500" s="382">
        <v>1.6E-2</v>
      </c>
      <c r="L500" s="228">
        <f t="shared" si="375"/>
        <v>0.18144000000000002</v>
      </c>
      <c r="M500" s="194">
        <f>IF(VLOOKUP(E500,'HOURLY RATES'!C$6:D$105,2,0)=0,$E$3,VLOOKUP(E500,'HOURLY RATES'!C$6:D$105,2,0))</f>
        <v>66.337424999999996</v>
      </c>
      <c r="N500" s="206">
        <f t="shared" si="376"/>
        <v>12.036262392000001</v>
      </c>
      <c r="O500" s="377">
        <v>0.05</v>
      </c>
      <c r="P500" s="197">
        <f t="shared" si="377"/>
        <v>0.56700000000000006</v>
      </c>
      <c r="Q500" s="198">
        <f t="shared" si="378"/>
        <v>12.603262392000001</v>
      </c>
      <c r="R500" s="199"/>
      <c r="X500" s="257"/>
    </row>
    <row r="501" spans="1:24" s="12" customFormat="1" x14ac:dyDescent="0.2">
      <c r="A501" s="209" t="str">
        <f>IF(J501&lt;&gt;"",1+MAX($A$18:A500),"")</f>
        <v/>
      </c>
      <c r="B501" s="210"/>
      <c r="C501" s="210"/>
      <c r="D501" s="210"/>
      <c r="E501" s="255"/>
      <c r="F501" s="250"/>
      <c r="G501" s="310"/>
      <c r="H501" s="205"/>
      <c r="I501" s="317"/>
      <c r="J501" s="192"/>
      <c r="K501" s="382"/>
      <c r="L501" s="228"/>
      <c r="M501" s="194"/>
      <c r="N501" s="206"/>
      <c r="O501" s="377"/>
      <c r="P501" s="197"/>
      <c r="Q501" s="198"/>
      <c r="R501" s="199"/>
      <c r="X501" s="257"/>
    </row>
    <row r="502" spans="1:24" s="12" customFormat="1" x14ac:dyDescent="0.2">
      <c r="A502" s="209">
        <f>IF(J502&lt;&gt;"",1+MAX($A$18:A501),"")</f>
        <v>349</v>
      </c>
      <c r="B502" s="210"/>
      <c r="C502" s="210"/>
      <c r="D502" s="210"/>
      <c r="E502" s="255"/>
      <c r="F502" s="219" t="s">
        <v>455</v>
      </c>
      <c r="G502" s="311">
        <v>13.49</v>
      </c>
      <c r="H502" s="205">
        <f>IF(VLOOKUP(J502,'HOURLY RATES'!B$116:C$124,2,0)=0,$J$3,VLOOKUP(J502,'HOURLY RATES'!B$116:C$124,2,0))</f>
        <v>0.05</v>
      </c>
      <c r="I502" s="317">
        <f t="shared" ref="I502:I507" si="379">(G502*(1+H502))</f>
        <v>14.1645</v>
      </c>
      <c r="J502" s="192" t="s">
        <v>19</v>
      </c>
      <c r="K502" s="382"/>
      <c r="L502" s="228"/>
      <c r="M502" s="194"/>
      <c r="N502" s="206"/>
      <c r="O502" s="377"/>
      <c r="P502" s="197"/>
      <c r="Q502" s="198"/>
      <c r="R502" s="199"/>
      <c r="X502" s="257"/>
    </row>
    <row r="503" spans="1:24" s="12" customFormat="1" x14ac:dyDescent="0.2">
      <c r="A503" s="209">
        <f>IF(J503&lt;&gt;"",1+MAX($A$18:A502),"")</f>
        <v>350</v>
      </c>
      <c r="B503" s="210" t="s">
        <v>463</v>
      </c>
      <c r="C503" s="210" t="s">
        <v>464</v>
      </c>
      <c r="D503" s="210" t="s">
        <v>21</v>
      </c>
      <c r="E503" s="255" t="s">
        <v>43</v>
      </c>
      <c r="F503" s="250" t="s">
        <v>456</v>
      </c>
      <c r="G503" s="310">
        <f>G502*2.5*2/32</f>
        <v>2.1078125000000001</v>
      </c>
      <c r="H503" s="205">
        <f>IF(VLOOKUP(J503,'HOURLY RATES'!B$116:C$124,2,0)=0,$J$3,VLOOKUP(J503,'HOURLY RATES'!B$116:C$124,2,0))</f>
        <v>0</v>
      </c>
      <c r="I503" s="317">
        <f t="shared" si="379"/>
        <v>2.1078125000000001</v>
      </c>
      <c r="J503" s="192" t="s">
        <v>16</v>
      </c>
      <c r="K503" s="382">
        <f>0.02*32</f>
        <v>0.64</v>
      </c>
      <c r="L503" s="228">
        <f t="shared" ref="L503:L507" si="380">K503*I503</f>
        <v>1.349</v>
      </c>
      <c r="M503" s="194">
        <f>IF(VLOOKUP(E503,'HOURLY RATES'!C$6:D$105,2,0)=0,$E$3,VLOOKUP(E503,'HOURLY RATES'!C$6:D$105,2,0))</f>
        <v>38.508412499999999</v>
      </c>
      <c r="N503" s="206">
        <f t="shared" ref="N503:N507" si="381">M503*L503</f>
        <v>51.947848462499998</v>
      </c>
      <c r="O503" s="377">
        <v>36.5</v>
      </c>
      <c r="P503" s="197">
        <f t="shared" ref="P503:P507" si="382">O503*I503</f>
        <v>76.935156250000006</v>
      </c>
      <c r="Q503" s="198">
        <f t="shared" ref="Q503:Q507" si="383">P503+N503</f>
        <v>128.8830047125</v>
      </c>
      <c r="R503" s="199"/>
      <c r="X503" s="257"/>
    </row>
    <row r="504" spans="1:24" s="12" customFormat="1" x14ac:dyDescent="0.2">
      <c r="A504" s="209">
        <f>IF(J504&lt;&gt;"",1+MAX($A$18:A503),"")</f>
        <v>351</v>
      </c>
      <c r="B504" s="210" t="s">
        <v>463</v>
      </c>
      <c r="C504" s="210" t="s">
        <v>464</v>
      </c>
      <c r="D504" s="210" t="s">
        <v>21</v>
      </c>
      <c r="E504" s="255" t="s">
        <v>72</v>
      </c>
      <c r="F504" s="250" t="s">
        <v>457</v>
      </c>
      <c r="G504" s="310">
        <f>(G502/1.33)/3</f>
        <v>3.3809523809523809</v>
      </c>
      <c r="H504" s="205">
        <f>IF(VLOOKUP(J504,'HOURLY RATES'!B$116:C$124,2,0)=0,$J$3,VLOOKUP(J504,'HOURLY RATES'!B$116:C$124,2,0))</f>
        <v>0</v>
      </c>
      <c r="I504" s="317">
        <f t="shared" si="379"/>
        <v>3.3809523809523809</v>
      </c>
      <c r="J504" s="192" t="s">
        <v>16</v>
      </c>
      <c r="K504" s="382">
        <f>0.054*8</f>
        <v>0.432</v>
      </c>
      <c r="L504" s="228">
        <f t="shared" si="380"/>
        <v>1.4605714285714286</v>
      </c>
      <c r="M504" s="194">
        <f>IF(VLOOKUP(E504,'HOURLY RATES'!C$6:D$105,2,0)=0,$E$3,VLOOKUP(E504,'HOURLY RATES'!C$6:D$105,2,0))</f>
        <v>38.508412499999999</v>
      </c>
      <c r="N504" s="206">
        <f t="shared" si="381"/>
        <v>56.244287057142856</v>
      </c>
      <c r="O504" s="377">
        <f>1.21*8</f>
        <v>9.68</v>
      </c>
      <c r="P504" s="197">
        <f t="shared" si="382"/>
        <v>32.727619047619044</v>
      </c>
      <c r="Q504" s="198">
        <f t="shared" si="383"/>
        <v>88.971906104761899</v>
      </c>
      <c r="R504" s="199"/>
      <c r="X504" s="257"/>
    </row>
    <row r="505" spans="1:24" s="12" customFormat="1" x14ac:dyDescent="0.2">
      <c r="A505" s="209">
        <f>IF(J505&lt;&gt;"",1+MAX($A$18:A504),"")</f>
        <v>352</v>
      </c>
      <c r="B505" s="210" t="s">
        <v>463</v>
      </c>
      <c r="C505" s="210" t="s">
        <v>464</v>
      </c>
      <c r="D505" s="210" t="s">
        <v>21</v>
      </c>
      <c r="E505" s="255" t="s">
        <v>72</v>
      </c>
      <c r="F505" s="250" t="s">
        <v>458</v>
      </c>
      <c r="G505" s="310">
        <f>G502*2</f>
        <v>26.98</v>
      </c>
      <c r="H505" s="205">
        <f>IF(VLOOKUP(J505,'HOURLY RATES'!B$116:C$124,2,0)=0,$J$3,VLOOKUP(J505,'HOURLY RATES'!B$116:C$124,2,0))</f>
        <v>0.05</v>
      </c>
      <c r="I505" s="317">
        <f t="shared" si="379"/>
        <v>28.329000000000001</v>
      </c>
      <c r="J505" s="192" t="s">
        <v>19</v>
      </c>
      <c r="K505" s="382">
        <v>5.3999999999999999E-2</v>
      </c>
      <c r="L505" s="228">
        <f t="shared" si="380"/>
        <v>1.529766</v>
      </c>
      <c r="M505" s="194">
        <f>IF(VLOOKUP(E505,'HOURLY RATES'!C$6:D$105,2,0)=0,$E$3,VLOOKUP(E505,'HOURLY RATES'!C$6:D$105,2,0))</f>
        <v>38.508412499999999</v>
      </c>
      <c r="N505" s="206">
        <f t="shared" si="381"/>
        <v>58.908860156474994</v>
      </c>
      <c r="O505" s="377">
        <v>1.21</v>
      </c>
      <c r="P505" s="197">
        <f t="shared" si="382"/>
        <v>34.278089999999999</v>
      </c>
      <c r="Q505" s="198">
        <f t="shared" si="383"/>
        <v>93.186950156474992</v>
      </c>
      <c r="R505" s="199"/>
      <c r="X505" s="257"/>
    </row>
    <row r="506" spans="1:24" s="12" customFormat="1" x14ac:dyDescent="0.2">
      <c r="A506" s="209">
        <f>IF(J506&lt;&gt;"",1+MAX($A$18:A505),"")</f>
        <v>353</v>
      </c>
      <c r="B506" s="210" t="s">
        <v>463</v>
      </c>
      <c r="C506" s="210" t="s">
        <v>464</v>
      </c>
      <c r="D506" s="210" t="s">
        <v>21</v>
      </c>
      <c r="E506" s="255" t="s">
        <v>72</v>
      </c>
      <c r="F506" s="250" t="s">
        <v>459</v>
      </c>
      <c r="G506" s="310">
        <f>G502</f>
        <v>13.49</v>
      </c>
      <c r="H506" s="205">
        <f>IF(VLOOKUP(J506,'HOURLY RATES'!B$116:C$124,2,0)=0,$J$3,VLOOKUP(J506,'HOURLY RATES'!B$116:C$124,2,0))</f>
        <v>0.05</v>
      </c>
      <c r="I506" s="317">
        <f t="shared" ref="I506" si="384">(G506*(1+H506))</f>
        <v>14.1645</v>
      </c>
      <c r="J506" s="192" t="s">
        <v>19</v>
      </c>
      <c r="K506" s="382">
        <v>5.3999999999999999E-2</v>
      </c>
      <c r="L506" s="228">
        <f t="shared" ref="L506" si="385">K506*I506</f>
        <v>0.76488299999999998</v>
      </c>
      <c r="M506" s="194">
        <f>IF(VLOOKUP(E506,'HOURLY RATES'!C$6:D$105,2,0)=0,$E$3,VLOOKUP(E506,'HOURLY RATES'!C$6:D$105,2,0))</f>
        <v>38.508412499999999</v>
      </c>
      <c r="N506" s="206">
        <f t="shared" ref="N506" si="386">M506*L506</f>
        <v>29.454430078237497</v>
      </c>
      <c r="O506" s="377">
        <v>1.32</v>
      </c>
      <c r="P506" s="197">
        <f t="shared" ref="P506" si="387">O506*I506</f>
        <v>18.697140000000001</v>
      </c>
      <c r="Q506" s="198">
        <f t="shared" ref="Q506" si="388">P506+N506</f>
        <v>48.151570078237498</v>
      </c>
      <c r="R506" s="199"/>
      <c r="X506" s="257"/>
    </row>
    <row r="507" spans="1:24" s="12" customFormat="1" x14ac:dyDescent="0.2">
      <c r="A507" s="209">
        <f>IF(J507&lt;&gt;"",1+MAX($A$18:A506),"")</f>
        <v>354</v>
      </c>
      <c r="B507" s="210" t="s">
        <v>463</v>
      </c>
      <c r="C507" s="210" t="s">
        <v>464</v>
      </c>
      <c r="D507" s="210" t="s">
        <v>21</v>
      </c>
      <c r="E507" s="255" t="s">
        <v>270</v>
      </c>
      <c r="F507" s="250" t="s">
        <v>180</v>
      </c>
      <c r="G507" s="310">
        <f>G502*4</f>
        <v>53.96</v>
      </c>
      <c r="H507" s="205">
        <f>IF(VLOOKUP(J507,'HOURLY RATES'!B$116:C$124,2,0)=0,$J$3,VLOOKUP(J507,'HOURLY RATES'!B$116:C$124,2,0))</f>
        <v>0.05</v>
      </c>
      <c r="I507" s="317">
        <f t="shared" si="379"/>
        <v>56.658000000000001</v>
      </c>
      <c r="J507" s="192" t="s">
        <v>19</v>
      </c>
      <c r="K507" s="382">
        <v>1.6E-2</v>
      </c>
      <c r="L507" s="228">
        <f t="shared" si="380"/>
        <v>0.906528</v>
      </c>
      <c r="M507" s="194">
        <f>IF(VLOOKUP(E507,'HOURLY RATES'!C$6:D$105,2,0)=0,$E$3,VLOOKUP(E507,'HOURLY RATES'!C$6:D$105,2,0))</f>
        <v>66.337424999999996</v>
      </c>
      <c r="N507" s="206">
        <f t="shared" si="381"/>
        <v>60.136733210399996</v>
      </c>
      <c r="O507" s="377">
        <v>0.05</v>
      </c>
      <c r="P507" s="197">
        <f t="shared" si="382"/>
        <v>2.8329000000000004</v>
      </c>
      <c r="Q507" s="198">
        <f t="shared" si="383"/>
        <v>62.969633210399998</v>
      </c>
      <c r="R507" s="199"/>
      <c r="X507" s="257"/>
    </row>
    <row r="508" spans="1:24" s="12" customFormat="1" x14ac:dyDescent="0.2">
      <c r="A508" s="209" t="str">
        <f>IF(J508&lt;&gt;"",1+MAX($A$18:A507),"")</f>
        <v/>
      </c>
      <c r="B508" s="210"/>
      <c r="C508" s="210"/>
      <c r="D508" s="210"/>
      <c r="E508" s="255"/>
      <c r="F508" s="250"/>
      <c r="G508" s="310"/>
      <c r="H508" s="205"/>
      <c r="I508" s="317"/>
      <c r="J508" s="192"/>
      <c r="K508" s="382"/>
      <c r="L508" s="228"/>
      <c r="M508" s="194"/>
      <c r="N508" s="206"/>
      <c r="O508" s="377"/>
      <c r="P508" s="197"/>
      <c r="Q508" s="198"/>
      <c r="R508" s="199"/>
      <c r="X508" s="257"/>
    </row>
    <row r="509" spans="1:24" s="12" customFormat="1" x14ac:dyDescent="0.2">
      <c r="A509" s="209">
        <f>IF(J509&lt;&gt;"",1+MAX($A$18:A508),"")</f>
        <v>355</v>
      </c>
      <c r="B509" s="210"/>
      <c r="C509" s="210"/>
      <c r="D509" s="210"/>
      <c r="E509" s="255"/>
      <c r="F509" s="219" t="s">
        <v>460</v>
      </c>
      <c r="G509" s="311">
        <v>10.06</v>
      </c>
      <c r="H509" s="205">
        <f>IF(VLOOKUP(J509,'HOURLY RATES'!B$116:C$124,2,0)=0,$J$3,VLOOKUP(J509,'HOURLY RATES'!B$116:C$124,2,0))</f>
        <v>0.05</v>
      </c>
      <c r="I509" s="317">
        <f t="shared" ref="I509:I514" si="389">(G509*(1+H509))</f>
        <v>10.563000000000001</v>
      </c>
      <c r="J509" s="192" t="s">
        <v>19</v>
      </c>
      <c r="K509" s="382"/>
      <c r="L509" s="228"/>
      <c r="M509" s="194"/>
      <c r="N509" s="206"/>
      <c r="O509" s="377"/>
      <c r="P509" s="197"/>
      <c r="Q509" s="198"/>
      <c r="R509" s="199"/>
      <c r="X509" s="257"/>
    </row>
    <row r="510" spans="1:24" s="12" customFormat="1" x14ac:dyDescent="0.2">
      <c r="A510" s="209">
        <f>IF(J510&lt;&gt;"",1+MAX($A$18:A509),"")</f>
        <v>356</v>
      </c>
      <c r="B510" s="210" t="s">
        <v>463</v>
      </c>
      <c r="C510" s="210" t="s">
        <v>464</v>
      </c>
      <c r="D510" s="210" t="s">
        <v>21</v>
      </c>
      <c r="E510" s="255" t="s">
        <v>43</v>
      </c>
      <c r="F510" s="250" t="s">
        <v>456</v>
      </c>
      <c r="G510" s="310">
        <f>G509*2.83*2/32</f>
        <v>1.7793625000000002</v>
      </c>
      <c r="H510" s="205">
        <f>IF(VLOOKUP(J510,'HOURLY RATES'!B$116:C$124,2,0)=0,$J$3,VLOOKUP(J510,'HOURLY RATES'!B$116:C$124,2,0))</f>
        <v>0</v>
      </c>
      <c r="I510" s="317">
        <f t="shared" si="389"/>
        <v>1.7793625000000002</v>
      </c>
      <c r="J510" s="192" t="s">
        <v>16</v>
      </c>
      <c r="K510" s="382">
        <f>0.02*32</f>
        <v>0.64</v>
      </c>
      <c r="L510" s="228">
        <f t="shared" ref="L510:L514" si="390">K510*I510</f>
        <v>1.1387920000000002</v>
      </c>
      <c r="M510" s="194">
        <f>IF(VLOOKUP(E510,'HOURLY RATES'!C$6:D$105,2,0)=0,$E$3,VLOOKUP(E510,'HOURLY RATES'!C$6:D$105,2,0))</f>
        <v>38.508412499999999</v>
      </c>
      <c r="N510" s="206">
        <f t="shared" ref="N510:N514" si="391">M510*L510</f>
        <v>43.853072087700006</v>
      </c>
      <c r="O510" s="377">
        <v>36.5</v>
      </c>
      <c r="P510" s="197">
        <f t="shared" ref="P510:P514" si="392">O510*I510</f>
        <v>64.946731250000013</v>
      </c>
      <c r="Q510" s="198">
        <f t="shared" ref="Q510:Q514" si="393">P510+N510</f>
        <v>108.79980333770001</v>
      </c>
      <c r="R510" s="199"/>
      <c r="X510" s="257"/>
    </row>
    <row r="511" spans="1:24" s="12" customFormat="1" x14ac:dyDescent="0.2">
      <c r="A511" s="209">
        <f>IF(J511&lt;&gt;"",1+MAX($A$18:A510),"")</f>
        <v>357</v>
      </c>
      <c r="B511" s="210" t="s">
        <v>463</v>
      </c>
      <c r="C511" s="210" t="s">
        <v>464</v>
      </c>
      <c r="D511" s="210" t="s">
        <v>21</v>
      </c>
      <c r="E511" s="255" t="s">
        <v>72</v>
      </c>
      <c r="F511" s="250" t="s">
        <v>462</v>
      </c>
      <c r="G511" s="310">
        <f>(G509/1.33)/3</f>
        <v>2.5213032581453634</v>
      </c>
      <c r="H511" s="205">
        <f>IF(VLOOKUP(J511,'HOURLY RATES'!B$116:C$124,2,0)=0,$J$3,VLOOKUP(J511,'HOURLY RATES'!B$116:C$124,2,0))</f>
        <v>0</v>
      </c>
      <c r="I511" s="317">
        <f t="shared" si="389"/>
        <v>2.5213032581453634</v>
      </c>
      <c r="J511" s="192" t="s">
        <v>16</v>
      </c>
      <c r="K511" s="382">
        <f>0.054*10</f>
        <v>0.54</v>
      </c>
      <c r="L511" s="228">
        <f t="shared" si="390"/>
        <v>1.3615037593984962</v>
      </c>
      <c r="M511" s="194">
        <f>IF(VLOOKUP(E511,'HOURLY RATES'!C$6:D$105,2,0)=0,$E$3,VLOOKUP(E511,'HOURLY RATES'!C$6:D$105,2,0))</f>
        <v>38.508412499999999</v>
      </c>
      <c r="N511" s="206">
        <f t="shared" si="391"/>
        <v>52.429348387218042</v>
      </c>
      <c r="O511" s="377">
        <f>1.21*10</f>
        <v>12.1</v>
      </c>
      <c r="P511" s="197">
        <f t="shared" si="392"/>
        <v>30.507769423558894</v>
      </c>
      <c r="Q511" s="198">
        <f t="shared" si="393"/>
        <v>82.93711781077694</v>
      </c>
      <c r="R511" s="199"/>
      <c r="X511" s="257"/>
    </row>
    <row r="512" spans="1:24" s="12" customFormat="1" x14ac:dyDescent="0.2">
      <c r="A512" s="209">
        <f>IF(J512&lt;&gt;"",1+MAX($A$18:A511),"")</f>
        <v>358</v>
      </c>
      <c r="B512" s="210" t="s">
        <v>463</v>
      </c>
      <c r="C512" s="210" t="s">
        <v>464</v>
      </c>
      <c r="D512" s="210" t="s">
        <v>21</v>
      </c>
      <c r="E512" s="255" t="s">
        <v>72</v>
      </c>
      <c r="F512" s="250" t="s">
        <v>458</v>
      </c>
      <c r="G512" s="310">
        <f>G509*2</f>
        <v>20.12</v>
      </c>
      <c r="H512" s="205">
        <f>IF(VLOOKUP(J512,'HOURLY RATES'!B$116:C$124,2,0)=0,$J$3,VLOOKUP(J512,'HOURLY RATES'!B$116:C$124,2,0))</f>
        <v>0.05</v>
      </c>
      <c r="I512" s="317">
        <f t="shared" si="389"/>
        <v>21.126000000000001</v>
      </c>
      <c r="J512" s="192" t="s">
        <v>19</v>
      </c>
      <c r="K512" s="382">
        <v>5.3999999999999999E-2</v>
      </c>
      <c r="L512" s="228">
        <f t="shared" si="390"/>
        <v>1.1408040000000002</v>
      </c>
      <c r="M512" s="194">
        <f>IF(VLOOKUP(E512,'HOURLY RATES'!C$6:D$105,2,0)=0,$E$3,VLOOKUP(E512,'HOURLY RATES'!C$6:D$105,2,0))</f>
        <v>38.508412499999999</v>
      </c>
      <c r="N512" s="206">
        <f t="shared" si="391"/>
        <v>43.930551013650003</v>
      </c>
      <c r="O512" s="377">
        <v>1.21</v>
      </c>
      <c r="P512" s="197">
        <f t="shared" si="392"/>
        <v>25.562460000000002</v>
      </c>
      <c r="Q512" s="198">
        <f t="shared" si="393"/>
        <v>69.493011013650005</v>
      </c>
      <c r="R512" s="199"/>
      <c r="X512" s="257"/>
    </row>
    <row r="513" spans="1:24" s="12" customFormat="1" x14ac:dyDescent="0.2">
      <c r="A513" s="209">
        <f>IF(J513&lt;&gt;"",1+MAX($A$18:A512),"")</f>
        <v>359</v>
      </c>
      <c r="B513" s="210" t="s">
        <v>463</v>
      </c>
      <c r="C513" s="210" t="s">
        <v>464</v>
      </c>
      <c r="D513" s="210" t="s">
        <v>21</v>
      </c>
      <c r="E513" s="255" t="s">
        <v>72</v>
      </c>
      <c r="F513" s="250" t="s">
        <v>459</v>
      </c>
      <c r="G513" s="310">
        <f>G509</f>
        <v>10.06</v>
      </c>
      <c r="H513" s="205">
        <f>IF(VLOOKUP(J513,'HOURLY RATES'!B$116:C$124,2,0)=0,$J$3,VLOOKUP(J513,'HOURLY RATES'!B$116:C$124,2,0))</f>
        <v>0.05</v>
      </c>
      <c r="I513" s="317">
        <f t="shared" si="389"/>
        <v>10.563000000000001</v>
      </c>
      <c r="J513" s="192" t="s">
        <v>19</v>
      </c>
      <c r="K513" s="382">
        <v>5.3999999999999999E-2</v>
      </c>
      <c r="L513" s="228">
        <f t="shared" si="390"/>
        <v>0.57040200000000008</v>
      </c>
      <c r="M513" s="194">
        <f>IF(VLOOKUP(E513,'HOURLY RATES'!C$6:D$105,2,0)=0,$E$3,VLOOKUP(E513,'HOURLY RATES'!C$6:D$105,2,0))</f>
        <v>38.508412499999999</v>
      </c>
      <c r="N513" s="206">
        <f t="shared" si="391"/>
        <v>21.965275506825002</v>
      </c>
      <c r="O513" s="377">
        <v>1.32</v>
      </c>
      <c r="P513" s="197">
        <f t="shared" si="392"/>
        <v>13.943160000000001</v>
      </c>
      <c r="Q513" s="198">
        <f t="shared" si="393"/>
        <v>35.908435506825001</v>
      </c>
      <c r="R513" s="199"/>
      <c r="X513" s="257"/>
    </row>
    <row r="514" spans="1:24" s="12" customFormat="1" x14ac:dyDescent="0.2">
      <c r="A514" s="209">
        <f>IF(J514&lt;&gt;"",1+MAX($A$18:A513),"")</f>
        <v>360</v>
      </c>
      <c r="B514" s="210" t="s">
        <v>463</v>
      </c>
      <c r="C514" s="210" t="s">
        <v>464</v>
      </c>
      <c r="D514" s="210" t="s">
        <v>21</v>
      </c>
      <c r="E514" s="255" t="s">
        <v>270</v>
      </c>
      <c r="F514" s="250" t="s">
        <v>180</v>
      </c>
      <c r="G514" s="310">
        <f>G509*4</f>
        <v>40.24</v>
      </c>
      <c r="H514" s="205">
        <f>IF(VLOOKUP(J514,'HOURLY RATES'!B$116:C$124,2,0)=0,$J$3,VLOOKUP(J514,'HOURLY RATES'!B$116:C$124,2,0))</f>
        <v>0.05</v>
      </c>
      <c r="I514" s="317">
        <f t="shared" si="389"/>
        <v>42.252000000000002</v>
      </c>
      <c r="J514" s="192" t="s">
        <v>19</v>
      </c>
      <c r="K514" s="382">
        <v>1.6E-2</v>
      </c>
      <c r="L514" s="228">
        <f t="shared" si="390"/>
        <v>0.67603200000000008</v>
      </c>
      <c r="M514" s="194">
        <f>IF(VLOOKUP(E514,'HOURLY RATES'!C$6:D$105,2,0)=0,$E$3,VLOOKUP(E514,'HOURLY RATES'!C$6:D$105,2,0))</f>
        <v>66.337424999999996</v>
      </c>
      <c r="N514" s="206">
        <f t="shared" si="391"/>
        <v>44.846222097600005</v>
      </c>
      <c r="O514" s="377">
        <v>0.05</v>
      </c>
      <c r="P514" s="197">
        <f t="shared" si="392"/>
        <v>2.1126</v>
      </c>
      <c r="Q514" s="198">
        <f t="shared" si="393"/>
        <v>46.958822097600006</v>
      </c>
      <c r="R514" s="199"/>
      <c r="X514" s="257"/>
    </row>
    <row r="515" spans="1:24" s="12" customFormat="1" x14ac:dyDescent="0.2">
      <c r="A515" s="209" t="str">
        <f>IF(J515&lt;&gt;"",1+MAX($A$18:A514),"")</f>
        <v/>
      </c>
      <c r="B515" s="210"/>
      <c r="C515" s="210"/>
      <c r="D515" s="210"/>
      <c r="E515" s="255"/>
      <c r="F515" s="250"/>
      <c r="G515" s="310"/>
      <c r="H515" s="205"/>
      <c r="I515" s="317"/>
      <c r="J515" s="192"/>
      <c r="K515" s="382"/>
      <c r="L515" s="228"/>
      <c r="M515" s="194"/>
      <c r="N515" s="206"/>
      <c r="O515" s="377"/>
      <c r="P515" s="197"/>
      <c r="Q515" s="198"/>
      <c r="R515" s="199"/>
      <c r="X515" s="257"/>
    </row>
    <row r="516" spans="1:24" s="12" customFormat="1" x14ac:dyDescent="0.2">
      <c r="A516" s="209">
        <f>IF(J516&lt;&gt;"",1+MAX($A$18:A515),"")</f>
        <v>361</v>
      </c>
      <c r="B516" s="210"/>
      <c r="C516" s="210"/>
      <c r="D516" s="210"/>
      <c r="E516" s="255"/>
      <c r="F516" s="219" t="s">
        <v>461</v>
      </c>
      <c r="G516" s="311">
        <v>30.43</v>
      </c>
      <c r="H516" s="205">
        <f>IF(VLOOKUP(J516,'HOURLY RATES'!B$116:C$124,2,0)=0,$J$3,VLOOKUP(J516,'HOURLY RATES'!B$116:C$124,2,0))</f>
        <v>0.05</v>
      </c>
      <c r="I516" s="317">
        <f t="shared" ref="I516:I526" si="394">(G516*(1+H516))</f>
        <v>31.951499999999999</v>
      </c>
      <c r="J516" s="192" t="s">
        <v>19</v>
      </c>
      <c r="K516" s="382"/>
      <c r="L516" s="228"/>
      <c r="M516" s="194"/>
      <c r="N516" s="206"/>
      <c r="O516" s="377"/>
      <c r="P516" s="197"/>
      <c r="Q516" s="198"/>
      <c r="R516" s="199"/>
      <c r="X516" s="257"/>
    </row>
    <row r="517" spans="1:24" s="12" customFormat="1" x14ac:dyDescent="0.2">
      <c r="A517" s="209">
        <f>IF(J517&lt;&gt;"",1+MAX($A$18:A516),"")</f>
        <v>362</v>
      </c>
      <c r="B517" s="210" t="s">
        <v>463</v>
      </c>
      <c r="C517" s="210" t="s">
        <v>464</v>
      </c>
      <c r="D517" s="210" t="s">
        <v>21</v>
      </c>
      <c r="E517" s="255" t="s">
        <v>43</v>
      </c>
      <c r="F517" s="250" t="s">
        <v>456</v>
      </c>
      <c r="G517" s="310">
        <f>G516*3.5*2/32</f>
        <v>6.6565624999999997</v>
      </c>
      <c r="H517" s="205">
        <f>IF(VLOOKUP(J517,'HOURLY RATES'!B$116:C$124,2,0)=0,$J$3,VLOOKUP(J517,'HOURLY RATES'!B$116:C$124,2,0))</f>
        <v>0</v>
      </c>
      <c r="I517" s="317">
        <f t="shared" si="394"/>
        <v>6.6565624999999997</v>
      </c>
      <c r="J517" s="192" t="s">
        <v>16</v>
      </c>
      <c r="K517" s="382">
        <f>0.02*32</f>
        <v>0.64</v>
      </c>
      <c r="L517" s="228">
        <f t="shared" ref="L517:L521" si="395">K517*I517</f>
        <v>4.2602000000000002</v>
      </c>
      <c r="M517" s="194">
        <f>IF(VLOOKUP(E517,'HOURLY RATES'!C$6:D$105,2,0)=0,$E$3,VLOOKUP(E517,'HOURLY RATES'!C$6:D$105,2,0))</f>
        <v>38.508412499999999</v>
      </c>
      <c r="N517" s="206">
        <f t="shared" ref="N517:N521" si="396">M517*L517</f>
        <v>164.0535389325</v>
      </c>
      <c r="O517" s="377">
        <v>36.5</v>
      </c>
      <c r="P517" s="197">
        <f t="shared" ref="P517:P521" si="397">O517*I517</f>
        <v>242.96453124999999</v>
      </c>
      <c r="Q517" s="198">
        <f t="shared" ref="Q517:Q521" si="398">P517+N517</f>
        <v>407.01807018249997</v>
      </c>
      <c r="R517" s="199"/>
      <c r="X517" s="257"/>
    </row>
    <row r="518" spans="1:24" s="12" customFormat="1" x14ac:dyDescent="0.2">
      <c r="A518" s="209">
        <f>IF(J518&lt;&gt;"",1+MAX($A$18:A517),"")</f>
        <v>363</v>
      </c>
      <c r="B518" s="210" t="s">
        <v>463</v>
      </c>
      <c r="C518" s="210" t="s">
        <v>464</v>
      </c>
      <c r="D518" s="210" t="s">
        <v>21</v>
      </c>
      <c r="E518" s="255" t="s">
        <v>72</v>
      </c>
      <c r="F518" s="250" t="s">
        <v>457</v>
      </c>
      <c r="G518" s="310">
        <f>(G516/1.33)/2</f>
        <v>11.43984962406015</v>
      </c>
      <c r="H518" s="205">
        <f>IF(VLOOKUP(J518,'HOURLY RATES'!B$116:C$124,2,0)=0,$J$3,VLOOKUP(J518,'HOURLY RATES'!B$116:C$124,2,0))</f>
        <v>0</v>
      </c>
      <c r="I518" s="317">
        <f t="shared" si="394"/>
        <v>11.43984962406015</v>
      </c>
      <c r="J518" s="192" t="s">
        <v>16</v>
      </c>
      <c r="K518" s="382">
        <f>0.054*8</f>
        <v>0.432</v>
      </c>
      <c r="L518" s="228">
        <f t="shared" si="395"/>
        <v>4.9420150375939844</v>
      </c>
      <c r="M518" s="194">
        <f>IF(VLOOKUP(E518,'HOURLY RATES'!C$6:D$105,2,0)=0,$E$3,VLOOKUP(E518,'HOURLY RATES'!C$6:D$105,2,0))</f>
        <v>38.508412499999999</v>
      </c>
      <c r="N518" s="206">
        <f t="shared" si="396"/>
        <v>190.30915364887215</v>
      </c>
      <c r="O518" s="377">
        <f>1.21*8</f>
        <v>9.68</v>
      </c>
      <c r="P518" s="197">
        <f t="shared" si="397"/>
        <v>110.73774436090225</v>
      </c>
      <c r="Q518" s="198">
        <f t="shared" si="398"/>
        <v>301.0468980097744</v>
      </c>
      <c r="R518" s="199"/>
      <c r="X518" s="257"/>
    </row>
    <row r="519" spans="1:24" s="12" customFormat="1" x14ac:dyDescent="0.2">
      <c r="A519" s="209">
        <f>IF(J519&lt;&gt;"",1+MAX($A$18:A518),"")</f>
        <v>364</v>
      </c>
      <c r="B519" s="210" t="s">
        <v>463</v>
      </c>
      <c r="C519" s="210" t="s">
        <v>464</v>
      </c>
      <c r="D519" s="210" t="s">
        <v>21</v>
      </c>
      <c r="E519" s="255" t="s">
        <v>72</v>
      </c>
      <c r="F519" s="250" t="s">
        <v>458</v>
      </c>
      <c r="G519" s="310">
        <f>G516*2</f>
        <v>60.86</v>
      </c>
      <c r="H519" s="205">
        <f>IF(VLOOKUP(J519,'HOURLY RATES'!B$116:C$124,2,0)=0,$J$3,VLOOKUP(J519,'HOURLY RATES'!B$116:C$124,2,0))</f>
        <v>0.05</v>
      </c>
      <c r="I519" s="317">
        <f t="shared" si="394"/>
        <v>63.902999999999999</v>
      </c>
      <c r="J519" s="192" t="s">
        <v>19</v>
      </c>
      <c r="K519" s="382">
        <v>5.3999999999999999E-2</v>
      </c>
      <c r="L519" s="228">
        <f t="shared" si="395"/>
        <v>3.4507620000000001</v>
      </c>
      <c r="M519" s="194">
        <f>IF(VLOOKUP(E519,'HOURLY RATES'!C$6:D$105,2,0)=0,$E$3,VLOOKUP(E519,'HOURLY RATES'!C$6:D$105,2,0))</f>
        <v>38.508412499999999</v>
      </c>
      <c r="N519" s="206">
        <f t="shared" si="396"/>
        <v>132.883366535325</v>
      </c>
      <c r="O519" s="377">
        <v>1.21</v>
      </c>
      <c r="P519" s="197">
        <f t="shared" si="397"/>
        <v>77.32262999999999</v>
      </c>
      <c r="Q519" s="198">
        <f t="shared" si="398"/>
        <v>210.20599653532497</v>
      </c>
      <c r="R519" s="199"/>
      <c r="X519" s="257"/>
    </row>
    <row r="520" spans="1:24" s="12" customFormat="1" x14ac:dyDescent="0.2">
      <c r="A520" s="209">
        <f>IF(J520&lt;&gt;"",1+MAX($A$18:A519),"")</f>
        <v>365</v>
      </c>
      <c r="B520" s="210" t="s">
        <v>463</v>
      </c>
      <c r="C520" s="210" t="s">
        <v>464</v>
      </c>
      <c r="D520" s="210" t="s">
        <v>21</v>
      </c>
      <c r="E520" s="255" t="s">
        <v>72</v>
      </c>
      <c r="F520" s="250" t="s">
        <v>459</v>
      </c>
      <c r="G520" s="310">
        <f>G516</f>
        <v>30.43</v>
      </c>
      <c r="H520" s="205">
        <f>IF(VLOOKUP(J520,'HOURLY RATES'!B$116:C$124,2,0)=0,$J$3,VLOOKUP(J520,'HOURLY RATES'!B$116:C$124,2,0))</f>
        <v>0.05</v>
      </c>
      <c r="I520" s="317">
        <f t="shared" si="394"/>
        <v>31.951499999999999</v>
      </c>
      <c r="J520" s="192" t="s">
        <v>19</v>
      </c>
      <c r="K520" s="382">
        <v>5.3999999999999999E-2</v>
      </c>
      <c r="L520" s="228">
        <f t="shared" si="395"/>
        <v>1.7253810000000001</v>
      </c>
      <c r="M520" s="194">
        <f>IF(VLOOKUP(E520,'HOURLY RATES'!C$6:D$105,2,0)=0,$E$3,VLOOKUP(E520,'HOURLY RATES'!C$6:D$105,2,0))</f>
        <v>38.508412499999999</v>
      </c>
      <c r="N520" s="206">
        <f t="shared" si="396"/>
        <v>66.441683267662498</v>
      </c>
      <c r="O520" s="377">
        <v>1.32</v>
      </c>
      <c r="P520" s="197">
        <f t="shared" si="397"/>
        <v>42.175980000000003</v>
      </c>
      <c r="Q520" s="198">
        <f t="shared" si="398"/>
        <v>108.61766326766249</v>
      </c>
      <c r="R520" s="199"/>
      <c r="X520" s="257"/>
    </row>
    <row r="521" spans="1:24" s="12" customFormat="1" x14ac:dyDescent="0.2">
      <c r="A521" s="209">
        <f>IF(J521&lt;&gt;"",1+MAX($A$18:A520),"")</f>
        <v>366</v>
      </c>
      <c r="B521" s="210" t="s">
        <v>463</v>
      </c>
      <c r="C521" s="210" t="s">
        <v>464</v>
      </c>
      <c r="D521" s="210" t="s">
        <v>21</v>
      </c>
      <c r="E521" s="255" t="s">
        <v>270</v>
      </c>
      <c r="F521" s="250" t="s">
        <v>180</v>
      </c>
      <c r="G521" s="310">
        <f>G516*4</f>
        <v>121.72</v>
      </c>
      <c r="H521" s="205">
        <f>IF(VLOOKUP(J521,'HOURLY RATES'!B$116:C$124,2,0)=0,$J$3,VLOOKUP(J521,'HOURLY RATES'!B$116:C$124,2,0))</f>
        <v>0.05</v>
      </c>
      <c r="I521" s="317">
        <f t="shared" si="394"/>
        <v>127.806</v>
      </c>
      <c r="J521" s="192" t="s">
        <v>19</v>
      </c>
      <c r="K521" s="382">
        <v>1.6E-2</v>
      </c>
      <c r="L521" s="228">
        <f t="shared" si="395"/>
        <v>2.044896</v>
      </c>
      <c r="M521" s="194">
        <f>IF(VLOOKUP(E521,'HOURLY RATES'!C$6:D$105,2,0)=0,$E$3,VLOOKUP(E521,'HOURLY RATES'!C$6:D$105,2,0))</f>
        <v>66.337424999999996</v>
      </c>
      <c r="N521" s="206">
        <f t="shared" si="396"/>
        <v>135.65313503280001</v>
      </c>
      <c r="O521" s="377">
        <v>0.05</v>
      </c>
      <c r="P521" s="197">
        <f t="shared" si="397"/>
        <v>6.3902999999999999</v>
      </c>
      <c r="Q521" s="198">
        <f t="shared" si="398"/>
        <v>142.04343503280001</v>
      </c>
      <c r="R521" s="199"/>
      <c r="X521" s="257"/>
    </row>
    <row r="522" spans="1:24" s="12" customFormat="1" x14ac:dyDescent="0.2">
      <c r="A522" s="209" t="str">
        <f>IF(J522&lt;&gt;"",1+MAX($A$18:A521),"")</f>
        <v/>
      </c>
      <c r="B522" s="210"/>
      <c r="C522" s="210"/>
      <c r="D522" s="210"/>
      <c r="E522" s="255"/>
      <c r="F522" s="250"/>
      <c r="G522" s="310"/>
      <c r="H522" s="205"/>
      <c r="I522" s="317"/>
      <c r="J522" s="192"/>
      <c r="K522" s="382"/>
      <c r="L522" s="228"/>
      <c r="M522" s="194"/>
      <c r="N522" s="206"/>
      <c r="O522" s="377"/>
      <c r="P522" s="197"/>
      <c r="Q522" s="198"/>
      <c r="R522" s="199"/>
      <c r="X522" s="257"/>
    </row>
    <row r="523" spans="1:24" s="12" customFormat="1" x14ac:dyDescent="0.2">
      <c r="A523" s="209">
        <f>IF(J523&lt;&gt;"",1+MAX($A$18:A522),"")</f>
        <v>367</v>
      </c>
      <c r="B523" s="210"/>
      <c r="C523" s="210"/>
      <c r="D523" s="210"/>
      <c r="E523" s="255"/>
      <c r="F523" s="219" t="s">
        <v>465</v>
      </c>
      <c r="G523" s="311">
        <v>10</v>
      </c>
      <c r="H523" s="205">
        <f>IF(VLOOKUP(J523,'HOURLY RATES'!B$116:C$124,2,0)=0,$J$3,VLOOKUP(J523,'HOURLY RATES'!B$116:C$124,2,0))</f>
        <v>0.05</v>
      </c>
      <c r="I523" s="317">
        <f t="shared" si="394"/>
        <v>10.5</v>
      </c>
      <c r="J523" s="192" t="s">
        <v>19</v>
      </c>
      <c r="K523" s="382"/>
      <c r="L523" s="228"/>
      <c r="M523" s="194"/>
      <c r="N523" s="206"/>
      <c r="O523" s="377"/>
      <c r="P523" s="197"/>
      <c r="Q523" s="198"/>
      <c r="R523" s="199"/>
      <c r="X523" s="257"/>
    </row>
    <row r="524" spans="1:24" s="12" customFormat="1" x14ac:dyDescent="0.2">
      <c r="A524" s="209">
        <f>IF(J524&lt;&gt;"",1+MAX($A$18:A523),"")</f>
        <v>368</v>
      </c>
      <c r="B524" s="210" t="s">
        <v>463</v>
      </c>
      <c r="C524" s="210" t="s">
        <v>464</v>
      </c>
      <c r="D524" s="210" t="s">
        <v>21</v>
      </c>
      <c r="E524" s="255" t="s">
        <v>43</v>
      </c>
      <c r="F524" s="250" t="s">
        <v>466</v>
      </c>
      <c r="G524" s="310">
        <f>(G523*8.5/32)</f>
        <v>2.65625</v>
      </c>
      <c r="H524" s="205">
        <f>IF(VLOOKUP(J524,'HOURLY RATES'!B$116:C$124,2,0)=0,$J$3,VLOOKUP(J524,'HOURLY RATES'!B$116:C$124,2,0))</f>
        <v>0</v>
      </c>
      <c r="I524" s="317">
        <f t="shared" si="394"/>
        <v>2.65625</v>
      </c>
      <c r="J524" s="192" t="s">
        <v>16</v>
      </c>
      <c r="K524" s="382">
        <f>0.022*32</f>
        <v>0.70399999999999996</v>
      </c>
      <c r="L524" s="228">
        <f t="shared" ref="L524:L526" si="399">K524*I524</f>
        <v>1.8699999999999999</v>
      </c>
      <c r="M524" s="194">
        <f>IF(VLOOKUP(E524,'HOURLY RATES'!C$6:D$105,2,0)=0,$E$3,VLOOKUP(E524,'HOURLY RATES'!C$6:D$105,2,0))</f>
        <v>38.508412499999999</v>
      </c>
      <c r="N524" s="206">
        <f t="shared" ref="N524:N526" si="400">M524*L524</f>
        <v>72.010731374999992</v>
      </c>
      <c r="O524" s="377">
        <v>55.17</v>
      </c>
      <c r="P524" s="197">
        <f t="shared" ref="P524:P526" si="401">O524*I524</f>
        <v>146.54531249999999</v>
      </c>
      <c r="Q524" s="198">
        <f t="shared" ref="Q524:Q526" si="402">P524+N524</f>
        <v>218.556043875</v>
      </c>
      <c r="R524" s="199"/>
      <c r="X524" s="257"/>
    </row>
    <row r="525" spans="1:24" s="12" customFormat="1" x14ac:dyDescent="0.2">
      <c r="A525" s="209">
        <f>IF(J525&lt;&gt;"",1+MAX($A$18:A524),"")</f>
        <v>369</v>
      </c>
      <c r="B525" s="210" t="s">
        <v>463</v>
      </c>
      <c r="C525" s="210" t="s">
        <v>464</v>
      </c>
      <c r="D525" s="210" t="s">
        <v>21</v>
      </c>
      <c r="E525" s="255" t="s">
        <v>146</v>
      </c>
      <c r="F525" s="250" t="s">
        <v>467</v>
      </c>
      <c r="G525" s="310">
        <f>G523*2</f>
        <v>20</v>
      </c>
      <c r="H525" s="205">
        <f>IF(VLOOKUP(J525,'HOURLY RATES'!B$116:C$124,2,0)=0,$J$3,VLOOKUP(J525,'HOURLY RATES'!B$116:C$124,2,0))</f>
        <v>0.05</v>
      </c>
      <c r="I525" s="317">
        <f t="shared" si="394"/>
        <v>21</v>
      </c>
      <c r="J525" s="192" t="s">
        <v>19</v>
      </c>
      <c r="K525" s="382">
        <v>7.0000000000000007E-2</v>
      </c>
      <c r="L525" s="228">
        <f t="shared" si="399"/>
        <v>1.4700000000000002</v>
      </c>
      <c r="M525" s="194">
        <f>IF(VLOOKUP(E525,'HOURLY RATES'!C$6:D$105,2,0)=0,$E$3,VLOOKUP(E525,'HOURLY RATES'!C$6:D$105,2,0))</f>
        <v>38.508412499999999</v>
      </c>
      <c r="N525" s="206">
        <f t="shared" si="400"/>
        <v>56.607366375000005</v>
      </c>
      <c r="O525" s="377">
        <f>3.95*18/16</f>
        <v>4.4437500000000005</v>
      </c>
      <c r="P525" s="197">
        <f t="shared" si="401"/>
        <v>93.318750000000009</v>
      </c>
      <c r="Q525" s="198">
        <f t="shared" si="402"/>
        <v>149.92611637500002</v>
      </c>
      <c r="R525" s="199"/>
      <c r="X525" s="257"/>
    </row>
    <row r="526" spans="1:24" s="12" customFormat="1" x14ac:dyDescent="0.2">
      <c r="A526" s="209">
        <f>IF(J526&lt;&gt;"",1+MAX($A$18:A525),"")</f>
        <v>370</v>
      </c>
      <c r="B526" s="210" t="s">
        <v>463</v>
      </c>
      <c r="C526" s="210" t="s">
        <v>464</v>
      </c>
      <c r="D526" s="210" t="s">
        <v>21</v>
      </c>
      <c r="E526" s="255" t="s">
        <v>146</v>
      </c>
      <c r="F526" s="250" t="s">
        <v>423</v>
      </c>
      <c r="G526" s="310">
        <f>G523*2</f>
        <v>20</v>
      </c>
      <c r="H526" s="205">
        <f>IF(VLOOKUP(J526,'HOURLY RATES'!B$116:C$124,2,0)=0,$J$3,VLOOKUP(J526,'HOURLY RATES'!B$116:C$124,2,0))</f>
        <v>0.05</v>
      </c>
      <c r="I526" s="317">
        <f t="shared" si="394"/>
        <v>21</v>
      </c>
      <c r="J526" s="192" t="s">
        <v>19</v>
      </c>
      <c r="K526" s="382">
        <v>7.0000000000000007E-2</v>
      </c>
      <c r="L526" s="228">
        <f t="shared" si="399"/>
        <v>1.4700000000000002</v>
      </c>
      <c r="M526" s="194">
        <f>IF(VLOOKUP(E526,'HOURLY RATES'!C$6:D$105,2,0)=0,$E$3,VLOOKUP(E526,'HOURLY RATES'!C$6:D$105,2,0))</f>
        <v>38.508412499999999</v>
      </c>
      <c r="N526" s="206">
        <f t="shared" si="400"/>
        <v>56.607366375000005</v>
      </c>
      <c r="O526" s="377">
        <f>3.95*18/16</f>
        <v>4.4437500000000005</v>
      </c>
      <c r="P526" s="197">
        <f t="shared" si="401"/>
        <v>93.318750000000009</v>
      </c>
      <c r="Q526" s="198">
        <f t="shared" si="402"/>
        <v>149.92611637500002</v>
      </c>
      <c r="R526" s="199"/>
      <c r="X526" s="257"/>
    </row>
    <row r="527" spans="1:24" s="12" customFormat="1" x14ac:dyDescent="0.2">
      <c r="A527" s="209" t="str">
        <f>IF(J527&lt;&gt;"",1+MAX($A$18:A526),"")</f>
        <v/>
      </c>
      <c r="B527" s="210"/>
      <c r="C527" s="210"/>
      <c r="D527" s="210"/>
      <c r="E527" s="255"/>
      <c r="F527" s="250"/>
      <c r="G527" s="310"/>
      <c r="H527" s="205"/>
      <c r="I527" s="317"/>
      <c r="J527" s="192"/>
      <c r="K527" s="382"/>
      <c r="L527" s="228"/>
      <c r="M527" s="194"/>
      <c r="N527" s="206"/>
      <c r="O527" s="377"/>
      <c r="P527" s="197"/>
      <c r="Q527" s="198"/>
      <c r="R527" s="199"/>
      <c r="X527" s="257"/>
    </row>
    <row r="528" spans="1:24" s="12" customFormat="1" x14ac:dyDescent="0.2">
      <c r="A528" s="209">
        <f>IF(J528&lt;&gt;"",1+MAX($A$18:A527),"")</f>
        <v>371</v>
      </c>
      <c r="B528" s="210"/>
      <c r="C528" s="210"/>
      <c r="D528" s="210" t="s">
        <v>21</v>
      </c>
      <c r="E528" s="255" t="s">
        <v>133</v>
      </c>
      <c r="F528" s="251" t="s">
        <v>182</v>
      </c>
      <c r="G528" s="310">
        <f>(1337*10)</f>
        <v>13370</v>
      </c>
      <c r="H528" s="205">
        <f>IF(VLOOKUP(J528,'HOURLY RATES'!B$116:C$124,2,0)=0,$J$3,VLOOKUP(J528,'HOURLY RATES'!B$116:C$124,2,0))</f>
        <v>0.05</v>
      </c>
      <c r="I528" s="317">
        <f t="shared" ref="I528:I530" si="403">(G528*(1+H528))</f>
        <v>14038.5</v>
      </c>
      <c r="J528" s="192" t="s">
        <v>19</v>
      </c>
      <c r="K528" s="382">
        <v>0.01</v>
      </c>
      <c r="L528" s="228">
        <f t="shared" ref="L528:L530" si="404">K528*I528</f>
        <v>140.38499999999999</v>
      </c>
      <c r="M528" s="194">
        <f>IF(VLOOKUP(E528,'HOURLY RATES'!C$6:D$105,2,0)=0,$E$3,VLOOKUP(E528,'HOURLY RATES'!C$6:D$105,2,0))</f>
        <v>38.508412499999999</v>
      </c>
      <c r="N528" s="206">
        <f t="shared" ref="N528:N530" si="405">M528*L528</f>
        <v>5406.0034888124992</v>
      </c>
      <c r="O528" s="408">
        <v>0.01</v>
      </c>
      <c r="P528" s="197">
        <f t="shared" ref="P528:P530" si="406">O528*I528</f>
        <v>140.38499999999999</v>
      </c>
      <c r="Q528" s="198">
        <f t="shared" ref="Q528:Q530" si="407">P528+N528</f>
        <v>5546.3884888124994</v>
      </c>
      <c r="R528" s="199"/>
      <c r="X528" s="257"/>
    </row>
    <row r="529" spans="1:24" s="12" customFormat="1" x14ac:dyDescent="0.2">
      <c r="A529" s="209">
        <f>IF(J529&lt;&gt;"",1+MAX($A$18:A528),"")</f>
        <v>372</v>
      </c>
      <c r="B529" s="210"/>
      <c r="C529" s="210"/>
      <c r="D529" s="210" t="s">
        <v>21</v>
      </c>
      <c r="E529" s="255" t="s">
        <v>133</v>
      </c>
      <c r="F529" s="251" t="s">
        <v>183</v>
      </c>
      <c r="G529" s="310">
        <f>(1337*32*0.053)</f>
        <v>2267.5520000000001</v>
      </c>
      <c r="H529" s="205">
        <f>IF(VLOOKUP(J529,'HOURLY RATES'!B$116:C$124,2,0)=0,$J$3,VLOOKUP(J529,'HOURLY RATES'!B$116:C$124,2,0))</f>
        <v>0.05</v>
      </c>
      <c r="I529" s="317">
        <f t="shared" si="403"/>
        <v>2380.9296000000004</v>
      </c>
      <c r="J529" s="192" t="s">
        <v>121</v>
      </c>
      <c r="K529" s="382">
        <v>0.22</v>
      </c>
      <c r="L529" s="228">
        <f t="shared" si="404"/>
        <v>523.80451200000005</v>
      </c>
      <c r="M529" s="194">
        <f>IF(VLOOKUP(E529,'HOURLY RATES'!C$6:D$105,2,0)=0,$E$3,VLOOKUP(E529,'HOURLY RATES'!C$6:D$105,2,0))</f>
        <v>38.508412499999999</v>
      </c>
      <c r="N529" s="206">
        <f t="shared" si="405"/>
        <v>20170.880217457201</v>
      </c>
      <c r="O529" s="408">
        <v>0.5</v>
      </c>
      <c r="P529" s="197">
        <f t="shared" si="406"/>
        <v>1190.4648000000002</v>
      </c>
      <c r="Q529" s="198">
        <f t="shared" si="407"/>
        <v>21361.345017457203</v>
      </c>
      <c r="R529" s="199"/>
      <c r="X529" s="257"/>
    </row>
    <row r="530" spans="1:24" s="12" customFormat="1" x14ac:dyDescent="0.2">
      <c r="A530" s="209">
        <f>IF(J530&lt;&gt;"",1+MAX($A$18:A529),"")</f>
        <v>373</v>
      </c>
      <c r="B530" s="210"/>
      <c r="C530" s="210"/>
      <c r="D530" s="210" t="s">
        <v>21</v>
      </c>
      <c r="E530" s="255" t="s">
        <v>133</v>
      </c>
      <c r="F530" s="251" t="s">
        <v>184</v>
      </c>
      <c r="G530" s="310">
        <f>(1337*45)</f>
        <v>60165</v>
      </c>
      <c r="H530" s="205">
        <f>IF(VLOOKUP(J530,'HOURLY RATES'!B$116:C$124,2,0)=0,$J$3,VLOOKUP(J530,'HOURLY RATES'!B$116:C$124,2,0))</f>
        <v>0</v>
      </c>
      <c r="I530" s="317">
        <f t="shared" si="403"/>
        <v>60165</v>
      </c>
      <c r="J530" s="192" t="s">
        <v>16</v>
      </c>
      <c r="K530" s="382">
        <v>1E-3</v>
      </c>
      <c r="L530" s="228">
        <f t="shared" si="404"/>
        <v>60.164999999999999</v>
      </c>
      <c r="M530" s="194">
        <f>IF(VLOOKUP(E530,'HOURLY RATES'!C$6:D$105,2,0)=0,$E$3,VLOOKUP(E530,'HOURLY RATES'!C$6:D$105,2,0))</f>
        <v>38.508412499999999</v>
      </c>
      <c r="N530" s="206">
        <f t="shared" si="405"/>
        <v>2316.8586380624997</v>
      </c>
      <c r="O530" s="408">
        <v>0.02</v>
      </c>
      <c r="P530" s="197">
        <f t="shared" si="406"/>
        <v>1203.3</v>
      </c>
      <c r="Q530" s="198">
        <f t="shared" si="407"/>
        <v>3520.1586380624994</v>
      </c>
      <c r="R530" s="199"/>
      <c r="X530" s="257"/>
    </row>
    <row r="531" spans="1:24" s="12" customFormat="1" x14ac:dyDescent="0.2">
      <c r="A531" s="209" t="str">
        <f>IF(J531&lt;&gt;"",1+MAX($A$18:A530),"")</f>
        <v/>
      </c>
      <c r="B531" s="210"/>
      <c r="C531" s="210"/>
      <c r="D531" s="210"/>
      <c r="E531" s="255"/>
      <c r="F531" s="251"/>
      <c r="G531" s="310"/>
      <c r="H531" s="205"/>
      <c r="I531" s="317"/>
      <c r="J531" s="192"/>
      <c r="K531" s="382"/>
      <c r="L531" s="228"/>
      <c r="M531" s="194"/>
      <c r="N531" s="206"/>
      <c r="O531" s="377"/>
      <c r="P531" s="197"/>
      <c r="Q531" s="198"/>
      <c r="R531" s="199"/>
      <c r="X531" s="257"/>
    </row>
    <row r="532" spans="1:24" s="12" customFormat="1" x14ac:dyDescent="0.2">
      <c r="A532" s="209">
        <f>IF(J532&lt;&gt;"",1+MAX($A$18:A531),"")</f>
        <v>374</v>
      </c>
      <c r="B532" s="210"/>
      <c r="C532" s="210"/>
      <c r="D532" s="210" t="s">
        <v>21</v>
      </c>
      <c r="E532" s="255" t="s">
        <v>146</v>
      </c>
      <c r="F532" s="216" t="s">
        <v>468</v>
      </c>
      <c r="G532" s="310">
        <f>1805.15*15.33</f>
        <v>27672.949500000002</v>
      </c>
      <c r="H532" s="205">
        <f>IF(VLOOKUP(J532,'HOURLY RATES'!B$116:C$124,2,0)=0,$J$3,VLOOKUP(J532,'HOURLY RATES'!B$116:C$124,2,0))</f>
        <v>0.05</v>
      </c>
      <c r="I532" s="317">
        <f t="shared" ref="I532" si="408">(G532*(1+H532))</f>
        <v>29056.596975000004</v>
      </c>
      <c r="J532" s="192" t="s">
        <v>17</v>
      </c>
      <c r="K532" s="238">
        <v>7.0000000000000001E-3</v>
      </c>
      <c r="L532" s="228">
        <f t="shared" ref="L532" si="409">K532*I532</f>
        <v>203.39617882500002</v>
      </c>
      <c r="M532" s="194">
        <f>IF(VLOOKUP(E532,'HOURLY RATES'!C$6:D$105,2,0)=0,$E$3,VLOOKUP(E532,'HOURLY RATES'!C$6:D$105,2,0))</f>
        <v>38.508412499999999</v>
      </c>
      <c r="N532" s="206">
        <f t="shared" ref="N532" si="410">M532*L532</f>
        <v>7832.4639551168657</v>
      </c>
      <c r="O532" s="377"/>
      <c r="P532" s="197">
        <f t="shared" ref="P532" si="411">O532*I532</f>
        <v>0</v>
      </c>
      <c r="Q532" s="198">
        <f t="shared" ref="Q532" si="412">P532+N532</f>
        <v>7832.4639551168657</v>
      </c>
      <c r="R532" s="199"/>
      <c r="X532" s="257"/>
    </row>
    <row r="533" spans="1:24" s="12" customFormat="1" x14ac:dyDescent="0.2">
      <c r="A533" s="209">
        <f>IF(J533&lt;&gt;"",1+MAX($A$18:A532),"")</f>
        <v>375</v>
      </c>
      <c r="B533" s="210"/>
      <c r="C533" s="210"/>
      <c r="D533" s="210" t="s">
        <v>21</v>
      </c>
      <c r="E533" s="255" t="s">
        <v>133</v>
      </c>
      <c r="F533" s="216" t="s">
        <v>468</v>
      </c>
      <c r="G533" s="310">
        <f>1805.15*15.33</f>
        <v>27672.949500000002</v>
      </c>
      <c r="H533" s="205">
        <f>IF(VLOOKUP(J533,'HOURLY RATES'!B$116:C$124,2,0)=0,$J$3,VLOOKUP(J533,'HOURLY RATES'!B$116:C$124,2,0))</f>
        <v>0.05</v>
      </c>
      <c r="I533" s="317">
        <f t="shared" ref="I533" si="413">(G533*(1+H533))</f>
        <v>29056.596975000004</v>
      </c>
      <c r="J533" s="192" t="s">
        <v>17</v>
      </c>
      <c r="K533" s="238">
        <v>7.0000000000000001E-3</v>
      </c>
      <c r="L533" s="228">
        <f t="shared" ref="L533" si="414">K533*I533</f>
        <v>203.39617882500002</v>
      </c>
      <c r="M533" s="194">
        <f>IF(VLOOKUP(E533,'HOURLY RATES'!C$6:D$105,2,0)=0,$E$3,VLOOKUP(E533,'HOURLY RATES'!C$6:D$105,2,0))</f>
        <v>38.508412499999999</v>
      </c>
      <c r="N533" s="206">
        <f t="shared" ref="N533" si="415">M533*L533</f>
        <v>7832.4639551168657</v>
      </c>
      <c r="O533" s="377"/>
      <c r="P533" s="197">
        <f t="shared" ref="P533" si="416">O533*I533</f>
        <v>0</v>
      </c>
      <c r="Q533" s="198">
        <f t="shared" ref="Q533" si="417">P533+N533</f>
        <v>7832.4639551168657</v>
      </c>
      <c r="R533" s="199"/>
      <c r="X533" s="257"/>
    </row>
    <row r="534" spans="1:24" s="12" customFormat="1" x14ac:dyDescent="0.2">
      <c r="A534" s="204" t="str">
        <f>IF(J534&lt;&gt;"",1+MAX($A$18:A533),"")</f>
        <v/>
      </c>
      <c r="B534" s="201"/>
      <c r="C534" s="201"/>
      <c r="D534" s="201"/>
      <c r="E534" s="255"/>
      <c r="F534" s="188"/>
      <c r="G534" s="310"/>
      <c r="H534" s="190"/>
      <c r="I534" s="317"/>
      <c r="J534" s="192"/>
      <c r="K534" s="382"/>
      <c r="L534" s="247"/>
      <c r="M534" s="194"/>
      <c r="N534" s="248"/>
      <c r="O534" s="377"/>
      <c r="P534" s="195"/>
      <c r="Q534" s="198"/>
      <c r="R534" s="199"/>
      <c r="X534" s="257"/>
    </row>
    <row r="535" spans="1:24" s="12" customFormat="1" x14ac:dyDescent="0.2">
      <c r="A535" s="204" t="str">
        <f>IF(J535&lt;&gt;"",1+MAX($A$18:A534),"")</f>
        <v/>
      </c>
      <c r="B535" s="201"/>
      <c r="C535" s="201"/>
      <c r="D535" s="201"/>
      <c r="E535" s="255"/>
      <c r="F535" s="202" t="s">
        <v>33</v>
      </c>
      <c r="G535" s="310"/>
      <c r="H535" s="190"/>
      <c r="I535" s="317"/>
      <c r="J535" s="192"/>
      <c r="K535" s="382"/>
      <c r="L535" s="247"/>
      <c r="M535" s="194"/>
      <c r="N535" s="248"/>
      <c r="O535" s="377"/>
      <c r="P535" s="195"/>
      <c r="Q535" s="198"/>
      <c r="R535" s="199"/>
      <c r="X535" s="257"/>
    </row>
    <row r="536" spans="1:24" s="12" customFormat="1" x14ac:dyDescent="0.2">
      <c r="A536" s="204">
        <f>IF(J536&lt;&gt;"",1+MAX($A$18:A535),"")</f>
        <v>376</v>
      </c>
      <c r="B536" s="201"/>
      <c r="C536" s="201"/>
      <c r="D536" s="201" t="s">
        <v>21</v>
      </c>
      <c r="E536" s="255" t="s">
        <v>76</v>
      </c>
      <c r="F536" s="188" t="s">
        <v>33</v>
      </c>
      <c r="G536" s="310">
        <f>44*38</f>
        <v>1672</v>
      </c>
      <c r="H536" s="205">
        <f>IF(VLOOKUP(J536,'HOURLY RATES'!B$116:C$124,2,0)=0,$J$3,VLOOKUP(J536,'HOURLY RATES'!B$116:C$124,2,0))</f>
        <v>0.05</v>
      </c>
      <c r="I536" s="317">
        <f t="shared" ref="I536" si="418">(G536*(1+H536))</f>
        <v>1755.6000000000001</v>
      </c>
      <c r="J536" s="192" t="s">
        <v>19</v>
      </c>
      <c r="K536" s="382">
        <v>2.1999999999999999E-2</v>
      </c>
      <c r="L536" s="249">
        <f>K536*I536</f>
        <v>38.623200000000004</v>
      </c>
      <c r="M536" s="194">
        <f>IF(VLOOKUP(E536,'HOURLY RATES'!C$6:D$105,2,0)=0,$E$3,VLOOKUP(E536,'HOURLY RATES'!C$6:D$105,2,0))</f>
        <v>69.559850000000012</v>
      </c>
      <c r="N536" s="206">
        <f>M536*L536</f>
        <v>2686.6239985200009</v>
      </c>
      <c r="O536" s="377">
        <v>1.1000000000000001</v>
      </c>
      <c r="P536" s="197">
        <f t="shared" ref="P536" si="419">O536*I536</f>
        <v>1931.1600000000003</v>
      </c>
      <c r="Q536" s="198">
        <f>P536+N536</f>
        <v>4617.7839985200008</v>
      </c>
      <c r="R536" s="199"/>
      <c r="X536" s="257"/>
    </row>
    <row r="537" spans="1:24" s="12" customFormat="1" x14ac:dyDescent="0.2">
      <c r="A537" s="204" t="str">
        <f>IF(J537&lt;&gt;"",1+MAX($A$18:A536),"")</f>
        <v/>
      </c>
      <c r="B537" s="201"/>
      <c r="C537" s="201"/>
      <c r="D537" s="201"/>
      <c r="E537" s="255"/>
      <c r="F537" s="188"/>
      <c r="G537" s="310"/>
      <c r="H537" s="205"/>
      <c r="I537" s="317"/>
      <c r="J537" s="192"/>
      <c r="K537" s="382"/>
      <c r="L537" s="249"/>
      <c r="M537" s="194"/>
      <c r="N537" s="206"/>
      <c r="O537" s="377"/>
      <c r="P537" s="197"/>
      <c r="Q537" s="198"/>
      <c r="R537" s="199"/>
      <c r="X537" s="257"/>
    </row>
    <row r="538" spans="1:24" s="12" customFormat="1" x14ac:dyDescent="0.2">
      <c r="A538" s="367" t="str">
        <f>IF(J538&lt;&gt;"",1+MAX($A$18:A537),"")</f>
        <v/>
      </c>
      <c r="B538" s="368"/>
      <c r="C538" s="368"/>
      <c r="D538" s="368"/>
      <c r="E538" s="394"/>
      <c r="F538" s="369" t="s">
        <v>36</v>
      </c>
      <c r="G538" s="366"/>
      <c r="H538" s="370"/>
      <c r="I538" s="371"/>
      <c r="J538" s="372"/>
      <c r="K538" s="382"/>
      <c r="L538" s="374"/>
      <c r="M538" s="375"/>
      <c r="N538" s="376"/>
      <c r="O538" s="377"/>
      <c r="P538" s="385"/>
      <c r="Q538" s="379"/>
      <c r="R538" s="199"/>
      <c r="X538" s="257"/>
    </row>
    <row r="539" spans="1:24" s="12" customFormat="1" ht="47.25" x14ac:dyDescent="0.2">
      <c r="A539" s="367">
        <f>IF(J539&lt;&gt;"",1+MAX($A$18:A538),"")</f>
        <v>377</v>
      </c>
      <c r="B539" s="368" t="s">
        <v>529</v>
      </c>
      <c r="C539" s="368" t="s">
        <v>529</v>
      </c>
      <c r="D539" s="368" t="s">
        <v>21</v>
      </c>
      <c r="E539" s="255" t="s">
        <v>300</v>
      </c>
      <c r="F539" s="308" t="s">
        <v>574</v>
      </c>
      <c r="G539" s="366">
        <v>5701.1</v>
      </c>
      <c r="H539" s="205">
        <f>IF(VLOOKUP(J539,'HOURLY RATES'!B$116:C$124,2,0)=0,$J$3,VLOOKUP(J539,'HOURLY RATES'!B$116:C$124,2,0))</f>
        <v>0.05</v>
      </c>
      <c r="I539" s="317">
        <f t="shared" ref="I539:I616" si="420">(G539*(1+H539))</f>
        <v>5986.1550000000007</v>
      </c>
      <c r="J539" s="192" t="s">
        <v>17</v>
      </c>
      <c r="K539" s="382">
        <v>0.09</v>
      </c>
      <c r="L539" s="228">
        <f t="shared" ref="L539:L616" si="421">K539*I539</f>
        <v>538.75395000000003</v>
      </c>
      <c r="M539" s="194">
        <f>IF(VLOOKUP(E539,'HOURLY RATES'!C$6:D$105,2,0)=0,$E$3,VLOOKUP(E539,'HOURLY RATES'!C$6:D$105,2,0))</f>
        <v>38.508412499999999</v>
      </c>
      <c r="N539" s="206">
        <f t="shared" ref="N539:N616" si="422">M539*L539</f>
        <v>20746.559342604374</v>
      </c>
      <c r="O539" s="377">
        <f>1.91+1.5</f>
        <v>3.41</v>
      </c>
      <c r="P539" s="197">
        <f t="shared" ref="P539:P616" si="423">O539*I539</f>
        <v>20412.788550000005</v>
      </c>
      <c r="Q539" s="198">
        <f t="shared" ref="Q539:Q616" si="424">P539+N539</f>
        <v>41159.347892604375</v>
      </c>
      <c r="R539" s="199"/>
      <c r="X539" s="257"/>
    </row>
    <row r="540" spans="1:24" s="12" customFormat="1" ht="47.25" x14ac:dyDescent="0.2">
      <c r="A540" s="367">
        <f>IF(J540&lt;&gt;"",1+MAX($A$18:A539),"")</f>
        <v>378</v>
      </c>
      <c r="B540" s="368" t="s">
        <v>529</v>
      </c>
      <c r="C540" s="368" t="s">
        <v>529</v>
      </c>
      <c r="D540" s="368" t="s">
        <v>21</v>
      </c>
      <c r="E540" s="255" t="s">
        <v>300</v>
      </c>
      <c r="F540" s="308" t="s">
        <v>575</v>
      </c>
      <c r="G540" s="366">
        <v>380.95</v>
      </c>
      <c r="H540" s="205">
        <f>IF(VLOOKUP(J540,'HOURLY RATES'!B$116:C$124,2,0)=0,$J$3,VLOOKUP(J540,'HOURLY RATES'!B$116:C$124,2,0))</f>
        <v>0.05</v>
      </c>
      <c r="I540" s="317">
        <f t="shared" si="420"/>
        <v>399.9975</v>
      </c>
      <c r="J540" s="192" t="s">
        <v>17</v>
      </c>
      <c r="K540" s="382">
        <v>0.09</v>
      </c>
      <c r="L540" s="228">
        <f t="shared" si="421"/>
        <v>35.999775</v>
      </c>
      <c r="M540" s="194">
        <f>IF(VLOOKUP(E540,'HOURLY RATES'!C$6:D$105,2,0)=0,$E$3,VLOOKUP(E540,'HOURLY RATES'!C$6:D$105,2,0))</f>
        <v>38.508412499999999</v>
      </c>
      <c r="N540" s="206">
        <f t="shared" si="422"/>
        <v>1386.2941856071875</v>
      </c>
      <c r="O540" s="377">
        <f>1.91+1.5</f>
        <v>3.41</v>
      </c>
      <c r="P540" s="197">
        <f t="shared" si="423"/>
        <v>1363.991475</v>
      </c>
      <c r="Q540" s="198">
        <f t="shared" si="424"/>
        <v>2750.2856606071873</v>
      </c>
      <c r="R540" s="199"/>
      <c r="X540" s="257"/>
    </row>
    <row r="541" spans="1:24" s="12" customFormat="1" ht="47.25" x14ac:dyDescent="0.2">
      <c r="A541" s="367">
        <f>IF(J541&lt;&gt;"",1+MAX($A$18:A540),"")</f>
        <v>379</v>
      </c>
      <c r="B541" s="368" t="s">
        <v>529</v>
      </c>
      <c r="C541" s="368" t="s">
        <v>529</v>
      </c>
      <c r="D541" s="368" t="s">
        <v>21</v>
      </c>
      <c r="E541" s="255" t="s">
        <v>300</v>
      </c>
      <c r="F541" s="308" t="s">
        <v>576</v>
      </c>
      <c r="G541" s="366">
        <v>342.41</v>
      </c>
      <c r="H541" s="205">
        <f>IF(VLOOKUP(J541,'HOURLY RATES'!B$116:C$124,2,0)=0,$J$3,VLOOKUP(J541,'HOURLY RATES'!B$116:C$124,2,0))</f>
        <v>0.05</v>
      </c>
      <c r="I541" s="317">
        <f t="shared" si="420"/>
        <v>359.53050000000002</v>
      </c>
      <c r="J541" s="192" t="s">
        <v>17</v>
      </c>
      <c r="K541" s="382">
        <v>0.09</v>
      </c>
      <c r="L541" s="228">
        <f t="shared" si="421"/>
        <v>32.357745000000001</v>
      </c>
      <c r="M541" s="194">
        <f>IF(VLOOKUP(E541,'HOURLY RATES'!C$6:D$105,2,0)=0,$E$3,VLOOKUP(E541,'HOURLY RATES'!C$6:D$105,2,0))</f>
        <v>38.508412499999999</v>
      </c>
      <c r="N541" s="206">
        <f t="shared" si="422"/>
        <v>1246.0453920298125</v>
      </c>
      <c r="O541" s="377">
        <f>1.91+1.5</f>
        <v>3.41</v>
      </c>
      <c r="P541" s="197">
        <f t="shared" si="423"/>
        <v>1225.9990050000001</v>
      </c>
      <c r="Q541" s="198">
        <f t="shared" si="424"/>
        <v>2472.0443970298129</v>
      </c>
      <c r="R541" s="199"/>
      <c r="X541" s="257"/>
    </row>
    <row r="542" spans="1:24" s="12" customFormat="1" ht="47.25" x14ac:dyDescent="0.2">
      <c r="A542" s="367">
        <f>IF(J542&lt;&gt;"",1+MAX($A$18:A541),"")</f>
        <v>380</v>
      </c>
      <c r="B542" s="368" t="s">
        <v>529</v>
      </c>
      <c r="C542" s="368" t="s">
        <v>529</v>
      </c>
      <c r="D542" s="368" t="s">
        <v>21</v>
      </c>
      <c r="E542" s="255" t="s">
        <v>133</v>
      </c>
      <c r="F542" s="308" t="s">
        <v>577</v>
      </c>
      <c r="G542" s="366">
        <v>110.9</v>
      </c>
      <c r="H542" s="205">
        <f>IF(VLOOKUP(J542,'HOURLY RATES'!B$116:C$124,2,0)=0,$J$3,VLOOKUP(J542,'HOURLY RATES'!B$116:C$124,2,0))</f>
        <v>0.05</v>
      </c>
      <c r="I542" s="317">
        <f t="shared" si="420"/>
        <v>116.44500000000001</v>
      </c>
      <c r="J542" s="192" t="s">
        <v>17</v>
      </c>
      <c r="K542" s="382">
        <v>0.02</v>
      </c>
      <c r="L542" s="228">
        <f t="shared" si="421"/>
        <v>2.3289000000000004</v>
      </c>
      <c r="M542" s="194">
        <f>IF(VLOOKUP(E542,'HOURLY RATES'!C$6:D$105,2,0)=0,$E$3,VLOOKUP(E542,'HOURLY RATES'!C$6:D$105,2,0))</f>
        <v>38.508412499999999</v>
      </c>
      <c r="N542" s="206">
        <f t="shared" si="422"/>
        <v>89.682241871250014</v>
      </c>
      <c r="O542" s="377">
        <f>10.56/32</f>
        <v>0.33</v>
      </c>
      <c r="P542" s="197">
        <f t="shared" si="423"/>
        <v>38.426850000000002</v>
      </c>
      <c r="Q542" s="198">
        <f t="shared" si="424"/>
        <v>128.10909187125003</v>
      </c>
      <c r="R542" s="199"/>
      <c r="X542" s="257"/>
    </row>
    <row r="543" spans="1:24" s="12" customFormat="1" ht="47.25" x14ac:dyDescent="0.2">
      <c r="A543" s="367">
        <f>IF(J543&lt;&gt;"",1+MAX($A$18:A542),"")</f>
        <v>381</v>
      </c>
      <c r="B543" s="368" t="s">
        <v>529</v>
      </c>
      <c r="C543" s="368" t="s">
        <v>529</v>
      </c>
      <c r="D543" s="368" t="s">
        <v>21</v>
      </c>
      <c r="E543" s="255" t="s">
        <v>133</v>
      </c>
      <c r="F543" s="308" t="s">
        <v>578</v>
      </c>
      <c r="G543" s="366">
        <v>697.01</v>
      </c>
      <c r="H543" s="205">
        <f>IF(VLOOKUP(J543,'HOURLY RATES'!B$116:C$124,2,0)=0,$J$3,VLOOKUP(J543,'HOURLY RATES'!B$116:C$124,2,0))</f>
        <v>0.05</v>
      </c>
      <c r="I543" s="317">
        <f t="shared" si="420"/>
        <v>731.8605</v>
      </c>
      <c r="J543" s="192" t="s">
        <v>17</v>
      </c>
      <c r="K543" s="382">
        <v>0.02</v>
      </c>
      <c r="L543" s="228">
        <f t="shared" si="421"/>
        <v>14.63721</v>
      </c>
      <c r="M543" s="194">
        <f>IF(VLOOKUP(E543,'HOURLY RATES'!C$6:D$105,2,0)=0,$E$3,VLOOKUP(E543,'HOURLY RATES'!C$6:D$105,2,0))</f>
        <v>38.508412499999999</v>
      </c>
      <c r="N543" s="206">
        <f t="shared" si="422"/>
        <v>563.65572052912501</v>
      </c>
      <c r="O543" s="377">
        <f>10.56/32</f>
        <v>0.33</v>
      </c>
      <c r="P543" s="197">
        <f t="shared" si="423"/>
        <v>241.51396500000001</v>
      </c>
      <c r="Q543" s="198">
        <f t="shared" si="424"/>
        <v>805.16968552912499</v>
      </c>
      <c r="R543" s="199"/>
      <c r="X543" s="257"/>
    </row>
    <row r="544" spans="1:24" s="12" customFormat="1" ht="47.25" x14ac:dyDescent="0.2">
      <c r="A544" s="367">
        <f>IF(J544&lt;&gt;"",1+MAX($A$18:A543),"")</f>
        <v>382</v>
      </c>
      <c r="B544" s="368" t="s">
        <v>529</v>
      </c>
      <c r="C544" s="368" t="s">
        <v>529</v>
      </c>
      <c r="D544" s="368" t="s">
        <v>21</v>
      </c>
      <c r="E544" s="255" t="s">
        <v>133</v>
      </c>
      <c r="F544" s="308" t="s">
        <v>579</v>
      </c>
      <c r="G544" s="366">
        <v>150.33000000000001</v>
      </c>
      <c r="H544" s="205">
        <f>IF(VLOOKUP(J544,'HOURLY RATES'!B$116:C$124,2,0)=0,$J$3,VLOOKUP(J544,'HOURLY RATES'!B$116:C$124,2,0))</f>
        <v>0.05</v>
      </c>
      <c r="I544" s="317">
        <f t="shared" si="420"/>
        <v>157.84650000000002</v>
      </c>
      <c r="J544" s="192" t="s">
        <v>17</v>
      </c>
      <c r="K544" s="382">
        <v>0.02</v>
      </c>
      <c r="L544" s="228">
        <f t="shared" si="421"/>
        <v>3.1569300000000005</v>
      </c>
      <c r="M544" s="194">
        <f>IF(VLOOKUP(E544,'HOURLY RATES'!C$6:D$105,2,0)=0,$E$3,VLOOKUP(E544,'HOURLY RATES'!C$6:D$105,2,0))</f>
        <v>38.508412499999999</v>
      </c>
      <c r="N544" s="206">
        <f t="shared" si="422"/>
        <v>121.56836267362502</v>
      </c>
      <c r="O544" s="377">
        <f t="shared" ref="O544:O547" si="425">10.56/32</f>
        <v>0.33</v>
      </c>
      <c r="P544" s="197">
        <f t="shared" si="423"/>
        <v>52.089345000000009</v>
      </c>
      <c r="Q544" s="198">
        <f t="shared" si="424"/>
        <v>173.65770767362503</v>
      </c>
      <c r="R544" s="199"/>
      <c r="X544" s="257"/>
    </row>
    <row r="545" spans="1:24" s="12" customFormat="1" ht="47.25" x14ac:dyDescent="0.2">
      <c r="A545" s="367">
        <f>IF(J545&lt;&gt;"",1+MAX($A$18:A544),"")</f>
        <v>383</v>
      </c>
      <c r="B545" s="368" t="s">
        <v>529</v>
      </c>
      <c r="C545" s="368" t="s">
        <v>529</v>
      </c>
      <c r="D545" s="368" t="s">
        <v>21</v>
      </c>
      <c r="E545" s="255" t="s">
        <v>133</v>
      </c>
      <c r="F545" s="308" t="s">
        <v>580</v>
      </c>
      <c r="G545" s="366">
        <v>285.14</v>
      </c>
      <c r="H545" s="205">
        <f>IF(VLOOKUP(J545,'HOURLY RATES'!B$116:C$124,2,0)=0,$J$3,VLOOKUP(J545,'HOURLY RATES'!B$116:C$124,2,0))</f>
        <v>0.05</v>
      </c>
      <c r="I545" s="317">
        <f t="shared" si="420"/>
        <v>299.39699999999999</v>
      </c>
      <c r="J545" s="192" t="s">
        <v>17</v>
      </c>
      <c r="K545" s="382">
        <v>0.02</v>
      </c>
      <c r="L545" s="228">
        <f t="shared" si="421"/>
        <v>5.98794</v>
      </c>
      <c r="M545" s="194">
        <f>IF(VLOOKUP(E545,'HOURLY RATES'!C$6:D$105,2,0)=0,$E$3,VLOOKUP(E545,'HOURLY RATES'!C$6:D$105,2,0))</f>
        <v>38.508412499999999</v>
      </c>
      <c r="N545" s="206">
        <f t="shared" si="422"/>
        <v>230.58606354525</v>
      </c>
      <c r="O545" s="377">
        <f t="shared" si="425"/>
        <v>0.33</v>
      </c>
      <c r="P545" s="197">
        <f t="shared" si="423"/>
        <v>98.801010000000005</v>
      </c>
      <c r="Q545" s="198">
        <f t="shared" si="424"/>
        <v>329.38707354525002</v>
      </c>
      <c r="R545" s="199"/>
      <c r="X545" s="257"/>
    </row>
    <row r="546" spans="1:24" s="12" customFormat="1" ht="47.25" x14ac:dyDescent="0.2">
      <c r="A546" s="367">
        <f>IF(J546&lt;&gt;"",1+MAX($A$18:A545),"")</f>
        <v>384</v>
      </c>
      <c r="B546" s="368" t="s">
        <v>529</v>
      </c>
      <c r="C546" s="368" t="s">
        <v>529</v>
      </c>
      <c r="D546" s="368" t="s">
        <v>21</v>
      </c>
      <c r="E546" s="255" t="s">
        <v>133</v>
      </c>
      <c r="F546" s="308" t="s">
        <v>581</v>
      </c>
      <c r="G546" s="366">
        <v>778.92</v>
      </c>
      <c r="H546" s="205">
        <f>IF(VLOOKUP(J546,'HOURLY RATES'!B$116:C$124,2,0)=0,$J$3,VLOOKUP(J546,'HOURLY RATES'!B$116:C$124,2,0))</f>
        <v>0.05</v>
      </c>
      <c r="I546" s="317">
        <f t="shared" si="420"/>
        <v>817.86599999999999</v>
      </c>
      <c r="J546" s="192" t="s">
        <v>17</v>
      </c>
      <c r="K546" s="382">
        <v>0.02</v>
      </c>
      <c r="L546" s="228">
        <f t="shared" si="421"/>
        <v>16.357320000000001</v>
      </c>
      <c r="M546" s="194">
        <f>IF(VLOOKUP(E546,'HOURLY RATES'!C$6:D$105,2,0)=0,$E$3,VLOOKUP(E546,'HOURLY RATES'!C$6:D$105,2,0))</f>
        <v>38.508412499999999</v>
      </c>
      <c r="N546" s="206">
        <f t="shared" si="422"/>
        <v>629.89442595449998</v>
      </c>
      <c r="O546" s="377">
        <f t="shared" si="425"/>
        <v>0.33</v>
      </c>
      <c r="P546" s="197">
        <f t="shared" si="423"/>
        <v>269.89578</v>
      </c>
      <c r="Q546" s="198">
        <f t="shared" si="424"/>
        <v>899.79020595449992</v>
      </c>
      <c r="R546" s="199"/>
      <c r="X546" s="257"/>
    </row>
    <row r="547" spans="1:24" s="12" customFormat="1" ht="47.25" x14ac:dyDescent="0.2">
      <c r="A547" s="367">
        <f>IF(J547&lt;&gt;"",1+MAX($A$18:A546),"")</f>
        <v>385</v>
      </c>
      <c r="B547" s="368" t="s">
        <v>529</v>
      </c>
      <c r="C547" s="368" t="s">
        <v>529</v>
      </c>
      <c r="D547" s="368" t="s">
        <v>21</v>
      </c>
      <c r="E547" s="255" t="s">
        <v>133</v>
      </c>
      <c r="F547" s="308" t="s">
        <v>582</v>
      </c>
      <c r="G547" s="366">
        <v>483.2</v>
      </c>
      <c r="H547" s="205">
        <f>IF(VLOOKUP(J547,'HOURLY RATES'!B$116:C$124,2,0)=0,$J$3,VLOOKUP(J547,'HOURLY RATES'!B$116:C$124,2,0))</f>
        <v>0.05</v>
      </c>
      <c r="I547" s="317">
        <f t="shared" si="420"/>
        <v>507.36</v>
      </c>
      <c r="J547" s="192" t="s">
        <v>17</v>
      </c>
      <c r="K547" s="382">
        <v>0.02</v>
      </c>
      <c r="L547" s="228">
        <f t="shared" si="421"/>
        <v>10.1472</v>
      </c>
      <c r="M547" s="194">
        <f>IF(VLOOKUP(E547,'HOURLY RATES'!C$6:D$105,2,0)=0,$E$3,VLOOKUP(E547,'HOURLY RATES'!C$6:D$105,2,0))</f>
        <v>38.508412499999999</v>
      </c>
      <c r="N547" s="206">
        <f t="shared" si="422"/>
        <v>390.75256331999998</v>
      </c>
      <c r="O547" s="377">
        <f t="shared" si="425"/>
        <v>0.33</v>
      </c>
      <c r="P547" s="197">
        <f t="shared" si="423"/>
        <v>167.42880000000002</v>
      </c>
      <c r="Q547" s="198">
        <f t="shared" si="424"/>
        <v>558.18136331999995</v>
      </c>
      <c r="R547" s="199"/>
      <c r="X547" s="257"/>
    </row>
    <row r="548" spans="1:24" s="12" customFormat="1" x14ac:dyDescent="0.2">
      <c r="A548" s="367">
        <f>IF(J548&lt;&gt;"",1+MAX($A$18:A547),"")</f>
        <v>386</v>
      </c>
      <c r="B548" s="368" t="s">
        <v>529</v>
      </c>
      <c r="C548" s="368" t="s">
        <v>529</v>
      </c>
      <c r="D548" s="368" t="s">
        <v>21</v>
      </c>
      <c r="E548" s="255" t="s">
        <v>133</v>
      </c>
      <c r="F548" s="380" t="s">
        <v>604</v>
      </c>
      <c r="G548" s="366">
        <f>75.59*1</f>
        <v>75.59</v>
      </c>
      <c r="H548" s="205">
        <f>IF(VLOOKUP(J548,'HOURLY RATES'!B$116:C$124,2,0)=0,$J$3,VLOOKUP(J548,'HOURLY RATES'!B$116:C$124,2,0))</f>
        <v>0.05</v>
      </c>
      <c r="I548" s="317">
        <f t="shared" si="420"/>
        <v>79.369500000000002</v>
      </c>
      <c r="J548" s="192" t="s">
        <v>17</v>
      </c>
      <c r="K548" s="382">
        <f>5*0.02</f>
        <v>0.1</v>
      </c>
      <c r="L548" s="228">
        <f t="shared" si="421"/>
        <v>7.9369500000000004</v>
      </c>
      <c r="M548" s="194">
        <f>IF(VLOOKUP(E548,'HOURLY RATES'!C$6:D$105,2,0)=0,$E$3,VLOOKUP(E548,'HOURLY RATES'!C$6:D$105,2,0))</f>
        <v>38.508412499999999</v>
      </c>
      <c r="N548" s="206">
        <f t="shared" si="422"/>
        <v>305.63934459187499</v>
      </c>
      <c r="O548" s="377">
        <f>10.56/32</f>
        <v>0.33</v>
      </c>
      <c r="P548" s="197">
        <f t="shared" si="423"/>
        <v>26.191935000000001</v>
      </c>
      <c r="Q548" s="198">
        <f t="shared" si="424"/>
        <v>331.83127959187499</v>
      </c>
      <c r="R548" s="199"/>
      <c r="X548" s="257"/>
    </row>
    <row r="549" spans="1:24" s="12" customFormat="1" x14ac:dyDescent="0.2">
      <c r="A549" s="367">
        <f>IF(J549&lt;&gt;"",1+MAX($A$18:A548),"")</f>
        <v>387</v>
      </c>
      <c r="B549" s="368" t="s">
        <v>529</v>
      </c>
      <c r="C549" s="368" t="s">
        <v>529</v>
      </c>
      <c r="D549" s="368" t="s">
        <v>21</v>
      </c>
      <c r="E549" s="255" t="s">
        <v>133</v>
      </c>
      <c r="F549" s="380" t="s">
        <v>673</v>
      </c>
      <c r="G549" s="366">
        <f>24.28*1.5</f>
        <v>36.42</v>
      </c>
      <c r="H549" s="205">
        <f>IF(VLOOKUP(J549,'HOURLY RATES'!B$116:C$124,2,0)=0,$J$3,VLOOKUP(J549,'HOURLY RATES'!B$116:C$124,2,0))</f>
        <v>0.05</v>
      </c>
      <c r="I549" s="317">
        <f t="shared" ref="I549" si="426">(G549*(1+H549))</f>
        <v>38.241000000000007</v>
      </c>
      <c r="J549" s="192" t="s">
        <v>17</v>
      </c>
      <c r="K549" s="382">
        <f>5*0.02</f>
        <v>0.1</v>
      </c>
      <c r="L549" s="228">
        <f t="shared" ref="L549" si="427">K549*I549</f>
        <v>3.8241000000000009</v>
      </c>
      <c r="M549" s="194">
        <f>IF(VLOOKUP(E549,'HOURLY RATES'!C$6:D$105,2,0)=0,$E$3,VLOOKUP(E549,'HOURLY RATES'!C$6:D$105,2,0))</f>
        <v>38.508412499999999</v>
      </c>
      <c r="N549" s="206">
        <f t="shared" ref="N549" si="428">M549*L549</f>
        <v>147.26002024125003</v>
      </c>
      <c r="O549" s="377">
        <f t="shared" ref="O549:O553" si="429">10.56/32</f>
        <v>0.33</v>
      </c>
      <c r="P549" s="197">
        <f t="shared" ref="P549" si="430">O549*I549</f>
        <v>12.619530000000003</v>
      </c>
      <c r="Q549" s="198">
        <f t="shared" ref="Q549" si="431">P549+N549</f>
        <v>159.87955024125003</v>
      </c>
      <c r="R549" s="199"/>
      <c r="X549" s="257"/>
    </row>
    <row r="550" spans="1:24" s="12" customFormat="1" x14ac:dyDescent="0.2">
      <c r="A550" s="367">
        <f>IF(J550&lt;&gt;"",1+MAX($A$18:A549),"")</f>
        <v>388</v>
      </c>
      <c r="B550" s="368" t="s">
        <v>529</v>
      </c>
      <c r="C550" s="368" t="s">
        <v>529</v>
      </c>
      <c r="D550" s="368" t="s">
        <v>21</v>
      </c>
      <c r="E550" s="255" t="s">
        <v>133</v>
      </c>
      <c r="F550" s="380" t="s">
        <v>607</v>
      </c>
      <c r="G550" s="366">
        <f>78.35*3.5</f>
        <v>274.22499999999997</v>
      </c>
      <c r="H550" s="205">
        <f>IF(VLOOKUP(J550,'HOURLY RATES'!B$116:C$124,2,0)=0,$J$3,VLOOKUP(J550,'HOURLY RATES'!B$116:C$124,2,0))</f>
        <v>0.05</v>
      </c>
      <c r="I550" s="317">
        <f>(G550*(1+H550))</f>
        <v>287.93624999999997</v>
      </c>
      <c r="J550" s="192" t="s">
        <v>17</v>
      </c>
      <c r="K550" s="382">
        <f>3*0.02</f>
        <v>0.06</v>
      </c>
      <c r="L550" s="228">
        <f>K550*I550</f>
        <v>17.276174999999999</v>
      </c>
      <c r="M550" s="194">
        <f>IF(VLOOKUP(E550,'HOURLY RATES'!C$6:D$105,2,0)=0,$E$3,VLOOKUP(E550,'HOURLY RATES'!C$6:D$105,2,0))</f>
        <v>38.508412499999999</v>
      </c>
      <c r="N550" s="206">
        <f>M550*L550</f>
        <v>665.27807332218742</v>
      </c>
      <c r="O550" s="377">
        <f t="shared" si="429"/>
        <v>0.33</v>
      </c>
      <c r="P550" s="197">
        <f>O550*I550</f>
        <v>95.018962500000001</v>
      </c>
      <c r="Q550" s="198">
        <f>P550+N550</f>
        <v>760.29703582218747</v>
      </c>
      <c r="R550" s="199"/>
      <c r="X550" s="257"/>
    </row>
    <row r="551" spans="1:24" s="12" customFormat="1" x14ac:dyDescent="0.2">
      <c r="A551" s="367">
        <f>IF(J551&lt;&gt;"",1+MAX($A$18:A550),"")</f>
        <v>389</v>
      </c>
      <c r="B551" s="368" t="s">
        <v>529</v>
      </c>
      <c r="C551" s="368" t="s">
        <v>529</v>
      </c>
      <c r="D551" s="368" t="s">
        <v>21</v>
      </c>
      <c r="E551" s="255" t="s">
        <v>133</v>
      </c>
      <c r="F551" s="380" t="s">
        <v>675</v>
      </c>
      <c r="G551" s="366">
        <f>9.39*4.5</f>
        <v>42.255000000000003</v>
      </c>
      <c r="H551" s="205">
        <f>IF(VLOOKUP(J551,'HOURLY RATES'!B$116:C$124,2,0)=0,$J$3,VLOOKUP(J551,'HOURLY RATES'!B$116:C$124,2,0))</f>
        <v>0.05</v>
      </c>
      <c r="I551" s="317">
        <f>(G551*(1+H551))</f>
        <v>44.367750000000008</v>
      </c>
      <c r="J551" s="192" t="s">
        <v>17</v>
      </c>
      <c r="K551" s="382">
        <f>5*0.02</f>
        <v>0.1</v>
      </c>
      <c r="L551" s="228">
        <f>K551*I551</f>
        <v>4.4367750000000008</v>
      </c>
      <c r="M551" s="194">
        <f>IF(VLOOKUP(E551,'HOURLY RATES'!C$6:D$105,2,0)=0,$E$3,VLOOKUP(E551,'HOURLY RATES'!C$6:D$105,2,0))</f>
        <v>38.508412499999999</v>
      </c>
      <c r="N551" s="206">
        <f>M551*L551</f>
        <v>170.85316186968751</v>
      </c>
      <c r="O551" s="377">
        <f t="shared" si="429"/>
        <v>0.33</v>
      </c>
      <c r="P551" s="197">
        <f>O551*I551</f>
        <v>14.641357500000003</v>
      </c>
      <c r="Q551" s="198">
        <f>P551+N551</f>
        <v>185.49451936968751</v>
      </c>
      <c r="R551" s="199"/>
      <c r="X551" s="257"/>
    </row>
    <row r="552" spans="1:24" s="12" customFormat="1" x14ac:dyDescent="0.2">
      <c r="A552" s="367">
        <f>IF(J552&lt;&gt;"",1+MAX($A$18:A551),"")</f>
        <v>390</v>
      </c>
      <c r="B552" s="368" t="s">
        <v>529</v>
      </c>
      <c r="C552" s="368" t="s">
        <v>529</v>
      </c>
      <c r="D552" s="368" t="s">
        <v>21</v>
      </c>
      <c r="E552" s="255" t="s">
        <v>133</v>
      </c>
      <c r="F552" s="380" t="s">
        <v>605</v>
      </c>
      <c r="G552" s="366">
        <f>135.91*4.75</f>
        <v>645.57249999999999</v>
      </c>
      <c r="H552" s="205">
        <f>IF(VLOOKUP(J552,'HOURLY RATES'!B$116:C$124,2,0)=0,$J$3,VLOOKUP(J552,'HOURLY RATES'!B$116:C$124,2,0))</f>
        <v>0.05</v>
      </c>
      <c r="I552" s="317">
        <f t="shared" si="420"/>
        <v>677.85112500000002</v>
      </c>
      <c r="J552" s="192" t="s">
        <v>17</v>
      </c>
      <c r="K552" s="382">
        <f>2*0.02</f>
        <v>0.04</v>
      </c>
      <c r="L552" s="228">
        <f t="shared" si="421"/>
        <v>27.114045000000001</v>
      </c>
      <c r="M552" s="194">
        <f>IF(VLOOKUP(E552,'HOURLY RATES'!C$6:D$105,2,0)=0,$E$3,VLOOKUP(E552,'HOURLY RATES'!C$6:D$105,2,0))</f>
        <v>38.508412499999999</v>
      </c>
      <c r="N552" s="206">
        <f t="shared" si="422"/>
        <v>1044.1188294035626</v>
      </c>
      <c r="O552" s="377">
        <f t="shared" si="429"/>
        <v>0.33</v>
      </c>
      <c r="P552" s="197">
        <f t="shared" si="423"/>
        <v>223.69087125000001</v>
      </c>
      <c r="Q552" s="198">
        <f t="shared" si="424"/>
        <v>1267.8097006535627</v>
      </c>
      <c r="R552" s="199"/>
      <c r="X552" s="257"/>
    </row>
    <row r="553" spans="1:24" s="12" customFormat="1" x14ac:dyDescent="0.2">
      <c r="A553" s="367">
        <f>IF(J553&lt;&gt;"",1+MAX($A$18:A552),"")</f>
        <v>391</v>
      </c>
      <c r="B553" s="368" t="s">
        <v>529</v>
      </c>
      <c r="C553" s="368" t="s">
        <v>529</v>
      </c>
      <c r="D553" s="368" t="s">
        <v>21</v>
      </c>
      <c r="E553" s="255" t="s">
        <v>133</v>
      </c>
      <c r="F553" s="380" t="s">
        <v>606</v>
      </c>
      <c r="G553" s="366">
        <f>14.07*5.5</f>
        <v>77.385000000000005</v>
      </c>
      <c r="H553" s="205">
        <f>IF(VLOOKUP(J553,'HOURLY RATES'!B$116:C$124,2,0)=0,$J$3,VLOOKUP(J553,'HOURLY RATES'!B$116:C$124,2,0))</f>
        <v>0.05</v>
      </c>
      <c r="I553" s="317">
        <f t="shared" si="420"/>
        <v>81.254250000000013</v>
      </c>
      <c r="J553" s="192" t="s">
        <v>17</v>
      </c>
      <c r="K553" s="382">
        <f>5*0.02</f>
        <v>0.1</v>
      </c>
      <c r="L553" s="228">
        <f t="shared" si="421"/>
        <v>8.1254250000000017</v>
      </c>
      <c r="M553" s="194">
        <f>IF(VLOOKUP(E553,'HOURLY RATES'!C$6:D$105,2,0)=0,$E$3,VLOOKUP(E553,'HOURLY RATES'!C$6:D$105,2,0))</f>
        <v>38.508412499999999</v>
      </c>
      <c r="N553" s="206">
        <f t="shared" si="422"/>
        <v>312.89721763781256</v>
      </c>
      <c r="O553" s="377">
        <f t="shared" si="429"/>
        <v>0.33</v>
      </c>
      <c r="P553" s="197">
        <f t="shared" si="423"/>
        <v>26.813902500000005</v>
      </c>
      <c r="Q553" s="198">
        <f t="shared" si="424"/>
        <v>339.71112013781254</v>
      </c>
      <c r="R553" s="199"/>
      <c r="X553" s="257"/>
    </row>
    <row r="554" spans="1:24" s="12" customFormat="1" ht="47.25" x14ac:dyDescent="0.2">
      <c r="A554" s="367">
        <f>IF(J554&lt;&gt;"",1+MAX($A$18:A553),"")</f>
        <v>392</v>
      </c>
      <c r="B554" s="368" t="s">
        <v>529</v>
      </c>
      <c r="C554" s="368" t="s">
        <v>529</v>
      </c>
      <c r="D554" s="368" t="s">
        <v>21</v>
      </c>
      <c r="E554" s="255" t="s">
        <v>300</v>
      </c>
      <c r="F554" s="380" t="s">
        <v>583</v>
      </c>
      <c r="G554" s="366">
        <v>321.63</v>
      </c>
      <c r="H554" s="205">
        <f>IF(VLOOKUP(J554,'HOURLY RATES'!B$116:C$124,2,0)=0,$J$3,VLOOKUP(J554,'HOURLY RATES'!B$116:C$124,2,0))</f>
        <v>0.05</v>
      </c>
      <c r="I554" s="317">
        <f t="shared" si="420"/>
        <v>337.7115</v>
      </c>
      <c r="J554" s="192" t="s">
        <v>19</v>
      </c>
      <c r="K554" s="382">
        <v>0.12</v>
      </c>
      <c r="L554" s="228">
        <f t="shared" si="421"/>
        <v>40.525379999999998</v>
      </c>
      <c r="M554" s="194">
        <f>IF(VLOOKUP(E554,'HOURLY RATES'!C$6:D$105,2,0)=0,$E$3,VLOOKUP(E554,'HOURLY RATES'!C$6:D$105,2,0))</f>
        <v>38.508412499999999</v>
      </c>
      <c r="N554" s="206">
        <f t="shared" si="422"/>
        <v>1560.5680497592498</v>
      </c>
      <c r="O554" s="377">
        <v>6.46</v>
      </c>
      <c r="P554" s="378">
        <f t="shared" si="423"/>
        <v>2181.6162899999999</v>
      </c>
      <c r="Q554" s="198">
        <f t="shared" si="424"/>
        <v>3742.1843397592497</v>
      </c>
      <c r="R554" s="199"/>
      <c r="X554" s="257"/>
    </row>
    <row r="555" spans="1:24" s="12" customFormat="1" x14ac:dyDescent="0.2">
      <c r="A555" s="367">
        <f>IF(J555&lt;&gt;"",1+MAX($A$18:A554),"")</f>
        <v>393</v>
      </c>
      <c r="B555" s="368" t="s">
        <v>529</v>
      </c>
      <c r="C555" s="368" t="s">
        <v>529</v>
      </c>
      <c r="D555" s="368" t="s">
        <v>21</v>
      </c>
      <c r="E555" s="255" t="s">
        <v>133</v>
      </c>
      <c r="F555" s="308" t="s">
        <v>747</v>
      </c>
      <c r="G555" s="366">
        <v>810.66</v>
      </c>
      <c r="H555" s="205">
        <f>IF(VLOOKUP(J555,'HOURLY RATES'!B$116:C$124,2,0)=0,$J$3,VLOOKUP(J555,'HOURLY RATES'!B$116:C$124,2,0))</f>
        <v>0.05</v>
      </c>
      <c r="I555" s="317">
        <f t="shared" si="420"/>
        <v>851.19299999999998</v>
      </c>
      <c r="J555" s="192" t="s">
        <v>17</v>
      </c>
      <c r="K555" s="382">
        <v>0.02</v>
      </c>
      <c r="L555" s="228">
        <f t="shared" si="421"/>
        <v>17.023859999999999</v>
      </c>
      <c r="M555" s="194">
        <f>IF(VLOOKUP(E555,'HOURLY RATES'!C$6:D$105,2,0)=0,$E$3,VLOOKUP(E555,'HOURLY RATES'!C$6:D$105,2,0))</f>
        <v>38.508412499999999</v>
      </c>
      <c r="N555" s="206">
        <f t="shared" si="422"/>
        <v>655.56182322224993</v>
      </c>
      <c r="O555" s="377">
        <f>15.94/32</f>
        <v>0.49812499999999998</v>
      </c>
      <c r="P555" s="197">
        <f t="shared" si="423"/>
        <v>424.000513125</v>
      </c>
      <c r="Q555" s="198">
        <f t="shared" si="424"/>
        <v>1079.56233634725</v>
      </c>
      <c r="R555" s="199"/>
      <c r="X555" s="257"/>
    </row>
    <row r="556" spans="1:24" s="12" customFormat="1" x14ac:dyDescent="0.2">
      <c r="A556" s="367">
        <f>IF(J556&lt;&gt;"",1+MAX($A$18:A555),"")</f>
        <v>394</v>
      </c>
      <c r="B556" s="368" t="s">
        <v>529</v>
      </c>
      <c r="C556" s="368" t="s">
        <v>529</v>
      </c>
      <c r="D556" s="368" t="s">
        <v>21</v>
      </c>
      <c r="E556" s="255" t="s">
        <v>63</v>
      </c>
      <c r="F556" s="308" t="s">
        <v>584</v>
      </c>
      <c r="G556" s="366">
        <v>810.66</v>
      </c>
      <c r="H556" s="205">
        <f>IF(VLOOKUP(J556,'HOURLY RATES'!B$116:C$124,2,0)=0,$J$3,VLOOKUP(J556,'HOURLY RATES'!B$116:C$124,2,0))</f>
        <v>0.05</v>
      </c>
      <c r="I556" s="317">
        <f t="shared" si="420"/>
        <v>851.19299999999998</v>
      </c>
      <c r="J556" s="192" t="s">
        <v>17</v>
      </c>
      <c r="K556" s="382">
        <v>1.4999999999999999E-2</v>
      </c>
      <c r="L556" s="228">
        <f t="shared" si="421"/>
        <v>12.767894999999999</v>
      </c>
      <c r="M556" s="194">
        <f>IF(VLOOKUP(E556,'HOURLY RATES'!C$6:D$105,2,0)=0,$E$3,VLOOKUP(E556,'HOURLY RATES'!C$6:D$105,2,0))</f>
        <v>38.508412499999999</v>
      </c>
      <c r="N556" s="206">
        <f t="shared" si="422"/>
        <v>491.67136741668747</v>
      </c>
      <c r="O556" s="377">
        <f>0.54/3.5*12</f>
        <v>1.8514285714285716</v>
      </c>
      <c r="P556" s="197">
        <f t="shared" si="423"/>
        <v>1575.9230400000001</v>
      </c>
      <c r="Q556" s="198">
        <f t="shared" si="424"/>
        <v>2067.5944074166878</v>
      </c>
      <c r="R556" s="199"/>
      <c r="X556" s="257"/>
    </row>
    <row r="557" spans="1:24" s="12" customFormat="1" x14ac:dyDescent="0.2">
      <c r="A557" s="367" t="str">
        <f>IF(J557&lt;&gt;"",1+MAX($A$18:A556),"")</f>
        <v/>
      </c>
      <c r="B557" s="368"/>
      <c r="C557" s="368"/>
      <c r="D557" s="368"/>
      <c r="E557" s="255"/>
      <c r="F557" s="308"/>
      <c r="G557" s="366"/>
      <c r="H557" s="205"/>
      <c r="I557" s="317"/>
      <c r="J557" s="192"/>
      <c r="K557" s="382"/>
      <c r="L557" s="228"/>
      <c r="M557" s="194"/>
      <c r="N557" s="206"/>
      <c r="O557" s="377"/>
      <c r="P557" s="197"/>
      <c r="Q557" s="198"/>
      <c r="R557" s="199"/>
      <c r="X557" s="257"/>
    </row>
    <row r="558" spans="1:24" s="12" customFormat="1" x14ac:dyDescent="0.2">
      <c r="A558" s="386">
        <f>IF(J558&lt;&gt;"",1+MAX($A$18:A557),"")</f>
        <v>395</v>
      </c>
      <c r="B558" s="387"/>
      <c r="C558" s="387"/>
      <c r="D558" s="387" t="s">
        <v>21</v>
      </c>
      <c r="E558" s="255" t="s">
        <v>133</v>
      </c>
      <c r="F558" s="388" t="s">
        <v>182</v>
      </c>
      <c r="G558" s="366">
        <f>(137*10)</f>
        <v>1370</v>
      </c>
      <c r="H558" s="205">
        <f>IF(VLOOKUP(J558,'HOURLY RATES'!B$116:C$124,2,0)=0,$J$3,VLOOKUP(J558,'HOURLY RATES'!B$116:C$124,2,0))</f>
        <v>0.05</v>
      </c>
      <c r="I558" s="317">
        <f t="shared" si="420"/>
        <v>1438.5</v>
      </c>
      <c r="J558" s="192" t="s">
        <v>19</v>
      </c>
      <c r="K558" s="382">
        <v>0.01</v>
      </c>
      <c r="L558" s="228">
        <f t="shared" si="421"/>
        <v>14.385</v>
      </c>
      <c r="M558" s="194">
        <f>IF(VLOOKUP(E558,'HOURLY RATES'!C$6:D$105,2,0)=0,$E$3,VLOOKUP(E558,'HOURLY RATES'!C$6:D$105,2,0))</f>
        <v>38.508412499999999</v>
      </c>
      <c r="N558" s="206">
        <f t="shared" si="422"/>
        <v>553.94351381249999</v>
      </c>
      <c r="O558" s="408">
        <v>0.01</v>
      </c>
      <c r="P558" s="197">
        <f t="shared" si="423"/>
        <v>14.385</v>
      </c>
      <c r="Q558" s="198">
        <f t="shared" si="424"/>
        <v>568.32851381249998</v>
      </c>
      <c r="R558" s="199"/>
      <c r="X558" s="257"/>
    </row>
    <row r="559" spans="1:24" s="12" customFormat="1" x14ac:dyDescent="0.2">
      <c r="A559" s="386">
        <f>IF(J559&lt;&gt;"",1+MAX($A$18:A558),"")</f>
        <v>396</v>
      </c>
      <c r="B559" s="387"/>
      <c r="C559" s="387"/>
      <c r="D559" s="387" t="s">
        <v>21</v>
      </c>
      <c r="E559" s="255" t="s">
        <v>133</v>
      </c>
      <c r="F559" s="388" t="s">
        <v>183</v>
      </c>
      <c r="G559" s="366">
        <f>(137*32*0.053)</f>
        <v>232.352</v>
      </c>
      <c r="H559" s="205">
        <f>IF(VLOOKUP(J559,'HOURLY RATES'!B$116:C$124,2,0)=0,$J$3,VLOOKUP(J559,'HOURLY RATES'!B$116:C$124,2,0))</f>
        <v>0.05</v>
      </c>
      <c r="I559" s="317">
        <f t="shared" si="420"/>
        <v>243.96960000000001</v>
      </c>
      <c r="J559" s="192" t="s">
        <v>121</v>
      </c>
      <c r="K559" s="382">
        <v>0.22</v>
      </c>
      <c r="L559" s="228">
        <f t="shared" si="421"/>
        <v>53.673312000000003</v>
      </c>
      <c r="M559" s="194">
        <f>IF(VLOOKUP(E559,'HOURLY RATES'!C$6:D$105,2,0)=0,$E$3,VLOOKUP(E559,'HOURLY RATES'!C$6:D$105,2,0))</f>
        <v>38.508412499999999</v>
      </c>
      <c r="N559" s="206">
        <f t="shared" si="422"/>
        <v>2066.8740387372</v>
      </c>
      <c r="O559" s="408">
        <v>0.5</v>
      </c>
      <c r="P559" s="197">
        <f t="shared" si="423"/>
        <v>121.98480000000001</v>
      </c>
      <c r="Q559" s="198">
        <f t="shared" si="424"/>
        <v>2188.8588387372001</v>
      </c>
      <c r="R559" s="199"/>
      <c r="X559" s="257"/>
    </row>
    <row r="560" spans="1:24" s="12" customFormat="1" x14ac:dyDescent="0.2">
      <c r="A560" s="386">
        <f>IF(J560&lt;&gt;"",1+MAX($A$18:A559),"")</f>
        <v>397</v>
      </c>
      <c r="B560" s="387"/>
      <c r="C560" s="387"/>
      <c r="D560" s="387" t="s">
        <v>21</v>
      </c>
      <c r="E560" s="255" t="s">
        <v>133</v>
      </c>
      <c r="F560" s="388" t="s">
        <v>184</v>
      </c>
      <c r="G560" s="366">
        <f>(137*45)</f>
        <v>6165</v>
      </c>
      <c r="H560" s="205">
        <f>IF(VLOOKUP(J560,'HOURLY RATES'!B$116:C$124,2,0)=0,$J$3,VLOOKUP(J560,'HOURLY RATES'!B$116:C$124,2,0))</f>
        <v>0</v>
      </c>
      <c r="I560" s="317">
        <f t="shared" si="420"/>
        <v>6165</v>
      </c>
      <c r="J560" s="192" t="s">
        <v>16</v>
      </c>
      <c r="K560" s="382">
        <v>1E-3</v>
      </c>
      <c r="L560" s="228">
        <f t="shared" si="421"/>
        <v>6.165</v>
      </c>
      <c r="M560" s="194">
        <f>IF(VLOOKUP(E560,'HOURLY RATES'!C$6:D$105,2,0)=0,$E$3,VLOOKUP(E560,'HOURLY RATES'!C$6:D$105,2,0))</f>
        <v>38.508412499999999</v>
      </c>
      <c r="N560" s="206">
        <f t="shared" si="422"/>
        <v>237.40436306249998</v>
      </c>
      <c r="O560" s="408">
        <v>0.02</v>
      </c>
      <c r="P560" s="197">
        <f t="shared" si="423"/>
        <v>123.3</v>
      </c>
      <c r="Q560" s="198">
        <f t="shared" si="424"/>
        <v>360.70436306249997</v>
      </c>
      <c r="R560" s="199"/>
      <c r="X560" s="257"/>
    </row>
    <row r="561" spans="1:24" s="12" customFormat="1" x14ac:dyDescent="0.2">
      <c r="A561" s="386" t="str">
        <f>IF(J561&lt;&gt;"",1+MAX($A$18:A560),"")</f>
        <v/>
      </c>
      <c r="B561" s="387"/>
      <c r="C561" s="387"/>
      <c r="D561" s="387"/>
      <c r="E561" s="255"/>
      <c r="F561" s="388"/>
      <c r="G561" s="366"/>
      <c r="H561" s="205"/>
      <c r="I561" s="317"/>
      <c r="J561" s="192"/>
      <c r="K561" s="382"/>
      <c r="L561" s="228"/>
      <c r="M561" s="194"/>
      <c r="N561" s="206"/>
      <c r="O561" s="377"/>
      <c r="P561" s="197"/>
      <c r="Q561" s="198"/>
      <c r="R561" s="199"/>
      <c r="X561" s="257"/>
    </row>
    <row r="562" spans="1:24" s="12" customFormat="1" ht="31.5" x14ac:dyDescent="0.2">
      <c r="A562" s="367">
        <f>IF(J562&lt;&gt;"",1+MAX($A$18:A561),"")</f>
        <v>398</v>
      </c>
      <c r="B562" s="368"/>
      <c r="C562" s="368"/>
      <c r="D562" s="387" t="s">
        <v>21</v>
      </c>
      <c r="E562" s="255" t="s">
        <v>300</v>
      </c>
      <c r="F562" s="307" t="s">
        <v>651</v>
      </c>
      <c r="G562" s="366">
        <v>322</v>
      </c>
      <c r="H562" s="205">
        <f>IF(VLOOKUP(J562,'HOURLY RATES'!B$116:C$124,2,0)=0,$J$3,VLOOKUP(J562,'HOURLY RATES'!B$116:C$124,2,0))</f>
        <v>0.05</v>
      </c>
      <c r="I562" s="317">
        <f t="shared" si="420"/>
        <v>338.1</v>
      </c>
      <c r="J562" s="192" t="s">
        <v>17</v>
      </c>
      <c r="K562" s="382">
        <v>0.01</v>
      </c>
      <c r="L562" s="228">
        <f t="shared" si="421"/>
        <v>3.3810000000000002</v>
      </c>
      <c r="M562" s="194">
        <f>IF(VLOOKUP(E562,'HOURLY RATES'!C$6:D$105,2,0)=0,$E$3,VLOOKUP(E562,'HOURLY RATES'!C$6:D$105,2,0))</f>
        <v>38.508412499999999</v>
      </c>
      <c r="N562" s="206">
        <f t="shared" si="422"/>
        <v>130.19694266249999</v>
      </c>
      <c r="O562" s="377"/>
      <c r="P562" s="197">
        <f t="shared" si="423"/>
        <v>0</v>
      </c>
      <c r="Q562" s="198">
        <f t="shared" si="424"/>
        <v>130.19694266249999</v>
      </c>
      <c r="R562" s="199"/>
      <c r="X562" s="257"/>
    </row>
    <row r="563" spans="1:24" s="12" customFormat="1" x14ac:dyDescent="0.2">
      <c r="A563" s="386" t="str">
        <f>IF(J563&lt;&gt;"",1+MAX($A$18:A562),"")</f>
        <v/>
      </c>
      <c r="B563" s="387"/>
      <c r="C563" s="387"/>
      <c r="D563" s="387"/>
      <c r="E563" s="255"/>
      <c r="F563" s="388"/>
      <c r="G563" s="366"/>
      <c r="H563" s="205"/>
      <c r="I563" s="317"/>
      <c r="J563" s="192"/>
      <c r="K563" s="382"/>
      <c r="L563" s="228"/>
      <c r="M563" s="194"/>
      <c r="N563" s="206"/>
      <c r="O563" s="377"/>
      <c r="P563" s="197"/>
      <c r="Q563" s="198"/>
      <c r="R563" s="199"/>
      <c r="X563" s="257"/>
    </row>
    <row r="564" spans="1:24" s="12" customFormat="1" x14ac:dyDescent="0.2">
      <c r="A564" s="367" t="str">
        <f>IF(J564&lt;&gt;"",1+MAX($A$18:A563),"")</f>
        <v/>
      </c>
      <c r="B564" s="368"/>
      <c r="C564" s="368"/>
      <c r="D564" s="368"/>
      <c r="E564" s="255"/>
      <c r="F564" s="389" t="s">
        <v>652</v>
      </c>
      <c r="G564" s="366"/>
      <c r="H564" s="205"/>
      <c r="I564" s="317"/>
      <c r="J564" s="192"/>
      <c r="K564" s="382"/>
      <c r="L564" s="228"/>
      <c r="M564" s="194"/>
      <c r="N564" s="206"/>
      <c r="O564" s="377"/>
      <c r="P564" s="197"/>
      <c r="Q564" s="198"/>
      <c r="R564" s="199"/>
      <c r="X564" s="257"/>
    </row>
    <row r="565" spans="1:24" s="12" customFormat="1" x14ac:dyDescent="0.2">
      <c r="A565" s="367">
        <f>IF(J565&lt;&gt;"",1+MAX($A$18:A564),"")</f>
        <v>399</v>
      </c>
      <c r="B565" s="368" t="s">
        <v>529</v>
      </c>
      <c r="C565" s="368" t="s">
        <v>529</v>
      </c>
      <c r="D565" s="368" t="s">
        <v>21</v>
      </c>
      <c r="E565" s="255" t="s">
        <v>146</v>
      </c>
      <c r="F565" s="380" t="s">
        <v>653</v>
      </c>
      <c r="G565" s="390">
        <f>2506/1.33</f>
        <v>1884.2105263157894</v>
      </c>
      <c r="H565" s="205">
        <f>IF(VLOOKUP(J565,'HOURLY RATES'!B$116:C$124,2,0)=0,$J$3,VLOOKUP(J565,'HOURLY RATES'!B$116:C$124,2,0))</f>
        <v>0.05</v>
      </c>
      <c r="I565" s="317">
        <f t="shared" ref="I565" si="432">(G565*(1+H565))</f>
        <v>1978.421052631579</v>
      </c>
      <c r="J565" s="192" t="s">
        <v>19</v>
      </c>
      <c r="K565" s="382">
        <v>5.8000000000000003E-2</v>
      </c>
      <c r="L565" s="228">
        <f t="shared" ref="L565" si="433">K565*I565</f>
        <v>114.74842105263158</v>
      </c>
      <c r="M565" s="194">
        <f>IF(VLOOKUP(E565,'HOURLY RATES'!C$6:D$105,2,0)=0,$E$3,VLOOKUP(E565,'HOURLY RATES'!C$6:D$105,2,0))</f>
        <v>38.508412499999999</v>
      </c>
      <c r="N565" s="206">
        <f t="shared" ref="N565" si="434">M565*L565</f>
        <v>4418.7795316184211</v>
      </c>
      <c r="O565" s="377">
        <v>2.48</v>
      </c>
      <c r="P565" s="197">
        <f t="shared" ref="P565" si="435">O565*I565</f>
        <v>4906.484210526316</v>
      </c>
      <c r="Q565" s="198">
        <f t="shared" ref="Q565" si="436">P565+N565</f>
        <v>9325.2637421447362</v>
      </c>
      <c r="R565" s="199"/>
      <c r="X565" s="257"/>
    </row>
    <row r="566" spans="1:24" s="12" customFormat="1" x14ac:dyDescent="0.2">
      <c r="A566" s="367" t="str">
        <f>IF(J566&lt;&gt;"",1+MAX($A$18:A565),"")</f>
        <v/>
      </c>
      <c r="B566" s="368"/>
      <c r="C566" s="368"/>
      <c r="D566" s="368"/>
      <c r="E566" s="255"/>
      <c r="F566" s="380"/>
      <c r="G566" s="390"/>
      <c r="H566" s="205"/>
      <c r="I566" s="317"/>
      <c r="J566" s="192"/>
      <c r="K566" s="382"/>
      <c r="L566" s="228"/>
      <c r="M566" s="194"/>
      <c r="N566" s="206"/>
      <c r="O566" s="377"/>
      <c r="P566" s="197"/>
      <c r="Q566" s="198"/>
      <c r="R566" s="199"/>
      <c r="X566" s="257"/>
    </row>
    <row r="567" spans="1:24" s="12" customFormat="1" x14ac:dyDescent="0.2">
      <c r="A567" s="367">
        <f>IF(J567&lt;&gt;"",1+MAX($A$18:A566),"")</f>
        <v>400</v>
      </c>
      <c r="B567" s="368" t="s">
        <v>529</v>
      </c>
      <c r="C567" s="368" t="s">
        <v>529</v>
      </c>
      <c r="D567" s="368" t="s">
        <v>21</v>
      </c>
      <c r="E567" s="255" t="s">
        <v>146</v>
      </c>
      <c r="F567" s="380" t="s">
        <v>655</v>
      </c>
      <c r="G567" s="390">
        <f>((67.73/1.33)*2)/2</f>
        <v>50.924812030075188</v>
      </c>
      <c r="H567" s="205">
        <f>IF(VLOOKUP(J567,'HOURLY RATES'!B$116:C$124,2,0)=0,$J$3,VLOOKUP(J567,'HOURLY RATES'!B$116:C$124,2,0))</f>
        <v>0</v>
      </c>
      <c r="I567" s="317">
        <f t="shared" ref="I567:I580" si="437">(G567*(1+H567))</f>
        <v>50.924812030075188</v>
      </c>
      <c r="J567" s="192" t="s">
        <v>16</v>
      </c>
      <c r="K567" s="382">
        <f>0.058*8</f>
        <v>0.46400000000000002</v>
      </c>
      <c r="L567" s="228">
        <f t="shared" ref="L567:L580" si="438">K567*I567</f>
        <v>23.629112781954888</v>
      </c>
      <c r="M567" s="194">
        <f>IF(VLOOKUP(E567,'HOURLY RATES'!C$6:D$105,2,0)=0,$E$3,VLOOKUP(E567,'HOURLY RATES'!C$6:D$105,2,0))</f>
        <v>38.508412499999999</v>
      </c>
      <c r="N567" s="206">
        <f t="shared" ref="N567:N580" si="439">M567*L567</f>
        <v>909.91962201654133</v>
      </c>
      <c r="O567" s="377">
        <f>2.48*8</f>
        <v>19.84</v>
      </c>
      <c r="P567" s="197">
        <f t="shared" ref="P567:P580" si="440">O567*I567</f>
        <v>1010.3482706766918</v>
      </c>
      <c r="Q567" s="198">
        <f t="shared" ref="Q567:Q580" si="441">P567+N567</f>
        <v>1920.2678926932331</v>
      </c>
      <c r="R567" s="199"/>
      <c r="X567" s="257"/>
    </row>
    <row r="568" spans="1:24" s="12" customFormat="1" x14ac:dyDescent="0.2">
      <c r="A568" s="367">
        <f>IF(J568&lt;&gt;"",1+MAX($A$18:A567),"")</f>
        <v>401</v>
      </c>
      <c r="B568" s="368" t="s">
        <v>529</v>
      </c>
      <c r="C568" s="368" t="s">
        <v>529</v>
      </c>
      <c r="D568" s="368" t="s">
        <v>21</v>
      </c>
      <c r="E568" s="255" t="s">
        <v>146</v>
      </c>
      <c r="F568" s="250" t="s">
        <v>179</v>
      </c>
      <c r="G568" s="390">
        <f>67.73*2*2</f>
        <v>270.92</v>
      </c>
      <c r="H568" s="205">
        <f>IF(VLOOKUP(J568,'HOURLY RATES'!B$116:C$124,2,0)=0,$J$3,VLOOKUP(J568,'HOURLY RATES'!B$116:C$124,2,0))</f>
        <v>0.05</v>
      </c>
      <c r="I568" s="317">
        <f t="shared" ref="I568" si="442">(G568*(1+H568))</f>
        <v>284.46600000000001</v>
      </c>
      <c r="J568" s="192" t="s">
        <v>19</v>
      </c>
      <c r="K568" s="382">
        <v>5.8000000000000003E-2</v>
      </c>
      <c r="L568" s="228">
        <f t="shared" ref="L568" si="443">K568*I568</f>
        <v>16.499028000000003</v>
      </c>
      <c r="M568" s="194">
        <f>IF(VLOOKUP(E568,'HOURLY RATES'!C$6:D$105,2,0)=0,$E$3,VLOOKUP(E568,'HOURLY RATES'!C$6:D$105,2,0))</f>
        <v>38.508412499999999</v>
      </c>
      <c r="N568" s="206">
        <f t="shared" ref="N568" si="444">M568*L568</f>
        <v>635.35137607305012</v>
      </c>
      <c r="O568" s="377">
        <v>2.48</v>
      </c>
      <c r="P568" s="197">
        <f t="shared" ref="P568" si="445">O568*I568</f>
        <v>705.47568000000001</v>
      </c>
      <c r="Q568" s="198">
        <f t="shared" ref="Q568" si="446">P568+N568</f>
        <v>1340.8270560730502</v>
      </c>
      <c r="R568" s="199"/>
      <c r="X568" s="257"/>
    </row>
    <row r="569" spans="1:24" s="12" customFormat="1" x14ac:dyDescent="0.2">
      <c r="A569" s="367">
        <f>IF(J569&lt;&gt;"",1+MAX($A$18:A568),"")</f>
        <v>402</v>
      </c>
      <c r="B569" s="368" t="s">
        <v>529</v>
      </c>
      <c r="C569" s="368" t="s">
        <v>529</v>
      </c>
      <c r="D569" s="368" t="s">
        <v>21</v>
      </c>
      <c r="E569" s="255" t="s">
        <v>146</v>
      </c>
      <c r="F569" s="250" t="s">
        <v>654</v>
      </c>
      <c r="G569" s="390">
        <f>((67.73*2)/4)*2</f>
        <v>67.73</v>
      </c>
      <c r="H569" s="205">
        <f>IF(VLOOKUP(J569,'HOURLY RATES'!B$116:C$124,2,0)=0,$J$3,VLOOKUP(J569,'HOURLY RATES'!B$116:C$124,2,0))</f>
        <v>0.05</v>
      </c>
      <c r="I569" s="317">
        <f t="shared" ref="I569" si="447">(G569*(1+H569))</f>
        <v>71.116500000000002</v>
      </c>
      <c r="J569" s="192" t="s">
        <v>19</v>
      </c>
      <c r="K569" s="382">
        <v>5.8000000000000003E-2</v>
      </c>
      <c r="L569" s="228">
        <f t="shared" ref="L569" si="448">K569*I569</f>
        <v>4.1247570000000007</v>
      </c>
      <c r="M569" s="194">
        <f>IF(VLOOKUP(E569,'HOURLY RATES'!C$6:D$105,2,0)=0,$E$3,VLOOKUP(E569,'HOURLY RATES'!C$6:D$105,2,0))</f>
        <v>38.508412499999999</v>
      </c>
      <c r="N569" s="206">
        <f t="shared" ref="N569" si="449">M569*L569</f>
        <v>158.83784401826253</v>
      </c>
      <c r="O569" s="377">
        <v>1.1299999999999999</v>
      </c>
      <c r="P569" s="197">
        <f t="shared" ref="P569" si="450">O569*I569</f>
        <v>80.361644999999996</v>
      </c>
      <c r="Q569" s="198">
        <f t="shared" ref="Q569" si="451">P569+N569</f>
        <v>239.19948901826251</v>
      </c>
      <c r="R569" s="199"/>
      <c r="X569" s="257"/>
    </row>
    <row r="570" spans="1:24" s="12" customFormat="1" x14ac:dyDescent="0.2">
      <c r="A570" s="367" t="str">
        <f>IF(J570&lt;&gt;"",1+MAX($A$18:A569),"")</f>
        <v/>
      </c>
      <c r="B570" s="368"/>
      <c r="C570" s="368"/>
      <c r="D570" s="368"/>
      <c r="E570" s="255"/>
      <c r="F570" s="380"/>
      <c r="G570" s="390"/>
      <c r="H570" s="205"/>
      <c r="I570" s="317"/>
      <c r="J570" s="192"/>
      <c r="K570" s="382"/>
      <c r="L570" s="228"/>
      <c r="M570" s="194"/>
      <c r="N570" s="206"/>
      <c r="O570" s="377"/>
      <c r="P570" s="197"/>
      <c r="Q570" s="198"/>
      <c r="R570" s="199"/>
      <c r="X570" s="257"/>
    </row>
    <row r="571" spans="1:24" s="12" customFormat="1" x14ac:dyDescent="0.2">
      <c r="A571" s="367">
        <f>IF(J571&lt;&gt;"",1+MAX($A$18:A570),"")</f>
        <v>403</v>
      </c>
      <c r="B571" s="368" t="s">
        <v>529</v>
      </c>
      <c r="C571" s="368" t="s">
        <v>529</v>
      </c>
      <c r="D571" s="368" t="s">
        <v>21</v>
      </c>
      <c r="E571" s="255" t="s">
        <v>146</v>
      </c>
      <c r="F571" s="380" t="s">
        <v>656</v>
      </c>
      <c r="G571" s="366">
        <f>(48.37/1.33)/2</f>
        <v>18.184210526315788</v>
      </c>
      <c r="H571" s="205">
        <f>IF(VLOOKUP(J571,'HOURLY RATES'!B$116:C$124,2,0)=0,$J$3,VLOOKUP(J571,'HOURLY RATES'!B$116:C$124,2,0))</f>
        <v>0</v>
      </c>
      <c r="I571" s="317">
        <f t="shared" si="437"/>
        <v>18.184210526315788</v>
      </c>
      <c r="J571" s="192" t="s">
        <v>16</v>
      </c>
      <c r="K571" s="382">
        <f>0.058*8</f>
        <v>0.46400000000000002</v>
      </c>
      <c r="L571" s="228">
        <f t="shared" si="438"/>
        <v>8.4374736842105253</v>
      </c>
      <c r="M571" s="194">
        <f>IF(VLOOKUP(E571,'HOURLY RATES'!C$6:D$105,2,0)=0,$E$3,VLOOKUP(E571,'HOURLY RATES'!C$6:D$105,2,0))</f>
        <v>38.508412499999999</v>
      </c>
      <c r="N571" s="206">
        <f t="shared" si="439"/>
        <v>324.91371708947361</v>
      </c>
      <c r="O571" s="377">
        <f>2.48*8</f>
        <v>19.84</v>
      </c>
      <c r="P571" s="197">
        <f t="shared" si="440"/>
        <v>360.7747368421052</v>
      </c>
      <c r="Q571" s="198">
        <f t="shared" si="441"/>
        <v>685.68845393157881</v>
      </c>
      <c r="R571" s="199"/>
      <c r="X571" s="257"/>
    </row>
    <row r="572" spans="1:24" s="12" customFormat="1" x14ac:dyDescent="0.2">
      <c r="A572" s="367">
        <f>IF(J572&lt;&gt;"",1+MAX($A$18:A571),"")</f>
        <v>404</v>
      </c>
      <c r="B572" s="368" t="s">
        <v>529</v>
      </c>
      <c r="C572" s="368" t="s">
        <v>529</v>
      </c>
      <c r="D572" s="368" t="s">
        <v>21</v>
      </c>
      <c r="E572" s="255" t="s">
        <v>146</v>
      </c>
      <c r="F572" s="250" t="s">
        <v>179</v>
      </c>
      <c r="G572" s="390">
        <f>48.37*2</f>
        <v>96.74</v>
      </c>
      <c r="H572" s="205">
        <f>IF(VLOOKUP(J572,'HOURLY RATES'!B$116:C$124,2,0)=0,$J$3,VLOOKUP(J572,'HOURLY RATES'!B$116:C$124,2,0))</f>
        <v>0.05</v>
      </c>
      <c r="I572" s="317">
        <f t="shared" si="437"/>
        <v>101.577</v>
      </c>
      <c r="J572" s="192" t="s">
        <v>19</v>
      </c>
      <c r="K572" s="382">
        <v>5.8000000000000003E-2</v>
      </c>
      <c r="L572" s="228">
        <f t="shared" si="438"/>
        <v>5.8914660000000003</v>
      </c>
      <c r="M572" s="194">
        <f>IF(VLOOKUP(E572,'HOURLY RATES'!C$6:D$105,2,0)=0,$E$3,VLOOKUP(E572,'HOURLY RATES'!C$6:D$105,2,0))</f>
        <v>38.508412499999999</v>
      </c>
      <c r="N572" s="206">
        <f t="shared" si="439"/>
        <v>226.87100295772501</v>
      </c>
      <c r="O572" s="377">
        <v>2.48</v>
      </c>
      <c r="P572" s="197">
        <f t="shared" si="440"/>
        <v>251.91095999999999</v>
      </c>
      <c r="Q572" s="198">
        <f t="shared" si="441"/>
        <v>478.781962957725</v>
      </c>
      <c r="R572" s="199"/>
      <c r="X572" s="257"/>
    </row>
    <row r="573" spans="1:24" s="12" customFormat="1" x14ac:dyDescent="0.2">
      <c r="A573" s="367" t="str">
        <f>IF(J573&lt;&gt;"",1+MAX($A$18:A572),"")</f>
        <v/>
      </c>
      <c r="B573" s="368"/>
      <c r="C573" s="368"/>
      <c r="D573" s="368"/>
      <c r="E573" s="255"/>
      <c r="F573" s="380"/>
      <c r="G573" s="366"/>
      <c r="H573" s="205"/>
      <c r="I573" s="317"/>
      <c r="J573" s="192"/>
      <c r="K573" s="382"/>
      <c r="L573" s="228"/>
      <c r="M573" s="194"/>
      <c r="N573" s="206"/>
      <c r="O573" s="377"/>
      <c r="P573" s="197"/>
      <c r="Q573" s="198"/>
      <c r="R573" s="199"/>
      <c r="X573" s="257"/>
    </row>
    <row r="574" spans="1:24" s="12" customFormat="1" x14ac:dyDescent="0.2">
      <c r="A574" s="367" t="str">
        <f>IF(J574&lt;&gt;"",1+MAX($A$18:A573),"")</f>
        <v/>
      </c>
      <c r="B574" s="368"/>
      <c r="C574" s="368"/>
      <c r="D574" s="368"/>
      <c r="E574" s="255"/>
      <c r="F574" s="380"/>
      <c r="G574" s="366"/>
      <c r="H574" s="205"/>
      <c r="I574" s="317"/>
      <c r="J574" s="192"/>
      <c r="K574" s="382"/>
      <c r="L574" s="228"/>
      <c r="M574" s="194"/>
      <c r="N574" s="206"/>
      <c r="O574" s="377"/>
      <c r="P574" s="197"/>
      <c r="Q574" s="198"/>
      <c r="R574" s="199"/>
      <c r="X574" s="257"/>
    </row>
    <row r="575" spans="1:24" s="12" customFormat="1" x14ac:dyDescent="0.2">
      <c r="A575" s="367">
        <f>IF(J575&lt;&gt;"",1+MAX($A$18:A574),"")</f>
        <v>405</v>
      </c>
      <c r="B575" s="368" t="s">
        <v>529</v>
      </c>
      <c r="C575" s="368" t="s">
        <v>529</v>
      </c>
      <c r="D575" s="368" t="s">
        <v>21</v>
      </c>
      <c r="E575" s="255" t="s">
        <v>146</v>
      </c>
      <c r="F575" s="380" t="s">
        <v>657</v>
      </c>
      <c r="G575" s="366">
        <f>(14.07/1.33)/2</f>
        <v>5.2894736842105265</v>
      </c>
      <c r="H575" s="205">
        <f>IF(VLOOKUP(J575,'HOURLY RATES'!B$116:C$124,2,0)=0,$J$3,VLOOKUP(J575,'HOURLY RATES'!B$116:C$124,2,0))</f>
        <v>0</v>
      </c>
      <c r="I575" s="317">
        <f t="shared" si="437"/>
        <v>5.2894736842105265</v>
      </c>
      <c r="J575" s="192" t="s">
        <v>16</v>
      </c>
      <c r="K575" s="382">
        <f>0.063*10</f>
        <v>0.63</v>
      </c>
      <c r="L575" s="228">
        <f t="shared" si="438"/>
        <v>3.3323684210526316</v>
      </c>
      <c r="M575" s="194">
        <f>IF(VLOOKUP(E575,'HOURLY RATES'!C$6:D$105,2,0)=0,$E$3,VLOOKUP(E575,'HOURLY RATES'!C$6:D$105,2,0))</f>
        <v>38.508412499999999</v>
      </c>
      <c r="N575" s="206">
        <f t="shared" si="439"/>
        <v>128.32421775986842</v>
      </c>
      <c r="O575" s="377">
        <f>2.48*10</f>
        <v>24.8</v>
      </c>
      <c r="P575" s="197">
        <f t="shared" si="440"/>
        <v>131.17894736842106</v>
      </c>
      <c r="Q575" s="198">
        <f t="shared" si="441"/>
        <v>259.50316512828948</v>
      </c>
      <c r="R575" s="199"/>
      <c r="X575" s="257"/>
    </row>
    <row r="576" spans="1:24" s="12" customFormat="1" x14ac:dyDescent="0.2">
      <c r="A576" s="367">
        <f>IF(J576&lt;&gt;"",1+MAX($A$18:A575),"")</f>
        <v>406</v>
      </c>
      <c r="B576" s="368" t="s">
        <v>529</v>
      </c>
      <c r="C576" s="368" t="s">
        <v>529</v>
      </c>
      <c r="D576" s="368" t="s">
        <v>21</v>
      </c>
      <c r="E576" s="255" t="s">
        <v>146</v>
      </c>
      <c r="F576" s="250" t="s">
        <v>179</v>
      </c>
      <c r="G576" s="366">
        <f>14.07*2</f>
        <v>28.14</v>
      </c>
      <c r="H576" s="205">
        <f>IF(VLOOKUP(J576,'HOURLY RATES'!B$116:C$124,2,0)=0,$J$3,VLOOKUP(J576,'HOURLY RATES'!B$116:C$124,2,0))</f>
        <v>0.05</v>
      </c>
      <c r="I576" s="317">
        <f t="shared" ref="I576" si="452">(G576*(1+H576))</f>
        <v>29.547000000000001</v>
      </c>
      <c r="J576" s="192" t="s">
        <v>19</v>
      </c>
      <c r="K576" s="382">
        <v>6.3E-2</v>
      </c>
      <c r="L576" s="228">
        <f t="shared" ref="L576" si="453">K576*I576</f>
        <v>1.861461</v>
      </c>
      <c r="M576" s="194">
        <f>IF(VLOOKUP(E576,'HOURLY RATES'!C$6:D$105,2,0)=0,$E$3,VLOOKUP(E576,'HOURLY RATES'!C$6:D$105,2,0))</f>
        <v>38.508412499999999</v>
      </c>
      <c r="N576" s="206">
        <f t="shared" ref="N576" si="454">M576*L576</f>
        <v>71.681908040662492</v>
      </c>
      <c r="O576" s="377">
        <v>2.48</v>
      </c>
      <c r="P576" s="197">
        <f t="shared" ref="P576" si="455">O576*I576</f>
        <v>73.276560000000003</v>
      </c>
      <c r="Q576" s="198">
        <f t="shared" ref="Q576" si="456">P576+N576</f>
        <v>144.9584680406625</v>
      </c>
      <c r="R576" s="199"/>
      <c r="X576" s="257"/>
    </row>
    <row r="577" spans="1:24" s="12" customFormat="1" x14ac:dyDescent="0.2">
      <c r="A577" s="367" t="str">
        <f>IF(J577&lt;&gt;"",1+MAX($A$18:A576),"")</f>
        <v/>
      </c>
      <c r="B577" s="368"/>
      <c r="C577" s="368"/>
      <c r="D577" s="368"/>
      <c r="E577" s="255"/>
      <c r="F577" s="380"/>
      <c r="G577" s="366"/>
      <c r="H577" s="205"/>
      <c r="I577" s="317"/>
      <c r="J577" s="192"/>
      <c r="K577" s="382"/>
      <c r="L577" s="228"/>
      <c r="M577" s="194"/>
      <c r="N577" s="206"/>
      <c r="O577" s="377"/>
      <c r="P577" s="197"/>
      <c r="Q577" s="198"/>
      <c r="R577" s="199"/>
      <c r="X577" s="257"/>
    </row>
    <row r="578" spans="1:24" s="12" customFormat="1" x14ac:dyDescent="0.2">
      <c r="A578" s="367">
        <f>IF(J578&lt;&gt;"",1+MAX($A$18:A577),"")</f>
        <v>407</v>
      </c>
      <c r="B578" s="368" t="s">
        <v>529</v>
      </c>
      <c r="C578" s="368" t="s">
        <v>529</v>
      </c>
      <c r="D578" s="368" t="s">
        <v>21</v>
      </c>
      <c r="E578" s="255" t="s">
        <v>146</v>
      </c>
      <c r="F578" s="380" t="s">
        <v>658</v>
      </c>
      <c r="G578" s="366">
        <f>(78.35/1.33)/3</f>
        <v>19.63659147869674</v>
      </c>
      <c r="H578" s="205">
        <f>IF(VLOOKUP(J578,'HOURLY RATES'!B$116:C$124,2,0)=0,$J$3,VLOOKUP(J578,'HOURLY RATES'!B$116:C$124,2,0))</f>
        <v>0</v>
      </c>
      <c r="I578" s="317">
        <f t="shared" si="437"/>
        <v>19.63659147869674</v>
      </c>
      <c r="J578" s="192" t="s">
        <v>16</v>
      </c>
      <c r="K578" s="382">
        <f>0.063*10</f>
        <v>0.63</v>
      </c>
      <c r="L578" s="228">
        <f t="shared" si="438"/>
        <v>12.371052631578946</v>
      </c>
      <c r="M578" s="194">
        <f>IF(VLOOKUP(E578,'HOURLY RATES'!C$6:D$105,2,0)=0,$E$3,VLOOKUP(E578,'HOURLY RATES'!C$6:D$105,2,0))</f>
        <v>38.508412499999999</v>
      </c>
      <c r="N578" s="206">
        <f t="shared" si="439"/>
        <v>476.38959779605256</v>
      </c>
      <c r="O578" s="377">
        <f>2.48*10</f>
        <v>24.8</v>
      </c>
      <c r="P578" s="197">
        <f t="shared" si="440"/>
        <v>486.98746867167915</v>
      </c>
      <c r="Q578" s="198">
        <f t="shared" si="441"/>
        <v>963.37706646773177</v>
      </c>
      <c r="R578" s="199"/>
      <c r="X578" s="257"/>
    </row>
    <row r="579" spans="1:24" s="12" customFormat="1" x14ac:dyDescent="0.2">
      <c r="A579" s="367">
        <f>IF(J579&lt;&gt;"",1+MAX($A$18:A578),"")</f>
        <v>408</v>
      </c>
      <c r="B579" s="368" t="s">
        <v>529</v>
      </c>
      <c r="C579" s="368" t="s">
        <v>529</v>
      </c>
      <c r="D579" s="368" t="s">
        <v>21</v>
      </c>
      <c r="E579" s="255" t="s">
        <v>146</v>
      </c>
      <c r="F579" s="250" t="s">
        <v>179</v>
      </c>
      <c r="G579" s="366">
        <f>78.35*2</f>
        <v>156.69999999999999</v>
      </c>
      <c r="H579" s="205">
        <f>IF(VLOOKUP(J579,'HOURLY RATES'!B$116:C$124,2,0)=0,$J$3,VLOOKUP(J579,'HOURLY RATES'!B$116:C$124,2,0))</f>
        <v>0.05</v>
      </c>
      <c r="I579" s="317">
        <f t="shared" si="437"/>
        <v>164.535</v>
      </c>
      <c r="J579" s="192" t="s">
        <v>19</v>
      </c>
      <c r="K579" s="382">
        <v>6.3E-2</v>
      </c>
      <c r="L579" s="228">
        <f t="shared" si="438"/>
        <v>10.365705</v>
      </c>
      <c r="M579" s="194">
        <f>IF(VLOOKUP(E579,'HOURLY RATES'!C$6:D$105,2,0)=0,$E$3,VLOOKUP(E579,'HOURLY RATES'!C$6:D$105,2,0))</f>
        <v>38.508412499999999</v>
      </c>
      <c r="N579" s="206">
        <f t="shared" si="439"/>
        <v>399.16684399331251</v>
      </c>
      <c r="O579" s="377">
        <v>2.48</v>
      </c>
      <c r="P579" s="197">
        <f t="shared" si="440"/>
        <v>408.04679999999996</v>
      </c>
      <c r="Q579" s="198">
        <f t="shared" si="441"/>
        <v>807.21364399331242</v>
      </c>
      <c r="R579" s="199"/>
      <c r="X579" s="257"/>
    </row>
    <row r="580" spans="1:24" s="12" customFormat="1" x14ac:dyDescent="0.2">
      <c r="A580" s="367">
        <f>IF(J580&lt;&gt;"",1+MAX($A$18:A579),"")</f>
        <v>409</v>
      </c>
      <c r="B580" s="368" t="s">
        <v>529</v>
      </c>
      <c r="C580" s="368" t="s">
        <v>529</v>
      </c>
      <c r="D580" s="368" t="s">
        <v>21</v>
      </c>
      <c r="E580" s="255" t="s">
        <v>146</v>
      </c>
      <c r="F580" s="250" t="s">
        <v>654</v>
      </c>
      <c r="G580" s="366">
        <f>((78.35/4)*2)</f>
        <v>39.174999999999997</v>
      </c>
      <c r="H580" s="205">
        <f>IF(VLOOKUP(J580,'HOURLY RATES'!B$116:C$124,2,0)=0,$J$3,VLOOKUP(J580,'HOURLY RATES'!B$116:C$124,2,0))</f>
        <v>0.05</v>
      </c>
      <c r="I580" s="317">
        <f t="shared" si="437"/>
        <v>41.133749999999999</v>
      </c>
      <c r="J580" s="192" t="s">
        <v>19</v>
      </c>
      <c r="K580" s="382">
        <v>5.5E-2</v>
      </c>
      <c r="L580" s="228">
        <f t="shared" si="438"/>
        <v>2.2623562499999998</v>
      </c>
      <c r="M580" s="194">
        <f>IF(VLOOKUP(E580,'HOURLY RATES'!C$6:D$105,2,0)=0,$E$3,VLOOKUP(E580,'HOURLY RATES'!C$6:D$105,2,0))</f>
        <v>38.508412499999999</v>
      </c>
      <c r="N580" s="206">
        <f t="shared" si="439"/>
        <v>87.119747696953112</v>
      </c>
      <c r="O580" s="377">
        <v>1.1299999999999999</v>
      </c>
      <c r="P580" s="197">
        <f t="shared" si="440"/>
        <v>46.481137499999996</v>
      </c>
      <c r="Q580" s="198">
        <f t="shared" si="441"/>
        <v>133.6008851969531</v>
      </c>
      <c r="R580" s="199"/>
      <c r="X580" s="257"/>
    </row>
    <row r="581" spans="1:24" s="12" customFormat="1" x14ac:dyDescent="0.2">
      <c r="A581" s="367" t="str">
        <f>IF(J581&lt;&gt;"",1+MAX($A$18:A580),"")</f>
        <v/>
      </c>
      <c r="B581" s="368"/>
      <c r="C581" s="368"/>
      <c r="D581" s="368"/>
      <c r="E581" s="255"/>
      <c r="F581" s="380"/>
      <c r="G581" s="366"/>
      <c r="H581" s="205"/>
      <c r="I581" s="317"/>
      <c r="J581" s="192"/>
      <c r="K581" s="382"/>
      <c r="L581" s="228"/>
      <c r="M581" s="194"/>
      <c r="N581" s="206"/>
      <c r="O581" s="377"/>
      <c r="P581" s="197"/>
      <c r="Q581" s="198"/>
      <c r="R581" s="199"/>
      <c r="X581" s="257"/>
    </row>
    <row r="582" spans="1:24" s="12" customFormat="1" x14ac:dyDescent="0.2">
      <c r="A582" s="367" t="str">
        <f>IF(J582&lt;&gt;"",1+MAX($A$18:A581),"")</f>
        <v/>
      </c>
      <c r="B582" s="368"/>
      <c r="C582" s="368"/>
      <c r="D582" s="368"/>
      <c r="E582" s="255"/>
      <c r="F582" s="389" t="s">
        <v>659</v>
      </c>
      <c r="G582" s="366"/>
      <c r="H582" s="205"/>
      <c r="I582" s="317"/>
      <c r="J582" s="192"/>
      <c r="K582" s="382"/>
      <c r="L582" s="228"/>
      <c r="M582" s="194"/>
      <c r="N582" s="206"/>
      <c r="O582" s="377"/>
      <c r="P582" s="197"/>
      <c r="Q582" s="198"/>
      <c r="R582" s="199"/>
      <c r="X582" s="257"/>
    </row>
    <row r="583" spans="1:24" s="12" customFormat="1" ht="47.25" x14ac:dyDescent="0.2">
      <c r="A583" s="367">
        <f>IF(J583&lt;&gt;"",1+MAX($A$18:A582),"")</f>
        <v>410</v>
      </c>
      <c r="B583" s="368" t="s">
        <v>585</v>
      </c>
      <c r="C583" s="368" t="s">
        <v>585</v>
      </c>
      <c r="D583" s="368" t="s">
        <v>21</v>
      </c>
      <c r="E583" s="255" t="s">
        <v>66</v>
      </c>
      <c r="F583" s="380" t="s">
        <v>586</v>
      </c>
      <c r="G583" s="366">
        <v>2445.37</v>
      </c>
      <c r="H583" s="205">
        <f>IF(VLOOKUP(J583,'HOURLY RATES'!B$116:C$124,2,0)=0,$J$3,VLOOKUP(J583,'HOURLY RATES'!B$116:C$124,2,0))</f>
        <v>0.05</v>
      </c>
      <c r="I583" s="317">
        <f t="shared" ref="I583:I590" si="457">(G583*(1+H583))</f>
        <v>2567.6385</v>
      </c>
      <c r="J583" s="192" t="s">
        <v>17</v>
      </c>
      <c r="K583" s="382">
        <v>0.04</v>
      </c>
      <c r="L583" s="228">
        <f t="shared" ref="L583:L590" si="458">K583*I583</f>
        <v>102.70554</v>
      </c>
      <c r="M583" s="194">
        <f>IF(VLOOKUP(E583,'HOURLY RATES'!C$6:D$105,2,0)=0,$E$3,VLOOKUP(E583,'HOURLY RATES'!C$6:D$105,2,0))</f>
        <v>62.836482000000011</v>
      </c>
      <c r="N583" s="206">
        <f t="shared" ref="N583:N590" si="459">M583*L583</f>
        <v>6453.654815510281</v>
      </c>
      <c r="O583" s="377">
        <f>2.91*1.1</f>
        <v>3.2010000000000005</v>
      </c>
      <c r="P583" s="197">
        <f t="shared" ref="P583:P590" si="460">O583*I583</f>
        <v>8219.0108385000021</v>
      </c>
      <c r="Q583" s="198">
        <f t="shared" ref="Q583:Q590" si="461">P583+N583</f>
        <v>14672.665654010283</v>
      </c>
      <c r="R583" s="199"/>
      <c r="X583" s="257"/>
    </row>
    <row r="584" spans="1:24" s="12" customFormat="1" ht="47.25" x14ac:dyDescent="0.2">
      <c r="A584" s="367">
        <f>IF(J584&lt;&gt;"",1+MAX($A$18:A583),"")</f>
        <v>411</v>
      </c>
      <c r="B584" s="368" t="s">
        <v>585</v>
      </c>
      <c r="C584" s="368" t="s">
        <v>585</v>
      </c>
      <c r="D584" s="368" t="s">
        <v>21</v>
      </c>
      <c r="E584" s="255" t="s">
        <v>66</v>
      </c>
      <c r="F584" s="380" t="s">
        <v>587</v>
      </c>
      <c r="G584" s="366">
        <v>123.1</v>
      </c>
      <c r="H584" s="205">
        <f>IF(VLOOKUP(J584,'HOURLY RATES'!B$116:C$124,2,0)=0,$J$3,VLOOKUP(J584,'HOURLY RATES'!B$116:C$124,2,0))</f>
        <v>0.05</v>
      </c>
      <c r="I584" s="317">
        <f t="shared" si="457"/>
        <v>129.255</v>
      </c>
      <c r="J584" s="192" t="s">
        <v>17</v>
      </c>
      <c r="K584" s="382">
        <v>0.04</v>
      </c>
      <c r="L584" s="228">
        <f t="shared" si="458"/>
        <v>5.1702000000000004</v>
      </c>
      <c r="M584" s="194">
        <f>IF(VLOOKUP(E584,'HOURLY RATES'!C$6:D$105,2,0)=0,$E$3,VLOOKUP(E584,'HOURLY RATES'!C$6:D$105,2,0))</f>
        <v>62.836482000000011</v>
      </c>
      <c r="N584" s="206">
        <f t="shared" si="459"/>
        <v>324.87717923640008</v>
      </c>
      <c r="O584" s="377">
        <f>2.91*1.1</f>
        <v>3.2010000000000005</v>
      </c>
      <c r="P584" s="197">
        <f t="shared" si="460"/>
        <v>413.74525500000004</v>
      </c>
      <c r="Q584" s="198">
        <f t="shared" si="461"/>
        <v>738.62243423640007</v>
      </c>
      <c r="R584" s="199"/>
      <c r="X584" s="257"/>
    </row>
    <row r="585" spans="1:24" s="12" customFormat="1" ht="47.25" x14ac:dyDescent="0.2">
      <c r="A585" s="367">
        <f>IF(J585&lt;&gt;"",1+MAX($A$18:A584),"")</f>
        <v>412</v>
      </c>
      <c r="B585" s="368" t="s">
        <v>585</v>
      </c>
      <c r="C585" s="368" t="s">
        <v>585</v>
      </c>
      <c r="D585" s="368" t="s">
        <v>21</v>
      </c>
      <c r="E585" s="255" t="s">
        <v>66</v>
      </c>
      <c r="F585" s="380" t="s">
        <v>748</v>
      </c>
      <c r="G585" s="366">
        <v>2525.34</v>
      </c>
      <c r="H585" s="205">
        <f>IF(VLOOKUP(J585,'HOURLY RATES'!B$116:C$124,2,0)=0,$J$3,VLOOKUP(J585,'HOURLY RATES'!B$116:C$124,2,0))</f>
        <v>0.05</v>
      </c>
      <c r="I585" s="317">
        <f t="shared" si="457"/>
        <v>2651.6070000000004</v>
      </c>
      <c r="J585" s="192" t="s">
        <v>17</v>
      </c>
      <c r="K585" s="382">
        <v>0.04</v>
      </c>
      <c r="L585" s="228">
        <f t="shared" si="458"/>
        <v>106.06428000000002</v>
      </c>
      <c r="M585" s="194">
        <f>IF(VLOOKUP(E585,'HOURLY RATES'!C$6:D$105,2,0)=0,$E$3,VLOOKUP(E585,'HOURLY RATES'!C$6:D$105,2,0))</f>
        <v>62.836482000000011</v>
      </c>
      <c r="N585" s="206">
        <f t="shared" si="459"/>
        <v>6664.7062210629629</v>
      </c>
      <c r="O585" s="377">
        <f>5.13</f>
        <v>5.13</v>
      </c>
      <c r="P585" s="197">
        <f t="shared" si="460"/>
        <v>13602.743910000001</v>
      </c>
      <c r="Q585" s="198">
        <f t="shared" si="461"/>
        <v>20267.450131062964</v>
      </c>
      <c r="R585" s="199"/>
      <c r="X585" s="257"/>
    </row>
    <row r="586" spans="1:24" s="12" customFormat="1" ht="47.25" x14ac:dyDescent="0.2">
      <c r="A586" s="367">
        <f>IF(J586&lt;&gt;"",1+MAX($A$18:A585),"")</f>
        <v>413</v>
      </c>
      <c r="B586" s="368" t="s">
        <v>585</v>
      </c>
      <c r="C586" s="368" t="s">
        <v>585</v>
      </c>
      <c r="D586" s="368" t="s">
        <v>21</v>
      </c>
      <c r="E586" s="255" t="s">
        <v>66</v>
      </c>
      <c r="F586" s="380" t="s">
        <v>588</v>
      </c>
      <c r="G586" s="366">
        <v>1435.18</v>
      </c>
      <c r="H586" s="205">
        <f>IF(VLOOKUP(J586,'HOURLY RATES'!B$116:C$124,2,0)=0,$J$3,VLOOKUP(J586,'HOURLY RATES'!B$116:C$124,2,0))</f>
        <v>0.05</v>
      </c>
      <c r="I586" s="317">
        <f t="shared" si="457"/>
        <v>1506.9390000000001</v>
      </c>
      <c r="J586" s="192" t="s">
        <v>17</v>
      </c>
      <c r="K586" s="382">
        <v>0.04</v>
      </c>
      <c r="L586" s="228">
        <f t="shared" si="458"/>
        <v>60.277560000000001</v>
      </c>
      <c r="M586" s="194">
        <f>IF(VLOOKUP(E586,'HOURLY RATES'!C$6:D$105,2,0)=0,$E$3,VLOOKUP(E586,'HOURLY RATES'!C$6:D$105,2,0))</f>
        <v>62.836482000000011</v>
      </c>
      <c r="N586" s="206">
        <f t="shared" si="459"/>
        <v>3787.6298139439209</v>
      </c>
      <c r="O586" s="377">
        <f>5.13</f>
        <v>5.13</v>
      </c>
      <c r="P586" s="197">
        <f t="shared" si="460"/>
        <v>7730.5970699999998</v>
      </c>
      <c r="Q586" s="198">
        <f t="shared" si="461"/>
        <v>11518.22688394392</v>
      </c>
      <c r="R586" s="199"/>
      <c r="X586" s="257"/>
    </row>
    <row r="587" spans="1:24" s="12" customFormat="1" ht="47.25" x14ac:dyDescent="0.2">
      <c r="A587" s="367">
        <f>IF(J587&lt;&gt;"",1+MAX($A$18:A586),"")</f>
        <v>414</v>
      </c>
      <c r="B587" s="368" t="s">
        <v>585</v>
      </c>
      <c r="C587" s="368" t="s">
        <v>585</v>
      </c>
      <c r="D587" s="368" t="s">
        <v>21</v>
      </c>
      <c r="E587" s="255" t="s">
        <v>66</v>
      </c>
      <c r="F587" s="380" t="s">
        <v>589</v>
      </c>
      <c r="G587" s="366">
        <v>2597.16</v>
      </c>
      <c r="H587" s="205">
        <f>IF(VLOOKUP(J587,'HOURLY RATES'!B$116:C$124,2,0)=0,$J$3,VLOOKUP(J587,'HOURLY RATES'!B$116:C$124,2,0))</f>
        <v>0.05</v>
      </c>
      <c r="I587" s="317">
        <f t="shared" si="457"/>
        <v>2727.018</v>
      </c>
      <c r="J587" s="192" t="s">
        <v>17</v>
      </c>
      <c r="K587" s="382">
        <v>0.04</v>
      </c>
      <c r="L587" s="228">
        <f t="shared" si="458"/>
        <v>109.08072</v>
      </c>
      <c r="M587" s="194">
        <f>IF(VLOOKUP(E587,'HOURLY RATES'!C$6:D$105,2,0)=0,$E$3,VLOOKUP(E587,'HOURLY RATES'!C$6:D$105,2,0))</f>
        <v>62.836482000000011</v>
      </c>
      <c r="N587" s="206">
        <f t="shared" si="459"/>
        <v>6854.2486988270412</v>
      </c>
      <c r="O587" s="377">
        <f>5.13</f>
        <v>5.13</v>
      </c>
      <c r="P587" s="197">
        <f t="shared" si="460"/>
        <v>13989.602339999999</v>
      </c>
      <c r="Q587" s="198">
        <f t="shared" si="461"/>
        <v>20843.851038827041</v>
      </c>
      <c r="R587" s="199"/>
      <c r="X587" s="257"/>
    </row>
    <row r="588" spans="1:24" s="12" customFormat="1" ht="47.25" x14ac:dyDescent="0.2">
      <c r="A588" s="367">
        <f>IF(J588&lt;&gt;"",1+MAX($A$18:A587),"")</f>
        <v>415</v>
      </c>
      <c r="B588" s="368" t="s">
        <v>585</v>
      </c>
      <c r="C588" s="368" t="s">
        <v>585</v>
      </c>
      <c r="D588" s="368" t="s">
        <v>21</v>
      </c>
      <c r="E588" s="255" t="s">
        <v>66</v>
      </c>
      <c r="F588" s="380" t="s">
        <v>590</v>
      </c>
      <c r="G588" s="366">
        <v>724.72</v>
      </c>
      <c r="H588" s="205">
        <f>IF(VLOOKUP(J588,'HOURLY RATES'!B$116:C$124,2,0)=0,$J$3,VLOOKUP(J588,'HOURLY RATES'!B$116:C$124,2,0))</f>
        <v>0.05</v>
      </c>
      <c r="I588" s="317">
        <f t="shared" si="457"/>
        <v>760.95600000000002</v>
      </c>
      <c r="J588" s="192" t="s">
        <v>17</v>
      </c>
      <c r="K588" s="382">
        <v>3.5000000000000003E-2</v>
      </c>
      <c r="L588" s="228">
        <f t="shared" si="458"/>
        <v>26.633460000000003</v>
      </c>
      <c r="M588" s="194">
        <f>IF(VLOOKUP(E588,'HOURLY RATES'!C$6:D$105,2,0)=0,$E$3,VLOOKUP(E588,'HOURLY RATES'!C$6:D$105,2,0))</f>
        <v>62.836482000000011</v>
      </c>
      <c r="N588" s="206">
        <f t="shared" si="459"/>
        <v>1673.5529298877204</v>
      </c>
      <c r="O588" s="377">
        <f>41.19/9</f>
        <v>4.5766666666666662</v>
      </c>
      <c r="P588" s="197">
        <f t="shared" si="460"/>
        <v>3482.6419599999999</v>
      </c>
      <c r="Q588" s="198">
        <f t="shared" si="461"/>
        <v>5156.1948898877199</v>
      </c>
      <c r="R588" s="199"/>
      <c r="X588" s="257"/>
    </row>
    <row r="589" spans="1:24" s="12" customFormat="1" ht="47.25" x14ac:dyDescent="0.2">
      <c r="A589" s="367">
        <f>IF(J589&lt;&gt;"",1+MAX($A$18:A588),"")</f>
        <v>416</v>
      </c>
      <c r="B589" s="368" t="s">
        <v>585</v>
      </c>
      <c r="C589" s="368" t="s">
        <v>585</v>
      </c>
      <c r="D589" s="368" t="s">
        <v>21</v>
      </c>
      <c r="E589" s="255" t="s">
        <v>66</v>
      </c>
      <c r="F589" s="380" t="s">
        <v>598</v>
      </c>
      <c r="G589" s="366">
        <v>85.75</v>
      </c>
      <c r="H589" s="205">
        <f>IF(VLOOKUP(J589,'HOURLY RATES'!B$116:C$124,2,0)=0,$J$3,VLOOKUP(J589,'HOURLY RATES'!B$116:C$124,2,0))</f>
        <v>0.05</v>
      </c>
      <c r="I589" s="317">
        <f t="shared" si="457"/>
        <v>90.037500000000009</v>
      </c>
      <c r="J589" s="192" t="s">
        <v>17</v>
      </c>
      <c r="K589" s="382">
        <v>0.05</v>
      </c>
      <c r="L589" s="228">
        <f t="shared" si="458"/>
        <v>4.501875000000001</v>
      </c>
      <c r="M589" s="194">
        <f>IF(VLOOKUP(E589,'HOURLY RATES'!C$6:D$105,2,0)=0,$E$3,VLOOKUP(E589,'HOURLY RATES'!C$6:D$105,2,0))</f>
        <v>62.836482000000011</v>
      </c>
      <c r="N589" s="206">
        <f t="shared" si="459"/>
        <v>282.88198740375009</v>
      </c>
      <c r="O589" s="377">
        <v>10.18</v>
      </c>
      <c r="P589" s="197">
        <f t="shared" si="460"/>
        <v>916.58175000000006</v>
      </c>
      <c r="Q589" s="198">
        <f t="shared" si="461"/>
        <v>1199.4637374037502</v>
      </c>
      <c r="R589" s="199"/>
      <c r="X589" s="257"/>
    </row>
    <row r="590" spans="1:24" s="12" customFormat="1" ht="31.5" x14ac:dyDescent="0.2">
      <c r="A590" s="367">
        <f>IF(J590&lt;&gt;"",1+MAX($A$18:A589),"")</f>
        <v>417</v>
      </c>
      <c r="B590" s="368" t="s">
        <v>585</v>
      </c>
      <c r="C590" s="368" t="s">
        <v>585</v>
      </c>
      <c r="D590" s="368" t="s">
        <v>21</v>
      </c>
      <c r="E590" s="255" t="s">
        <v>66</v>
      </c>
      <c r="F590" s="380" t="s">
        <v>599</v>
      </c>
      <c r="G590" s="366">
        <v>114.3</v>
      </c>
      <c r="H590" s="205">
        <f>IF(VLOOKUP(J590,'HOURLY RATES'!B$116:C$124,2,0)=0,$J$3,VLOOKUP(J590,'HOURLY RATES'!B$116:C$124,2,0))</f>
        <v>0.05</v>
      </c>
      <c r="I590" s="317">
        <f t="shared" si="457"/>
        <v>120.015</v>
      </c>
      <c r="J590" s="192" t="s">
        <v>17</v>
      </c>
      <c r="K590" s="382">
        <v>3.5000000000000003E-2</v>
      </c>
      <c r="L590" s="228">
        <f t="shared" si="458"/>
        <v>4.2005250000000007</v>
      </c>
      <c r="M590" s="194">
        <f>IF(VLOOKUP(E590,'HOURLY RATES'!C$6:D$105,2,0)=0,$E$3,VLOOKUP(E590,'HOURLY RATES'!C$6:D$105,2,0))</f>
        <v>62.836482000000011</v>
      </c>
      <c r="N590" s="206">
        <f t="shared" si="459"/>
        <v>263.94621355305009</v>
      </c>
      <c r="O590" s="377">
        <v>1</v>
      </c>
      <c r="P590" s="197">
        <f t="shared" si="460"/>
        <v>120.015</v>
      </c>
      <c r="Q590" s="198">
        <f t="shared" si="461"/>
        <v>383.96121355305007</v>
      </c>
      <c r="R590" s="199"/>
      <c r="X590" s="257"/>
    </row>
    <row r="591" spans="1:24" s="12" customFormat="1" ht="47.25" x14ac:dyDescent="0.2">
      <c r="A591" s="367">
        <f>IF(J591&lt;&gt;"",1+MAX($A$18:A590),"")</f>
        <v>418</v>
      </c>
      <c r="B591" s="368" t="s">
        <v>585</v>
      </c>
      <c r="C591" s="368" t="s">
        <v>585</v>
      </c>
      <c r="D591" s="368" t="s">
        <v>21</v>
      </c>
      <c r="E591" s="255" t="s">
        <v>66</v>
      </c>
      <c r="F591" s="396" t="s">
        <v>713</v>
      </c>
      <c r="G591" s="366">
        <v>699.72</v>
      </c>
      <c r="H591" s="205">
        <f>IF(VLOOKUP(J591,'HOURLY RATES'!B$116:C$124,2,0)=0,$J$3,VLOOKUP(J591,'HOURLY RATES'!B$116:C$124,2,0))</f>
        <v>0.05</v>
      </c>
      <c r="I591" s="317">
        <f t="shared" ref="I591" si="462">(G591*(1+H591))</f>
        <v>734.70600000000002</v>
      </c>
      <c r="J591" s="192" t="s">
        <v>17</v>
      </c>
      <c r="K591" s="382">
        <v>0.04</v>
      </c>
      <c r="L591" s="228">
        <f t="shared" ref="L591" si="463">K591*I591</f>
        <v>29.38824</v>
      </c>
      <c r="M591" s="194">
        <f>IF(VLOOKUP(E591,'HOURLY RATES'!C$6:D$105,2,0)=0,$E$3,VLOOKUP(E591,'HOURLY RATES'!C$6:D$105,2,0))</f>
        <v>62.836482000000011</v>
      </c>
      <c r="N591" s="206">
        <f t="shared" ref="N591" si="464">M591*L591</f>
        <v>1846.6536137716803</v>
      </c>
      <c r="O591" s="377">
        <v>2.79</v>
      </c>
      <c r="P591" s="197">
        <f t="shared" ref="P591" si="465">O591*I591</f>
        <v>2049.8297400000001</v>
      </c>
      <c r="Q591" s="198">
        <f t="shared" ref="Q591" si="466">P591+N591</f>
        <v>3896.4833537716804</v>
      </c>
      <c r="R591" s="199"/>
      <c r="X591" s="257"/>
    </row>
    <row r="592" spans="1:24" s="12" customFormat="1" x14ac:dyDescent="0.2">
      <c r="A592" s="367" t="str">
        <f>IF(J592&lt;&gt;"",1+MAX($A$18:A591),"")</f>
        <v/>
      </c>
      <c r="B592" s="368"/>
      <c r="C592" s="368"/>
      <c r="D592" s="368"/>
      <c r="E592" s="255"/>
      <c r="F592" s="380"/>
      <c r="G592" s="366"/>
      <c r="H592" s="205"/>
      <c r="I592" s="317"/>
      <c r="J592" s="192"/>
      <c r="K592" s="382"/>
      <c r="L592" s="228"/>
      <c r="M592" s="194"/>
      <c r="N592" s="206"/>
      <c r="O592" s="377"/>
      <c r="P592" s="197"/>
      <c r="Q592" s="198"/>
      <c r="R592" s="199"/>
      <c r="X592" s="257"/>
    </row>
    <row r="593" spans="1:24" s="12" customFormat="1" x14ac:dyDescent="0.2">
      <c r="A593" s="367" t="str">
        <f>IF(J593&lt;&gt;"",1+MAX($A$18:A592),"")</f>
        <v/>
      </c>
      <c r="B593" s="368"/>
      <c r="C593" s="368"/>
      <c r="D593" s="368"/>
      <c r="E593" s="255"/>
      <c r="F593" s="389" t="s">
        <v>210</v>
      </c>
      <c r="G593" s="366"/>
      <c r="H593" s="205"/>
      <c r="I593" s="317"/>
      <c r="J593" s="192"/>
      <c r="K593" s="382"/>
      <c r="L593" s="228"/>
      <c r="M593" s="194"/>
      <c r="N593" s="206"/>
      <c r="O593" s="377"/>
      <c r="P593" s="197"/>
      <c r="Q593" s="198"/>
      <c r="R593" s="199"/>
      <c r="X593" s="257"/>
    </row>
    <row r="594" spans="1:24" s="12" customFormat="1" ht="47.25" x14ac:dyDescent="0.2">
      <c r="A594" s="367">
        <f>IF(J594&lt;&gt;"",1+MAX($A$18:A593),"")</f>
        <v>419</v>
      </c>
      <c r="B594" s="368" t="s">
        <v>585</v>
      </c>
      <c r="C594" s="368" t="s">
        <v>585</v>
      </c>
      <c r="D594" s="368" t="s">
        <v>21</v>
      </c>
      <c r="E594" s="255" t="s">
        <v>68</v>
      </c>
      <c r="F594" s="380" t="s">
        <v>591</v>
      </c>
      <c r="G594" s="366">
        <v>38.76</v>
      </c>
      <c r="H594" s="205">
        <f>IF(VLOOKUP(J594,'HOURLY RATES'!B$116:C$124,2,0)=0,$J$3,VLOOKUP(J594,'HOURLY RATES'!B$116:C$124,2,0))</f>
        <v>0.05</v>
      </c>
      <c r="I594" s="317">
        <f t="shared" si="420"/>
        <v>40.698</v>
      </c>
      <c r="J594" s="192" t="s">
        <v>17</v>
      </c>
      <c r="K594" s="382">
        <v>8.8999999999999996E-2</v>
      </c>
      <c r="L594" s="228">
        <f t="shared" si="421"/>
        <v>3.6221220000000001</v>
      </c>
      <c r="M594" s="194">
        <f>IF(VLOOKUP(E594,'HOURLY RATES'!C$6:D$105,2,0)=0,$E$3,VLOOKUP(E594,'HOURLY RATES'!C$6:D$105,2,0))</f>
        <v>63.829754999999992</v>
      </c>
      <c r="N594" s="206">
        <f t="shared" si="422"/>
        <v>231.19915984010998</v>
      </c>
      <c r="O594" s="377">
        <v>11.51</v>
      </c>
      <c r="P594" s="197">
        <f t="shared" si="423"/>
        <v>468.43398000000002</v>
      </c>
      <c r="Q594" s="198">
        <f t="shared" si="424"/>
        <v>699.63313984011006</v>
      </c>
      <c r="R594" s="199"/>
      <c r="X594" s="257"/>
    </row>
    <row r="595" spans="1:24" s="12" customFormat="1" ht="47.25" x14ac:dyDescent="0.2">
      <c r="A595" s="367">
        <f>IF(J595&lt;&gt;"",1+MAX($A$18:A594),"")</f>
        <v>420</v>
      </c>
      <c r="B595" s="368" t="s">
        <v>585</v>
      </c>
      <c r="C595" s="368" t="s">
        <v>585</v>
      </c>
      <c r="D595" s="368" t="s">
        <v>21</v>
      </c>
      <c r="E595" s="255" t="s">
        <v>68</v>
      </c>
      <c r="F595" s="380" t="s">
        <v>592</v>
      </c>
      <c r="G595" s="366">
        <v>380</v>
      </c>
      <c r="H595" s="205">
        <f>IF(VLOOKUP(J595,'HOURLY RATES'!B$116:C$124,2,0)=0,$J$3,VLOOKUP(J595,'HOURLY RATES'!B$116:C$124,2,0))</f>
        <v>0.05</v>
      </c>
      <c r="I595" s="317">
        <f t="shared" si="420"/>
        <v>399</v>
      </c>
      <c r="J595" s="192" t="s">
        <v>17</v>
      </c>
      <c r="K595" s="382">
        <v>8.8999999999999996E-2</v>
      </c>
      <c r="L595" s="228">
        <f t="shared" si="421"/>
        <v>35.510999999999996</v>
      </c>
      <c r="M595" s="194">
        <f>IF(VLOOKUP(E595,'HOURLY RATES'!C$6:D$105,2,0)=0,$E$3,VLOOKUP(E595,'HOURLY RATES'!C$6:D$105,2,0))</f>
        <v>63.829754999999992</v>
      </c>
      <c r="N595" s="206">
        <f t="shared" si="422"/>
        <v>2266.6584298049993</v>
      </c>
      <c r="O595" s="377">
        <v>11.51</v>
      </c>
      <c r="P595" s="197">
        <f t="shared" si="423"/>
        <v>4592.49</v>
      </c>
      <c r="Q595" s="198">
        <f t="shared" si="424"/>
        <v>6859.1484298049991</v>
      </c>
      <c r="R595" s="199"/>
      <c r="X595" s="257"/>
    </row>
    <row r="596" spans="1:24" s="12" customFormat="1" ht="47.25" x14ac:dyDescent="0.2">
      <c r="A596" s="367">
        <f>IF(J596&lt;&gt;"",1+MAX($A$18:A595),"")</f>
        <v>421</v>
      </c>
      <c r="B596" s="368" t="s">
        <v>585</v>
      </c>
      <c r="C596" s="368" t="s">
        <v>585</v>
      </c>
      <c r="D596" s="368" t="s">
        <v>21</v>
      </c>
      <c r="E596" s="255" t="s">
        <v>68</v>
      </c>
      <c r="F596" s="380" t="s">
        <v>593</v>
      </c>
      <c r="G596" s="366">
        <v>296.52</v>
      </c>
      <c r="H596" s="205">
        <f>IF(VLOOKUP(J596,'HOURLY RATES'!B$116:C$124,2,0)=0,$J$3,VLOOKUP(J596,'HOURLY RATES'!B$116:C$124,2,0))</f>
        <v>0.05</v>
      </c>
      <c r="I596" s="317">
        <f t="shared" si="420"/>
        <v>311.346</v>
      </c>
      <c r="J596" s="192" t="s">
        <v>17</v>
      </c>
      <c r="K596" s="382">
        <v>8.8999999999999996E-2</v>
      </c>
      <c r="L596" s="228">
        <f t="shared" si="421"/>
        <v>27.709793999999999</v>
      </c>
      <c r="M596" s="194">
        <f>IF(VLOOKUP(E596,'HOURLY RATES'!C$6:D$105,2,0)=0,$E$3,VLOOKUP(E596,'HOURLY RATES'!C$6:D$105,2,0))</f>
        <v>63.829754999999992</v>
      </c>
      <c r="N596" s="206">
        <f t="shared" si="422"/>
        <v>1768.7093621204697</v>
      </c>
      <c r="O596" s="377">
        <v>11.51</v>
      </c>
      <c r="P596" s="197">
        <f t="shared" si="423"/>
        <v>3583.5924599999998</v>
      </c>
      <c r="Q596" s="198">
        <f t="shared" si="424"/>
        <v>5352.3018221204693</v>
      </c>
      <c r="R596" s="199"/>
      <c r="X596" s="257"/>
    </row>
    <row r="597" spans="1:24" s="12" customFormat="1" ht="47.25" x14ac:dyDescent="0.2">
      <c r="A597" s="367">
        <f>IF(J597&lt;&gt;"",1+MAX($A$18:A596),"")</f>
        <v>422</v>
      </c>
      <c r="B597" s="368" t="s">
        <v>585</v>
      </c>
      <c r="C597" s="368" t="s">
        <v>585</v>
      </c>
      <c r="D597" s="368" t="s">
        <v>21</v>
      </c>
      <c r="E597" s="255" t="s">
        <v>68</v>
      </c>
      <c r="F597" s="380" t="s">
        <v>594</v>
      </c>
      <c r="G597" s="366">
        <v>254.61</v>
      </c>
      <c r="H597" s="205">
        <f>IF(VLOOKUP(J597,'HOURLY RATES'!B$116:C$124,2,0)=0,$J$3,VLOOKUP(J597,'HOURLY RATES'!B$116:C$124,2,0))</f>
        <v>0.05</v>
      </c>
      <c r="I597" s="317">
        <f t="shared" si="420"/>
        <v>267.34050000000002</v>
      </c>
      <c r="J597" s="192" t="s">
        <v>17</v>
      </c>
      <c r="K597" s="382">
        <v>8.8999999999999996E-2</v>
      </c>
      <c r="L597" s="228">
        <f t="shared" si="421"/>
        <v>23.793304500000001</v>
      </c>
      <c r="M597" s="194">
        <f>IF(VLOOKUP(E597,'HOURLY RATES'!C$6:D$105,2,0)=0,$E$3,VLOOKUP(E597,'HOURLY RATES'!C$6:D$105,2,0))</f>
        <v>63.829754999999992</v>
      </c>
      <c r="N597" s="206">
        <f t="shared" si="422"/>
        <v>1518.7207968753974</v>
      </c>
      <c r="O597" s="377">
        <v>11.51</v>
      </c>
      <c r="P597" s="197">
        <f t="shared" si="423"/>
        <v>3077.0891550000001</v>
      </c>
      <c r="Q597" s="198">
        <f t="shared" si="424"/>
        <v>4595.809951875397</v>
      </c>
      <c r="R597" s="199"/>
      <c r="X597" s="257"/>
    </row>
    <row r="598" spans="1:24" s="12" customFormat="1" ht="47.25" x14ac:dyDescent="0.2">
      <c r="A598" s="367">
        <f>IF(J598&lt;&gt;"",1+MAX($A$18:A597),"")</f>
        <v>423</v>
      </c>
      <c r="B598" s="368" t="s">
        <v>585</v>
      </c>
      <c r="C598" s="368" t="s">
        <v>585</v>
      </c>
      <c r="D598" s="368" t="s">
        <v>21</v>
      </c>
      <c r="E598" s="255" t="s">
        <v>68</v>
      </c>
      <c r="F598" s="380" t="s">
        <v>595</v>
      </c>
      <c r="G598" s="366">
        <v>31.58</v>
      </c>
      <c r="H598" s="205">
        <f>IF(VLOOKUP(J598,'HOURLY RATES'!B$116:C$124,2,0)=0,$J$3,VLOOKUP(J598,'HOURLY RATES'!B$116:C$124,2,0))</f>
        <v>0.05</v>
      </c>
      <c r="I598" s="317">
        <f t="shared" si="420"/>
        <v>33.158999999999999</v>
      </c>
      <c r="J598" s="192" t="s">
        <v>17</v>
      </c>
      <c r="K598" s="382">
        <v>8.8999999999999996E-2</v>
      </c>
      <c r="L598" s="228">
        <f t="shared" si="421"/>
        <v>2.9511509999999999</v>
      </c>
      <c r="M598" s="194">
        <f>IF(VLOOKUP(E598,'HOURLY RATES'!C$6:D$105,2,0)=0,$E$3,VLOOKUP(E598,'HOURLY RATES'!C$6:D$105,2,0))</f>
        <v>63.829754999999992</v>
      </c>
      <c r="N598" s="206">
        <f t="shared" si="422"/>
        <v>188.37124529800496</v>
      </c>
      <c r="O598" s="377">
        <v>11.51</v>
      </c>
      <c r="P598" s="197">
        <f t="shared" si="423"/>
        <v>381.66008999999997</v>
      </c>
      <c r="Q598" s="198">
        <f t="shared" si="424"/>
        <v>570.03133529800493</v>
      </c>
      <c r="R598" s="199"/>
      <c r="X598" s="257"/>
    </row>
    <row r="599" spans="1:24" s="12" customFormat="1" ht="47.25" x14ac:dyDescent="0.2">
      <c r="A599" s="367">
        <f>IF(J599&lt;&gt;"",1+MAX($A$18:A598),"")</f>
        <v>424</v>
      </c>
      <c r="B599" s="368" t="s">
        <v>585</v>
      </c>
      <c r="C599" s="368" t="s">
        <v>585</v>
      </c>
      <c r="D599" s="368" t="s">
        <v>21</v>
      </c>
      <c r="E599" s="255" t="s">
        <v>68</v>
      </c>
      <c r="F599" s="380" t="s">
        <v>596</v>
      </c>
      <c r="G599" s="366">
        <v>56.09</v>
      </c>
      <c r="H599" s="205">
        <f>IF(VLOOKUP(J599,'HOURLY RATES'!B$116:C$124,2,0)=0,$J$3,VLOOKUP(J599,'HOURLY RATES'!B$116:C$124,2,0))</f>
        <v>0.05</v>
      </c>
      <c r="I599" s="317">
        <f t="shared" si="420"/>
        <v>58.894500000000008</v>
      </c>
      <c r="J599" s="192" t="s">
        <v>17</v>
      </c>
      <c r="K599" s="382">
        <v>8.8999999999999996E-2</v>
      </c>
      <c r="L599" s="228">
        <f t="shared" si="421"/>
        <v>5.2416105000000002</v>
      </c>
      <c r="M599" s="194">
        <f>IF(VLOOKUP(E599,'HOURLY RATES'!C$6:D$105,2,0)=0,$E$3,VLOOKUP(E599,'HOURLY RATES'!C$6:D$105,2,0))</f>
        <v>63.829754999999992</v>
      </c>
      <c r="N599" s="206">
        <f t="shared" si="422"/>
        <v>334.57071402042749</v>
      </c>
      <c r="O599" s="377">
        <v>11.51</v>
      </c>
      <c r="P599" s="197">
        <f t="shared" si="423"/>
        <v>677.87569500000006</v>
      </c>
      <c r="Q599" s="198">
        <f t="shared" si="424"/>
        <v>1012.4464090204276</v>
      </c>
      <c r="R599" s="199"/>
      <c r="X599" s="257"/>
    </row>
    <row r="600" spans="1:24" s="12" customFormat="1" ht="47.25" x14ac:dyDescent="0.2">
      <c r="A600" s="367">
        <f>IF(J600&lt;&gt;"",1+MAX($A$18:A599),"")</f>
        <v>425</v>
      </c>
      <c r="B600" s="368" t="s">
        <v>585</v>
      </c>
      <c r="C600" s="368" t="s">
        <v>585</v>
      </c>
      <c r="D600" s="368" t="s">
        <v>21</v>
      </c>
      <c r="E600" s="255" t="s">
        <v>68</v>
      </c>
      <c r="F600" s="380" t="s">
        <v>597</v>
      </c>
      <c r="G600" s="366">
        <v>52.81</v>
      </c>
      <c r="H600" s="205">
        <f>IF(VLOOKUP(J600,'HOURLY RATES'!B$116:C$124,2,0)=0,$J$3,VLOOKUP(J600,'HOURLY RATES'!B$116:C$124,2,0))</f>
        <v>0.05</v>
      </c>
      <c r="I600" s="317">
        <f t="shared" si="420"/>
        <v>55.450500000000005</v>
      </c>
      <c r="J600" s="192" t="s">
        <v>17</v>
      </c>
      <c r="K600" s="382">
        <v>8.8999999999999996E-2</v>
      </c>
      <c r="L600" s="228">
        <f t="shared" si="421"/>
        <v>4.9350944999999999</v>
      </c>
      <c r="M600" s="194">
        <f>IF(VLOOKUP(E600,'HOURLY RATES'!C$6:D$105,2,0)=0,$E$3,VLOOKUP(E600,'HOURLY RATES'!C$6:D$105,2,0))</f>
        <v>63.829754999999992</v>
      </c>
      <c r="N600" s="206">
        <f t="shared" si="422"/>
        <v>315.00587283684746</v>
      </c>
      <c r="O600" s="377">
        <v>11.51</v>
      </c>
      <c r="P600" s="197">
        <f t="shared" si="423"/>
        <v>638.23525500000005</v>
      </c>
      <c r="Q600" s="198">
        <f t="shared" si="424"/>
        <v>953.24112783684745</v>
      </c>
      <c r="R600" s="199"/>
      <c r="X600" s="257"/>
    </row>
    <row r="601" spans="1:24" s="12" customFormat="1" ht="47.25" x14ac:dyDescent="0.2">
      <c r="A601" s="367">
        <f>IF(J601&lt;&gt;"",1+MAX($A$18:A600),"")</f>
        <v>426</v>
      </c>
      <c r="B601" s="368" t="s">
        <v>600</v>
      </c>
      <c r="C601" s="368" t="s">
        <v>600</v>
      </c>
      <c r="D601" s="368" t="s">
        <v>21</v>
      </c>
      <c r="E601" s="255" t="s">
        <v>68</v>
      </c>
      <c r="F601" s="380" t="s">
        <v>601</v>
      </c>
      <c r="G601" s="366">
        <v>29.45</v>
      </c>
      <c r="H601" s="205">
        <f>IF(VLOOKUP(J601,'HOURLY RATES'!B$116:C$124,2,0)=0,$J$3,VLOOKUP(J601,'HOURLY RATES'!B$116:C$124,2,0))</f>
        <v>0.05</v>
      </c>
      <c r="I601" s="317">
        <f t="shared" si="420"/>
        <v>30.922499999999999</v>
      </c>
      <c r="J601" s="192" t="s">
        <v>17</v>
      </c>
      <c r="K601" s="382">
        <v>8.8999999999999996E-2</v>
      </c>
      <c r="L601" s="228">
        <f t="shared" si="421"/>
        <v>2.7521024999999999</v>
      </c>
      <c r="M601" s="194">
        <f>IF(VLOOKUP(E601,'HOURLY RATES'!C$6:D$105,2,0)=0,$E$3,VLOOKUP(E601,'HOURLY RATES'!C$6:D$105,2,0))</f>
        <v>63.829754999999992</v>
      </c>
      <c r="N601" s="206">
        <f t="shared" si="422"/>
        <v>175.66602830988748</v>
      </c>
      <c r="O601" s="377">
        <v>12.69</v>
      </c>
      <c r="P601" s="197">
        <f t="shared" si="423"/>
        <v>392.40652499999999</v>
      </c>
      <c r="Q601" s="198">
        <f t="shared" si="424"/>
        <v>568.07255330988744</v>
      </c>
      <c r="R601" s="199"/>
      <c r="X601" s="257"/>
    </row>
    <row r="602" spans="1:24" s="12" customFormat="1" ht="47.25" x14ac:dyDescent="0.2">
      <c r="A602" s="367">
        <f>IF(J602&lt;&gt;"",1+MAX($A$18:A601),"")</f>
        <v>427</v>
      </c>
      <c r="B602" s="368" t="s">
        <v>602</v>
      </c>
      <c r="C602" s="368" t="s">
        <v>602</v>
      </c>
      <c r="D602" s="368" t="s">
        <v>21</v>
      </c>
      <c r="E602" s="255" t="s">
        <v>68</v>
      </c>
      <c r="F602" s="380" t="s">
        <v>603</v>
      </c>
      <c r="G602" s="366">
        <v>43.24</v>
      </c>
      <c r="H602" s="205">
        <f>IF(VLOOKUP(J602,'HOURLY RATES'!B$116:C$124,2,0)=0,$J$3,VLOOKUP(J602,'HOURLY RATES'!B$116:C$124,2,0))</f>
        <v>0.05</v>
      </c>
      <c r="I602" s="317">
        <f t="shared" si="420"/>
        <v>45.402000000000001</v>
      </c>
      <c r="J602" s="192" t="s">
        <v>17</v>
      </c>
      <c r="K602" s="382">
        <v>8.8999999999999996E-2</v>
      </c>
      <c r="L602" s="228">
        <f t="shared" si="421"/>
        <v>4.0407779999999995</v>
      </c>
      <c r="M602" s="194">
        <f>IF(VLOOKUP(E602,'HOURLY RATES'!C$6:D$105,2,0)=0,$E$3,VLOOKUP(E602,'HOURLY RATES'!C$6:D$105,2,0))</f>
        <v>63.829754999999992</v>
      </c>
      <c r="N602" s="206">
        <f t="shared" si="422"/>
        <v>257.92186974938994</v>
      </c>
      <c r="O602" s="377">
        <v>8.7899999999999991</v>
      </c>
      <c r="P602" s="197">
        <f t="shared" si="423"/>
        <v>399.08357999999998</v>
      </c>
      <c r="Q602" s="198">
        <f t="shared" si="424"/>
        <v>657.00544974938998</v>
      </c>
      <c r="R602" s="199"/>
      <c r="X602" s="257"/>
    </row>
    <row r="603" spans="1:24" s="12" customFormat="1" x14ac:dyDescent="0.2">
      <c r="A603" s="367" t="str">
        <f>IF(J603&lt;&gt;"",1+MAX($A$18:A602),"")</f>
        <v/>
      </c>
      <c r="B603" s="368"/>
      <c r="C603" s="368"/>
      <c r="D603" s="368"/>
      <c r="E603" s="255"/>
      <c r="F603" s="380" t="s">
        <v>28</v>
      </c>
      <c r="G603" s="366"/>
      <c r="H603" s="205"/>
      <c r="I603" s="317"/>
      <c r="J603" s="192"/>
      <c r="K603" s="382"/>
      <c r="L603" s="228"/>
      <c r="M603" s="194"/>
      <c r="N603" s="206"/>
      <c r="O603" s="377"/>
      <c r="P603" s="197"/>
      <c r="Q603" s="198"/>
      <c r="R603" s="199"/>
      <c r="X603" s="257"/>
    </row>
    <row r="604" spans="1:24" s="12" customFormat="1" x14ac:dyDescent="0.2">
      <c r="A604" s="367" t="str">
        <f>IF(J604&lt;&gt;"",1+MAX($A$18:A603),"")</f>
        <v/>
      </c>
      <c r="B604" s="368"/>
      <c r="C604" s="368"/>
      <c r="D604" s="368"/>
      <c r="E604" s="255"/>
      <c r="F604" s="369" t="s">
        <v>173</v>
      </c>
      <c r="G604" s="366"/>
      <c r="H604" s="205"/>
      <c r="I604" s="317"/>
      <c r="J604" s="192"/>
      <c r="K604" s="382"/>
      <c r="L604" s="228"/>
      <c r="M604" s="194"/>
      <c r="N604" s="206"/>
      <c r="O604" s="377"/>
      <c r="P604" s="197"/>
      <c r="Q604" s="198"/>
      <c r="R604" s="199"/>
      <c r="X604" s="257"/>
    </row>
    <row r="605" spans="1:24" s="12" customFormat="1" x14ac:dyDescent="0.2">
      <c r="A605" s="367">
        <f>IF(J605&lt;&gt;"",1+MAX($A$18:A604),"")</f>
        <v>428</v>
      </c>
      <c r="B605" s="368" t="s">
        <v>472</v>
      </c>
      <c r="C605" s="368" t="s">
        <v>472</v>
      </c>
      <c r="D605" s="368" t="s">
        <v>21</v>
      </c>
      <c r="E605" s="255" t="s">
        <v>76</v>
      </c>
      <c r="F605" s="380" t="s">
        <v>608</v>
      </c>
      <c r="G605" s="366">
        <f>24.02/0.08</f>
        <v>300.25</v>
      </c>
      <c r="H605" s="205">
        <f>IF(VLOOKUP(J605,'HOURLY RATES'!B$116:C$124,2,0)=0,$J$3,VLOOKUP(J605,'HOURLY RATES'!B$116:C$124,2,0))</f>
        <v>0.05</v>
      </c>
      <c r="I605" s="317">
        <f t="shared" si="420"/>
        <v>315.26249999999999</v>
      </c>
      <c r="J605" s="192" t="s">
        <v>19</v>
      </c>
      <c r="K605" s="382">
        <v>4.4999999999999998E-2</v>
      </c>
      <c r="L605" s="228">
        <f t="shared" si="421"/>
        <v>14.186812499999998</v>
      </c>
      <c r="M605" s="194">
        <f>IF(VLOOKUP(E605,'HOURLY RATES'!C$6:D$105,2,0)=0,$E$3,VLOOKUP(E605,'HOURLY RATES'!C$6:D$105,2,0))</f>
        <v>69.559850000000012</v>
      </c>
      <c r="N605" s="206">
        <f t="shared" si="422"/>
        <v>986.83254947812509</v>
      </c>
      <c r="O605" s="377">
        <f>50/18</f>
        <v>2.7777777777777777</v>
      </c>
      <c r="P605" s="197">
        <f t="shared" si="423"/>
        <v>875.72916666666663</v>
      </c>
      <c r="Q605" s="198">
        <f t="shared" si="424"/>
        <v>1862.5617161447917</v>
      </c>
      <c r="R605" s="199"/>
      <c r="X605" s="257"/>
    </row>
    <row r="606" spans="1:24" s="12" customFormat="1" x14ac:dyDescent="0.2">
      <c r="A606" s="367">
        <f>IF(J606&lt;&gt;"",1+MAX($A$18:A605),"")</f>
        <v>429</v>
      </c>
      <c r="B606" s="368" t="s">
        <v>472</v>
      </c>
      <c r="C606" s="368" t="s">
        <v>472</v>
      </c>
      <c r="D606" s="368" t="s">
        <v>21</v>
      </c>
      <c r="E606" s="255" t="s">
        <v>76</v>
      </c>
      <c r="F606" s="380" t="s">
        <v>609</v>
      </c>
      <c r="G606" s="366">
        <f>23.84/0.08</f>
        <v>298</v>
      </c>
      <c r="H606" s="205">
        <f>IF(VLOOKUP(J606,'HOURLY RATES'!B$116:C$124,2,0)=0,$J$3,VLOOKUP(J606,'HOURLY RATES'!B$116:C$124,2,0))</f>
        <v>0.05</v>
      </c>
      <c r="I606" s="317">
        <f t="shared" si="420"/>
        <v>312.90000000000003</v>
      </c>
      <c r="J606" s="192" t="s">
        <v>19</v>
      </c>
      <c r="K606" s="382">
        <v>4.4999999999999998E-2</v>
      </c>
      <c r="L606" s="228">
        <f t="shared" si="421"/>
        <v>14.080500000000001</v>
      </c>
      <c r="M606" s="194">
        <f>IF(VLOOKUP(E606,'HOURLY RATES'!C$6:D$105,2,0)=0,$E$3,VLOOKUP(E606,'HOURLY RATES'!C$6:D$105,2,0))</f>
        <v>69.559850000000012</v>
      </c>
      <c r="N606" s="206">
        <f t="shared" si="422"/>
        <v>979.43746792500019</v>
      </c>
      <c r="O606" s="377">
        <f t="shared" ref="O606:O611" si="467">50/18</f>
        <v>2.7777777777777777</v>
      </c>
      <c r="P606" s="197">
        <f t="shared" si="423"/>
        <v>869.16666666666674</v>
      </c>
      <c r="Q606" s="198">
        <f t="shared" si="424"/>
        <v>1848.6041345916669</v>
      </c>
      <c r="R606" s="199"/>
      <c r="X606" s="257"/>
    </row>
    <row r="607" spans="1:24" s="12" customFormat="1" x14ac:dyDescent="0.2">
      <c r="A607" s="367">
        <f>IF(J607&lt;&gt;"",1+MAX($A$18:A606),"")</f>
        <v>430</v>
      </c>
      <c r="B607" s="368" t="s">
        <v>472</v>
      </c>
      <c r="C607" s="368" t="s">
        <v>472</v>
      </c>
      <c r="D607" s="368" t="s">
        <v>21</v>
      </c>
      <c r="E607" s="255" t="s">
        <v>76</v>
      </c>
      <c r="F607" s="380" t="s">
        <v>610</v>
      </c>
      <c r="G607" s="366">
        <f>24.09/0.08</f>
        <v>301.125</v>
      </c>
      <c r="H607" s="205">
        <f>IF(VLOOKUP(J607,'HOURLY RATES'!B$116:C$124,2,0)=0,$J$3,VLOOKUP(J607,'HOURLY RATES'!B$116:C$124,2,0))</f>
        <v>0.05</v>
      </c>
      <c r="I607" s="317">
        <f t="shared" si="420"/>
        <v>316.18125000000003</v>
      </c>
      <c r="J607" s="192" t="s">
        <v>19</v>
      </c>
      <c r="K607" s="382">
        <v>4.4999999999999998E-2</v>
      </c>
      <c r="L607" s="228">
        <f t="shared" si="421"/>
        <v>14.228156250000001</v>
      </c>
      <c r="M607" s="194">
        <f>IF(VLOOKUP(E607,'HOURLY RATES'!C$6:D$105,2,0)=0,$E$3,VLOOKUP(E607,'HOURLY RATES'!C$6:D$105,2,0))</f>
        <v>69.559850000000012</v>
      </c>
      <c r="N607" s="206">
        <f t="shared" si="422"/>
        <v>989.70841452656271</v>
      </c>
      <c r="O607" s="377">
        <f t="shared" si="467"/>
        <v>2.7777777777777777</v>
      </c>
      <c r="P607" s="197">
        <f t="shared" si="423"/>
        <v>878.28125000000011</v>
      </c>
      <c r="Q607" s="198">
        <f t="shared" si="424"/>
        <v>1867.9896645265628</v>
      </c>
      <c r="R607" s="199"/>
      <c r="X607" s="257"/>
    </row>
    <row r="608" spans="1:24" s="12" customFormat="1" x14ac:dyDescent="0.2">
      <c r="A608" s="367">
        <f>IF(J608&lt;&gt;"",1+MAX($A$18:A607),"")</f>
        <v>431</v>
      </c>
      <c r="B608" s="368" t="s">
        <v>611</v>
      </c>
      <c r="C608" s="368" t="s">
        <v>611</v>
      </c>
      <c r="D608" s="368" t="s">
        <v>21</v>
      </c>
      <c r="E608" s="255" t="s">
        <v>76</v>
      </c>
      <c r="F608" s="380" t="s">
        <v>612</v>
      </c>
      <c r="G608" s="366">
        <f>17.3/0.125</f>
        <v>138.4</v>
      </c>
      <c r="H608" s="205">
        <f>IF(VLOOKUP(J608,'HOURLY RATES'!B$116:C$124,2,0)=0,$J$3,VLOOKUP(J608,'HOURLY RATES'!B$116:C$124,2,0))</f>
        <v>0.05</v>
      </c>
      <c r="I608" s="317">
        <f t="shared" si="420"/>
        <v>145.32000000000002</v>
      </c>
      <c r="J608" s="192" t="s">
        <v>19</v>
      </c>
      <c r="K608" s="208">
        <v>4.4999999999999998E-2</v>
      </c>
      <c r="L608" s="228">
        <f t="shared" si="421"/>
        <v>6.5394000000000005</v>
      </c>
      <c r="M608" s="194">
        <f>IF(VLOOKUP(E608,'HOURLY RATES'!C$6:D$105,2,0)=0,$E$3,VLOOKUP(E608,'HOURLY RATES'!C$6:D$105,2,0))</f>
        <v>69.559850000000012</v>
      </c>
      <c r="N608" s="206">
        <f t="shared" si="422"/>
        <v>454.87968309000013</v>
      </c>
      <c r="O608" s="234">
        <f t="shared" si="467"/>
        <v>2.7777777777777777</v>
      </c>
      <c r="P608" s="197">
        <f t="shared" si="423"/>
        <v>403.66666666666669</v>
      </c>
      <c r="Q608" s="198">
        <f t="shared" si="424"/>
        <v>858.54634975666681</v>
      </c>
      <c r="R608" s="199"/>
      <c r="X608" s="257"/>
    </row>
    <row r="609" spans="1:24" s="12" customFormat="1" x14ac:dyDescent="0.2">
      <c r="A609" s="367">
        <f>IF(J609&lt;&gt;"",1+MAX($A$18:A608),"")</f>
        <v>432</v>
      </c>
      <c r="B609" s="368" t="s">
        <v>611</v>
      </c>
      <c r="C609" s="368" t="s">
        <v>611</v>
      </c>
      <c r="D609" s="368" t="s">
        <v>21</v>
      </c>
      <c r="E609" s="255" t="s">
        <v>76</v>
      </c>
      <c r="F609" s="380" t="s">
        <v>777</v>
      </c>
      <c r="G609" s="366">
        <f>9*9+6*4+3*4</f>
        <v>117</v>
      </c>
      <c r="H609" s="205">
        <f>IF(VLOOKUP(J609,'HOURLY RATES'!B$116:C$124,2,0)=0,$J$3,VLOOKUP(J609,'HOURLY RATES'!B$116:C$124,2,0))</f>
        <v>0.05</v>
      </c>
      <c r="I609" s="317">
        <f t="shared" si="420"/>
        <v>122.85000000000001</v>
      </c>
      <c r="J609" s="192" t="s">
        <v>17</v>
      </c>
      <c r="K609" s="208">
        <v>0.5</v>
      </c>
      <c r="L609" s="228">
        <f t="shared" si="421"/>
        <v>61.425000000000004</v>
      </c>
      <c r="M609" s="194">
        <f>IF(VLOOKUP(E609,'HOURLY RATES'!C$6:D$105,2,0)=0,$E$3,VLOOKUP(E609,'HOURLY RATES'!C$6:D$105,2,0))</f>
        <v>69.559850000000012</v>
      </c>
      <c r="N609" s="206">
        <f t="shared" si="422"/>
        <v>4272.7137862500012</v>
      </c>
      <c r="O609" s="234">
        <f>21400/I609</f>
        <v>174.19617419617418</v>
      </c>
      <c r="P609" s="197">
        <f t="shared" si="423"/>
        <v>21400</v>
      </c>
      <c r="Q609" s="198">
        <f t="shared" si="424"/>
        <v>25672.713786250002</v>
      </c>
      <c r="R609" s="199"/>
      <c r="X609" s="257"/>
    </row>
    <row r="610" spans="1:24" s="12" customFormat="1" x14ac:dyDescent="0.2">
      <c r="A610" s="367">
        <f>IF(J610&lt;&gt;"",1+MAX($A$18:A609),"")</f>
        <v>433</v>
      </c>
      <c r="B610" s="368" t="s">
        <v>614</v>
      </c>
      <c r="C610" s="368" t="s">
        <v>614</v>
      </c>
      <c r="D610" s="368" t="s">
        <v>21</v>
      </c>
      <c r="E610" s="255" t="s">
        <v>76</v>
      </c>
      <c r="F610" s="380" t="s">
        <v>775</v>
      </c>
      <c r="G610" s="366">
        <f>12.78/0.08</f>
        <v>159.75</v>
      </c>
      <c r="H610" s="205">
        <f>IF(VLOOKUP(J610,'HOURLY RATES'!B$116:C$124,2,0)=0,$J$3,VLOOKUP(J610,'HOURLY RATES'!B$116:C$124,2,0))</f>
        <v>0.05</v>
      </c>
      <c r="I610" s="317">
        <f t="shared" si="420"/>
        <v>167.73750000000001</v>
      </c>
      <c r="J610" s="192" t="s">
        <v>19</v>
      </c>
      <c r="K610" s="208">
        <v>4.4999999999999998E-2</v>
      </c>
      <c r="L610" s="228">
        <f t="shared" si="421"/>
        <v>7.5481875</v>
      </c>
      <c r="M610" s="194">
        <f>IF(VLOOKUP(E610,'HOURLY RATES'!C$6:D$105,2,0)=0,$E$3,VLOOKUP(E610,'HOURLY RATES'!C$6:D$105,2,0))</f>
        <v>69.559850000000012</v>
      </c>
      <c r="N610" s="206">
        <f t="shared" si="422"/>
        <v>525.05079027187514</v>
      </c>
      <c r="O610" s="234">
        <f t="shared" si="467"/>
        <v>2.7777777777777777</v>
      </c>
      <c r="P610" s="197">
        <f t="shared" si="423"/>
        <v>465.9375</v>
      </c>
      <c r="Q610" s="198">
        <f t="shared" si="424"/>
        <v>990.98829027187514</v>
      </c>
      <c r="R610" s="199"/>
      <c r="X610" s="257"/>
    </row>
    <row r="611" spans="1:24" s="12" customFormat="1" x14ac:dyDescent="0.2">
      <c r="A611" s="367">
        <f>IF(J611&lt;&gt;"",1+MAX($A$18:A610),"")</f>
        <v>434</v>
      </c>
      <c r="B611" s="368" t="s">
        <v>614</v>
      </c>
      <c r="C611" s="368" t="s">
        <v>614</v>
      </c>
      <c r="D611" s="368" t="s">
        <v>21</v>
      </c>
      <c r="E611" s="255" t="s">
        <v>76</v>
      </c>
      <c r="F611" s="380" t="s">
        <v>615</v>
      </c>
      <c r="G611" s="366">
        <v>183.03</v>
      </c>
      <c r="H611" s="205">
        <f>IF(VLOOKUP(J611,'HOURLY RATES'!B$116:C$124,2,0)=0,$J$3,VLOOKUP(J611,'HOURLY RATES'!B$116:C$124,2,0))</f>
        <v>0.05</v>
      </c>
      <c r="I611" s="317">
        <f t="shared" si="420"/>
        <v>192.1815</v>
      </c>
      <c r="J611" s="192" t="s">
        <v>19</v>
      </c>
      <c r="K611" s="208">
        <v>4.4999999999999998E-2</v>
      </c>
      <c r="L611" s="228">
        <f t="shared" si="421"/>
        <v>8.6481674999999996</v>
      </c>
      <c r="M611" s="194">
        <f>IF(VLOOKUP(E611,'HOURLY RATES'!C$6:D$105,2,0)=0,$E$3,VLOOKUP(E611,'HOURLY RATES'!C$6:D$105,2,0))</f>
        <v>69.559850000000012</v>
      </c>
      <c r="N611" s="206">
        <f t="shared" si="422"/>
        <v>601.56523407487509</v>
      </c>
      <c r="O611" s="234">
        <f t="shared" si="467"/>
        <v>2.7777777777777777</v>
      </c>
      <c r="P611" s="197">
        <f t="shared" si="423"/>
        <v>533.83749999999998</v>
      </c>
      <c r="Q611" s="198">
        <f t="shared" si="424"/>
        <v>1135.4027340748751</v>
      </c>
      <c r="R611" s="199"/>
      <c r="X611" s="257"/>
    </row>
    <row r="612" spans="1:24" s="12" customFormat="1" x14ac:dyDescent="0.2">
      <c r="A612" s="367" t="str">
        <f>IF(J612&lt;&gt;"",1+MAX($A$18:A611),"")</f>
        <v/>
      </c>
      <c r="B612" s="368"/>
      <c r="C612" s="368"/>
      <c r="D612" s="368"/>
      <c r="E612" s="255"/>
      <c r="F612" s="380"/>
      <c r="G612" s="366"/>
      <c r="H612" s="205"/>
      <c r="I612" s="317"/>
      <c r="J612" s="192"/>
      <c r="K612" s="208"/>
      <c r="L612" s="228"/>
      <c r="M612" s="194"/>
      <c r="N612" s="206"/>
      <c r="O612" s="234"/>
      <c r="P612" s="197"/>
      <c r="Q612" s="198"/>
      <c r="R612" s="199"/>
      <c r="X612" s="257"/>
    </row>
    <row r="613" spans="1:24" s="12" customFormat="1" ht="47.25" x14ac:dyDescent="0.2">
      <c r="A613" s="367">
        <f>IF(J613&lt;&gt;"",1+MAX($A$18:A612),"")</f>
        <v>435</v>
      </c>
      <c r="B613" s="368" t="s">
        <v>611</v>
      </c>
      <c r="C613" s="368" t="s">
        <v>611</v>
      </c>
      <c r="D613" s="368" t="s">
        <v>21</v>
      </c>
      <c r="E613" s="255" t="s">
        <v>77</v>
      </c>
      <c r="F613" s="380" t="s">
        <v>617</v>
      </c>
      <c r="G613" s="366">
        <f>8.93*10</f>
        <v>89.3</v>
      </c>
      <c r="H613" s="205">
        <f>IF(VLOOKUP(J613,'HOURLY RATES'!B$116:C$124,2,0)=0,$J$3,VLOOKUP(J613,'HOURLY RATES'!B$116:C$124,2,0))</f>
        <v>0.05</v>
      </c>
      <c r="I613" s="317">
        <f t="shared" si="420"/>
        <v>93.765000000000001</v>
      </c>
      <c r="J613" s="192" t="s">
        <v>17</v>
      </c>
      <c r="K613" s="208">
        <v>0.05</v>
      </c>
      <c r="L613" s="228">
        <f t="shared" si="421"/>
        <v>4.68825</v>
      </c>
      <c r="M613" s="194">
        <f>IF(VLOOKUP(E613,'HOURLY RATES'!C$6:D$105,2,0)=0,$E$3,VLOOKUP(E613,'HOURLY RATES'!C$6:D$105,2,0))</f>
        <v>58.028343750000012</v>
      </c>
      <c r="N613" s="206">
        <f t="shared" si="422"/>
        <v>272.05138258593757</v>
      </c>
      <c r="O613" s="234">
        <f>155/(33*2)</f>
        <v>2.3484848484848486</v>
      </c>
      <c r="P613" s="197">
        <f t="shared" si="423"/>
        <v>220.20568181818183</v>
      </c>
      <c r="Q613" s="198">
        <f t="shared" si="424"/>
        <v>492.25706440411943</v>
      </c>
      <c r="R613" s="199"/>
      <c r="X613" s="257"/>
    </row>
    <row r="614" spans="1:24" s="12" customFormat="1" x14ac:dyDescent="0.2">
      <c r="A614" s="367" t="str">
        <f>IF(J614&lt;&gt;"",1+MAX($A$18:A613),"")</f>
        <v/>
      </c>
      <c r="B614" s="368"/>
      <c r="C614" s="368"/>
      <c r="D614" s="368"/>
      <c r="E614" s="255"/>
      <c r="F614" s="380" t="s">
        <v>28</v>
      </c>
      <c r="G614" s="366"/>
      <c r="H614" s="205"/>
      <c r="I614" s="317"/>
      <c r="J614" s="192"/>
      <c r="K614" s="208"/>
      <c r="L614" s="228"/>
      <c r="M614" s="194"/>
      <c r="N614" s="206"/>
      <c r="O614" s="234"/>
      <c r="P614" s="197"/>
      <c r="Q614" s="198"/>
      <c r="R614" s="199"/>
      <c r="X614" s="257"/>
    </row>
    <row r="615" spans="1:24" s="12" customFormat="1" x14ac:dyDescent="0.2">
      <c r="A615" s="367" t="str">
        <f>IF(J615&lt;&gt;"",1+MAX($A$18:A614),"")</f>
        <v/>
      </c>
      <c r="B615" s="368"/>
      <c r="C615" s="368"/>
      <c r="D615" s="368"/>
      <c r="E615" s="255"/>
      <c r="F615" s="369" t="s">
        <v>618</v>
      </c>
      <c r="G615" s="366"/>
      <c r="H615" s="205"/>
      <c r="I615" s="317"/>
      <c r="J615" s="192"/>
      <c r="K615" s="208"/>
      <c r="L615" s="228"/>
      <c r="M615" s="194"/>
      <c r="N615" s="206"/>
      <c r="O615" s="234"/>
      <c r="P615" s="197"/>
      <c r="Q615" s="198"/>
      <c r="R615" s="199"/>
      <c r="X615" s="257"/>
    </row>
    <row r="616" spans="1:24" s="12" customFormat="1" ht="47.25" x14ac:dyDescent="0.2">
      <c r="A616" s="367">
        <f>IF(J616&lt;&gt;"",1+MAX($A$18:A615),"")</f>
        <v>436</v>
      </c>
      <c r="B616" s="368" t="s">
        <v>585</v>
      </c>
      <c r="C616" s="368" t="s">
        <v>619</v>
      </c>
      <c r="D616" s="368" t="s">
        <v>21</v>
      </c>
      <c r="E616" s="255" t="s">
        <v>66</v>
      </c>
      <c r="F616" s="380" t="s">
        <v>620</v>
      </c>
      <c r="G616" s="366">
        <v>2420.88</v>
      </c>
      <c r="H616" s="205">
        <f>IF(VLOOKUP(J616,'HOURLY RATES'!B$116:C$124,2,0)=0,$J$3,VLOOKUP(J616,'HOURLY RATES'!B$116:C$124,2,0))</f>
        <v>0.05</v>
      </c>
      <c r="I616" s="317">
        <f t="shared" si="420"/>
        <v>2541.9240000000004</v>
      </c>
      <c r="J616" s="192" t="s">
        <v>19</v>
      </c>
      <c r="K616" s="208">
        <v>3.7999999999999999E-2</v>
      </c>
      <c r="L616" s="228">
        <f t="shared" si="421"/>
        <v>96.593112000000019</v>
      </c>
      <c r="M616" s="194">
        <f>IF(VLOOKUP(E616,'HOURLY RATES'!C$6:D$105,2,0)=0,$E$3,VLOOKUP(E616,'HOURLY RATES'!C$6:D$105,2,0))</f>
        <v>62.836482000000011</v>
      </c>
      <c r="N616" s="206">
        <f t="shared" si="422"/>
        <v>6069.571343511986</v>
      </c>
      <c r="O616" s="234">
        <v>1.1000000000000001</v>
      </c>
      <c r="P616" s="197">
        <f t="shared" si="423"/>
        <v>2796.1164000000008</v>
      </c>
      <c r="Q616" s="198">
        <f t="shared" si="424"/>
        <v>8865.6877435119859</v>
      </c>
      <c r="R616" s="199"/>
      <c r="X616" s="257"/>
    </row>
    <row r="617" spans="1:24" s="12" customFormat="1" ht="47.25" x14ac:dyDescent="0.2">
      <c r="A617" s="367">
        <f>IF(J617&lt;&gt;"",1+MAX($A$18:A616),"")</f>
        <v>437</v>
      </c>
      <c r="B617" s="368" t="s">
        <v>585</v>
      </c>
      <c r="C617" s="368" t="s">
        <v>619</v>
      </c>
      <c r="D617" s="368" t="s">
        <v>21</v>
      </c>
      <c r="E617" s="255" t="s">
        <v>66</v>
      </c>
      <c r="F617" s="380" t="s">
        <v>621</v>
      </c>
      <c r="G617" s="366">
        <v>132.87</v>
      </c>
      <c r="H617" s="205">
        <f>IF(VLOOKUP(J617,'HOURLY RATES'!B$116:C$124,2,0)=0,$J$3,VLOOKUP(J617,'HOURLY RATES'!B$116:C$124,2,0))</f>
        <v>0.05</v>
      </c>
      <c r="I617" s="317">
        <f t="shared" ref="I617:I677" si="468">(G617*(1+H617))</f>
        <v>139.51350000000002</v>
      </c>
      <c r="J617" s="192" t="s">
        <v>19</v>
      </c>
      <c r="K617" s="208">
        <v>3.7999999999999999E-2</v>
      </c>
      <c r="L617" s="228">
        <f t="shared" ref="L617:L677" si="469">K617*I617</f>
        <v>5.3015130000000008</v>
      </c>
      <c r="M617" s="194">
        <f>IF(VLOOKUP(E617,'HOURLY RATES'!C$6:D$105,2,0)=0,$E$3,VLOOKUP(E617,'HOURLY RATES'!C$6:D$105,2,0))</f>
        <v>62.836482000000011</v>
      </c>
      <c r="N617" s="206">
        <f t="shared" ref="N617:N677" si="470">M617*L617</f>
        <v>333.12842619726609</v>
      </c>
      <c r="O617" s="234">
        <f>33.18/8.208</f>
        <v>4.0423976608187138</v>
      </c>
      <c r="P617" s="197">
        <f t="shared" ref="P617:P677" si="471">O617*I617</f>
        <v>563.96904605263171</v>
      </c>
      <c r="Q617" s="198">
        <f t="shared" ref="Q617:Q677" si="472">P617+N617</f>
        <v>897.09747224989781</v>
      </c>
      <c r="R617" s="199"/>
      <c r="X617" s="257"/>
    </row>
    <row r="618" spans="1:24" s="12" customFormat="1" x14ac:dyDescent="0.2">
      <c r="A618" s="367" t="str">
        <f>IF(J618&lt;&gt;"",1+MAX($A$18:A617),"")</f>
        <v/>
      </c>
      <c r="B618" s="368"/>
      <c r="C618" s="368"/>
      <c r="D618" s="368"/>
      <c r="E618" s="255"/>
      <c r="F618" s="252"/>
      <c r="G618" s="366"/>
      <c r="H618" s="205"/>
      <c r="I618" s="317"/>
      <c r="J618" s="192"/>
      <c r="K618" s="382"/>
      <c r="L618" s="228"/>
      <c r="M618" s="194"/>
      <c r="N618" s="206"/>
      <c r="O618" s="377"/>
      <c r="P618" s="197"/>
      <c r="Q618" s="198"/>
      <c r="R618" s="199"/>
      <c r="X618" s="257"/>
    </row>
    <row r="619" spans="1:24" s="12" customFormat="1" x14ac:dyDescent="0.2">
      <c r="A619" s="367" t="str">
        <f>IF(J619&lt;&gt;"",1+MAX($A$18:A618),"")</f>
        <v/>
      </c>
      <c r="B619" s="368"/>
      <c r="C619" s="368"/>
      <c r="D619" s="368"/>
      <c r="E619" s="255"/>
      <c r="F619" s="369" t="s">
        <v>622</v>
      </c>
      <c r="G619" s="366"/>
      <c r="H619" s="205"/>
      <c r="I619" s="317"/>
      <c r="J619" s="192"/>
      <c r="K619" s="382"/>
      <c r="L619" s="228"/>
      <c r="M619" s="194"/>
      <c r="N619" s="206"/>
      <c r="O619" s="377"/>
      <c r="P619" s="197"/>
      <c r="Q619" s="198"/>
      <c r="R619" s="199"/>
      <c r="X619" s="257"/>
    </row>
    <row r="620" spans="1:24" s="12" customFormat="1" ht="47.25" x14ac:dyDescent="0.2">
      <c r="A620" s="367">
        <f>IF(J620&lt;&gt;"",1+MAX($A$18:A619),"")</f>
        <v>438</v>
      </c>
      <c r="B620" s="368" t="s">
        <v>585</v>
      </c>
      <c r="C620" s="368" t="s">
        <v>619</v>
      </c>
      <c r="D620" s="368" t="s">
        <v>21</v>
      </c>
      <c r="E620" s="255" t="s">
        <v>66</v>
      </c>
      <c r="F620" s="380" t="s">
        <v>623</v>
      </c>
      <c r="G620" s="366">
        <v>54.62</v>
      </c>
      <c r="H620" s="205">
        <f>IF(VLOOKUP(J620,'HOURLY RATES'!B$116:C$124,2,0)=0,$J$3,VLOOKUP(J620,'HOURLY RATES'!B$116:C$124,2,0))</f>
        <v>0.05</v>
      </c>
      <c r="I620" s="317">
        <f t="shared" si="468"/>
        <v>57.350999999999999</v>
      </c>
      <c r="J620" s="192" t="s">
        <v>19</v>
      </c>
      <c r="K620" s="208">
        <v>0.04</v>
      </c>
      <c r="L620" s="228">
        <f t="shared" si="469"/>
        <v>2.2940399999999999</v>
      </c>
      <c r="M620" s="194">
        <f>IF(VLOOKUP(E620,'HOURLY RATES'!C$6:D$105,2,0)=0,$E$3,VLOOKUP(E620,'HOURLY RATES'!C$6:D$105,2,0))</f>
        <v>62.836482000000011</v>
      </c>
      <c r="N620" s="206">
        <f t="shared" si="470"/>
        <v>144.14940316728001</v>
      </c>
      <c r="O620" s="234">
        <f>51.77/8*1.3</f>
        <v>8.4126250000000002</v>
      </c>
      <c r="P620" s="197">
        <f t="shared" si="471"/>
        <v>482.47245637499998</v>
      </c>
      <c r="Q620" s="198">
        <f t="shared" si="472"/>
        <v>626.62185954227994</v>
      </c>
      <c r="R620" s="199"/>
      <c r="X620" s="257"/>
    </row>
    <row r="621" spans="1:24" s="12" customFormat="1" ht="47.25" x14ac:dyDescent="0.2">
      <c r="A621" s="367">
        <f>IF(J621&lt;&gt;"",1+MAX($A$18:A620),"")</f>
        <v>439</v>
      </c>
      <c r="B621" s="368" t="s">
        <v>585</v>
      </c>
      <c r="C621" s="368" t="s">
        <v>619</v>
      </c>
      <c r="D621" s="368" t="s">
        <v>21</v>
      </c>
      <c r="E621" s="255" t="s">
        <v>66</v>
      </c>
      <c r="F621" s="380" t="s">
        <v>624</v>
      </c>
      <c r="G621" s="366">
        <v>22.63</v>
      </c>
      <c r="H621" s="205">
        <f>IF(VLOOKUP(J621,'HOURLY RATES'!B$116:C$124,2,0)=0,$J$3,VLOOKUP(J621,'HOURLY RATES'!B$116:C$124,2,0))</f>
        <v>0.05</v>
      </c>
      <c r="I621" s="317">
        <f t="shared" si="468"/>
        <v>23.761500000000002</v>
      </c>
      <c r="J621" s="192" t="s">
        <v>19</v>
      </c>
      <c r="K621" s="208">
        <v>0.04</v>
      </c>
      <c r="L621" s="228">
        <f t="shared" si="469"/>
        <v>0.95046000000000008</v>
      </c>
      <c r="M621" s="194">
        <f>IF(VLOOKUP(E621,'HOURLY RATES'!C$6:D$105,2,0)=0,$E$3,VLOOKUP(E621,'HOURLY RATES'!C$6:D$105,2,0))</f>
        <v>62.836482000000011</v>
      </c>
      <c r="N621" s="206">
        <f t="shared" si="470"/>
        <v>59.723562681720018</v>
      </c>
      <c r="O621" s="234">
        <f>51.77/8*1.3</f>
        <v>8.4126250000000002</v>
      </c>
      <c r="P621" s="197">
        <f t="shared" si="471"/>
        <v>199.89658893750001</v>
      </c>
      <c r="Q621" s="198">
        <f t="shared" si="472"/>
        <v>259.62015161922005</v>
      </c>
      <c r="R621" s="199"/>
      <c r="X621" s="257"/>
    </row>
    <row r="622" spans="1:24" s="12" customFormat="1" ht="47.25" x14ac:dyDescent="0.2">
      <c r="A622" s="367">
        <f>IF(J622&lt;&gt;"",1+MAX($A$18:A621),"")</f>
        <v>440</v>
      </c>
      <c r="B622" s="368" t="s">
        <v>585</v>
      </c>
      <c r="C622" s="368" t="s">
        <v>619</v>
      </c>
      <c r="D622" s="368" t="s">
        <v>21</v>
      </c>
      <c r="E622" s="255" t="s">
        <v>66</v>
      </c>
      <c r="F622" s="380" t="s">
        <v>625</v>
      </c>
      <c r="G622" s="366">
        <v>32.17</v>
      </c>
      <c r="H622" s="205">
        <f>IF(VLOOKUP(J622,'HOURLY RATES'!B$116:C$124,2,0)=0,$J$3,VLOOKUP(J622,'HOURLY RATES'!B$116:C$124,2,0))</f>
        <v>0.05</v>
      </c>
      <c r="I622" s="317">
        <f t="shared" si="468"/>
        <v>33.778500000000001</v>
      </c>
      <c r="J622" s="192" t="s">
        <v>19</v>
      </c>
      <c r="K622" s="208">
        <v>0.04</v>
      </c>
      <c r="L622" s="228">
        <f t="shared" si="469"/>
        <v>1.35114</v>
      </c>
      <c r="M622" s="194">
        <f>IF(VLOOKUP(E622,'HOURLY RATES'!C$6:D$105,2,0)=0,$E$3,VLOOKUP(E622,'HOURLY RATES'!C$6:D$105,2,0))</f>
        <v>62.836482000000011</v>
      </c>
      <c r="N622" s="206">
        <f t="shared" si="470"/>
        <v>84.900884289480018</v>
      </c>
      <c r="O622" s="234">
        <f>66.33/8*1.1</f>
        <v>9.120375000000001</v>
      </c>
      <c r="P622" s="197">
        <f t="shared" si="471"/>
        <v>308.07258693750003</v>
      </c>
      <c r="Q622" s="198">
        <f t="shared" si="472"/>
        <v>392.97347122698005</v>
      </c>
      <c r="R622" s="199"/>
      <c r="X622" s="257"/>
    </row>
    <row r="623" spans="1:24" s="12" customFormat="1" ht="47.25" x14ac:dyDescent="0.2">
      <c r="A623" s="367">
        <f>IF(J623&lt;&gt;"",1+MAX($A$18:A622),"")</f>
        <v>441</v>
      </c>
      <c r="B623" s="368" t="s">
        <v>585</v>
      </c>
      <c r="C623" s="368" t="s">
        <v>619</v>
      </c>
      <c r="D623" s="368" t="s">
        <v>21</v>
      </c>
      <c r="E623" s="255" t="s">
        <v>66</v>
      </c>
      <c r="F623" s="380" t="s">
        <v>626</v>
      </c>
      <c r="G623" s="366">
        <v>11.33</v>
      </c>
      <c r="H623" s="205">
        <f>IF(VLOOKUP(J623,'HOURLY RATES'!B$116:C$124,2,0)=0,$J$3,VLOOKUP(J623,'HOURLY RATES'!B$116:C$124,2,0))</f>
        <v>0.05</v>
      </c>
      <c r="I623" s="317">
        <f t="shared" si="468"/>
        <v>11.896500000000001</v>
      </c>
      <c r="J623" s="192" t="s">
        <v>19</v>
      </c>
      <c r="K623" s="208">
        <v>0.04</v>
      </c>
      <c r="L623" s="228">
        <f t="shared" si="469"/>
        <v>0.47586000000000006</v>
      </c>
      <c r="M623" s="194">
        <f>IF(VLOOKUP(E623,'HOURLY RATES'!C$6:D$105,2,0)=0,$E$3,VLOOKUP(E623,'HOURLY RATES'!C$6:D$105,2,0))</f>
        <v>62.836482000000011</v>
      </c>
      <c r="N623" s="206">
        <f t="shared" si="470"/>
        <v>29.901368324520011</v>
      </c>
      <c r="O623" s="234">
        <f>66.33/8*1.1</f>
        <v>9.120375000000001</v>
      </c>
      <c r="P623" s="197">
        <f t="shared" si="471"/>
        <v>108.50054118750002</v>
      </c>
      <c r="Q623" s="198">
        <f t="shared" si="472"/>
        <v>138.40190951202004</v>
      </c>
      <c r="R623" s="199"/>
      <c r="X623" s="257"/>
    </row>
    <row r="624" spans="1:24" s="12" customFormat="1" ht="47.25" x14ac:dyDescent="0.2">
      <c r="A624" s="367">
        <f>IF(J624&lt;&gt;"",1+MAX($A$18:A623),"")</f>
        <v>442</v>
      </c>
      <c r="B624" s="368" t="s">
        <v>585</v>
      </c>
      <c r="C624" s="368" t="s">
        <v>619</v>
      </c>
      <c r="D624" s="368" t="s">
        <v>21</v>
      </c>
      <c r="E624" s="255" t="s">
        <v>66</v>
      </c>
      <c r="F624" s="380" t="s">
        <v>627</v>
      </c>
      <c r="G624" s="366">
        <v>2.92</v>
      </c>
      <c r="H624" s="205">
        <f>IF(VLOOKUP(J624,'HOURLY RATES'!B$116:C$124,2,0)=0,$J$3,VLOOKUP(J624,'HOURLY RATES'!B$116:C$124,2,0))</f>
        <v>0.05</v>
      </c>
      <c r="I624" s="317">
        <f t="shared" si="468"/>
        <v>3.0659999999999998</v>
      </c>
      <c r="J624" s="192" t="s">
        <v>19</v>
      </c>
      <c r="K624" s="208">
        <v>0.04</v>
      </c>
      <c r="L624" s="228">
        <f t="shared" si="469"/>
        <v>0.12264</v>
      </c>
      <c r="M624" s="194">
        <f>IF(VLOOKUP(E624,'HOURLY RATES'!C$6:D$105,2,0)=0,$E$3,VLOOKUP(E624,'HOURLY RATES'!C$6:D$105,2,0))</f>
        <v>62.836482000000011</v>
      </c>
      <c r="N624" s="206">
        <f t="shared" si="470"/>
        <v>7.7062661524800014</v>
      </c>
      <c r="O624" s="234">
        <f>29.98/8*1.1</f>
        <v>4.1222500000000002</v>
      </c>
      <c r="P624" s="197">
        <f t="shared" si="471"/>
        <v>12.638818499999999</v>
      </c>
      <c r="Q624" s="198">
        <f t="shared" si="472"/>
        <v>20.345084652480001</v>
      </c>
      <c r="R624" s="199"/>
      <c r="X624" s="257"/>
    </row>
    <row r="625" spans="1:24" s="12" customFormat="1" ht="47.25" x14ac:dyDescent="0.2">
      <c r="A625" s="367">
        <f>IF(J625&lt;&gt;"",1+MAX($A$18:A624),"")</f>
        <v>443</v>
      </c>
      <c r="B625" s="368" t="s">
        <v>585</v>
      </c>
      <c r="C625" s="368" t="s">
        <v>619</v>
      </c>
      <c r="D625" s="368" t="s">
        <v>21</v>
      </c>
      <c r="E625" s="255" t="s">
        <v>66</v>
      </c>
      <c r="F625" s="380" t="s">
        <v>628</v>
      </c>
      <c r="G625" s="366">
        <v>5.93</v>
      </c>
      <c r="H625" s="205">
        <f>IF(VLOOKUP(J625,'HOURLY RATES'!B$116:C$124,2,0)=0,$J$3,VLOOKUP(J625,'HOURLY RATES'!B$116:C$124,2,0))</f>
        <v>0.05</v>
      </c>
      <c r="I625" s="317">
        <f t="shared" si="468"/>
        <v>6.2264999999999997</v>
      </c>
      <c r="J625" s="192" t="s">
        <v>19</v>
      </c>
      <c r="K625" s="208">
        <v>0.04</v>
      </c>
      <c r="L625" s="228">
        <f t="shared" si="469"/>
        <v>0.24906</v>
      </c>
      <c r="M625" s="194">
        <f>IF(VLOOKUP(E625,'HOURLY RATES'!C$6:D$105,2,0)=0,$E$3,VLOOKUP(E625,'HOURLY RATES'!C$6:D$105,2,0))</f>
        <v>62.836482000000011</v>
      </c>
      <c r="N625" s="206">
        <f t="shared" si="470"/>
        <v>15.650054206920004</v>
      </c>
      <c r="O625" s="234">
        <f>38.64/8.17</f>
        <v>4.7294981640146876</v>
      </c>
      <c r="P625" s="197">
        <f t="shared" si="471"/>
        <v>29.44822031823745</v>
      </c>
      <c r="Q625" s="198">
        <f t="shared" si="472"/>
        <v>45.09827452515745</v>
      </c>
      <c r="R625" s="199"/>
      <c r="X625" s="257"/>
    </row>
    <row r="626" spans="1:24" s="12" customFormat="1" x14ac:dyDescent="0.2">
      <c r="A626" s="367" t="str">
        <f>IF(J626&lt;&gt;"",1+MAX($A$18:A625),"")</f>
        <v/>
      </c>
      <c r="B626" s="368"/>
      <c r="C626" s="368"/>
      <c r="D626" s="368"/>
      <c r="E626" s="255"/>
      <c r="F626" s="380"/>
      <c r="G626" s="366"/>
      <c r="H626" s="205"/>
      <c r="I626" s="317"/>
      <c r="J626" s="192"/>
      <c r="K626" s="382"/>
      <c r="L626" s="228"/>
      <c r="M626" s="194"/>
      <c r="N626" s="206"/>
      <c r="O626" s="377"/>
      <c r="P626" s="197"/>
      <c r="Q626" s="198"/>
      <c r="R626" s="199"/>
      <c r="X626" s="257"/>
    </row>
    <row r="627" spans="1:24" s="12" customFormat="1" ht="18.75" x14ac:dyDescent="0.25">
      <c r="A627" s="367" t="str">
        <f>IF(J627&lt;&gt;"",1+MAX($A$18:A626),"")</f>
        <v/>
      </c>
      <c r="B627" s="368"/>
      <c r="C627" s="368"/>
      <c r="D627" s="368"/>
      <c r="E627" s="255"/>
      <c r="F627" s="391" t="s">
        <v>305</v>
      </c>
      <c r="G627" s="392"/>
      <c r="H627" s="205"/>
      <c r="I627" s="317"/>
      <c r="J627" s="192"/>
      <c r="K627" s="382"/>
      <c r="L627" s="228"/>
      <c r="M627" s="194"/>
      <c r="N627" s="206"/>
      <c r="O627" s="377"/>
      <c r="P627" s="197"/>
      <c r="Q627" s="198"/>
      <c r="R627" s="199"/>
      <c r="X627" s="257"/>
    </row>
    <row r="628" spans="1:24" s="12" customFormat="1" x14ac:dyDescent="0.25">
      <c r="A628" s="367" t="str">
        <f>IF(J628&lt;&gt;"",1+MAX($A$18:A627),"")</f>
        <v/>
      </c>
      <c r="B628" s="368"/>
      <c r="C628" s="368"/>
      <c r="D628" s="368"/>
      <c r="E628" s="255"/>
      <c r="F628" s="254"/>
      <c r="G628" s="392"/>
      <c r="H628" s="205"/>
      <c r="I628" s="317"/>
      <c r="J628" s="192"/>
      <c r="K628" s="382"/>
      <c r="L628" s="228"/>
      <c r="M628" s="194"/>
      <c r="N628" s="206"/>
      <c r="O628" s="377"/>
      <c r="P628" s="197"/>
      <c r="Q628" s="198"/>
      <c r="R628" s="199"/>
      <c r="X628" s="257"/>
    </row>
    <row r="629" spans="1:24" s="12" customFormat="1" x14ac:dyDescent="0.2">
      <c r="A629" s="367" t="str">
        <f>IF(J629&lt;&gt;"",1+MAX($A$18:A628),"")</f>
        <v/>
      </c>
      <c r="B629" s="368"/>
      <c r="C629" s="368"/>
      <c r="D629" s="368"/>
      <c r="E629" s="255"/>
      <c r="F629" s="369" t="s">
        <v>131</v>
      </c>
      <c r="G629" s="366"/>
      <c r="H629" s="205"/>
      <c r="I629" s="317"/>
      <c r="J629" s="192"/>
      <c r="K629" s="382"/>
      <c r="L629" s="228"/>
      <c r="M629" s="194"/>
      <c r="N629" s="206"/>
      <c r="O629" s="377"/>
      <c r="P629" s="197"/>
      <c r="Q629" s="198"/>
      <c r="R629" s="199"/>
      <c r="X629" s="257"/>
    </row>
    <row r="630" spans="1:24" s="12" customFormat="1" ht="47.25" x14ac:dyDescent="0.2">
      <c r="A630" s="367">
        <f>IF(J630&lt;&gt;"",1+MAX($A$18:A629),"")</f>
        <v>444</v>
      </c>
      <c r="B630" s="368" t="s">
        <v>585</v>
      </c>
      <c r="C630" s="368" t="s">
        <v>619</v>
      </c>
      <c r="D630" s="368" t="s">
        <v>21</v>
      </c>
      <c r="E630" s="255" t="s">
        <v>64</v>
      </c>
      <c r="F630" s="380" t="s">
        <v>633</v>
      </c>
      <c r="G630" s="366">
        <f>61.19*10.5</f>
        <v>642.495</v>
      </c>
      <c r="H630" s="205">
        <f>IF(VLOOKUP(J630,'HOURLY RATES'!B$116:C$124,2,0)=0,$J$3,VLOOKUP(J630,'HOURLY RATES'!B$116:C$124,2,0))</f>
        <v>0.05</v>
      </c>
      <c r="I630" s="317">
        <f t="shared" si="468"/>
        <v>674.61975000000007</v>
      </c>
      <c r="J630" s="192" t="s">
        <v>17</v>
      </c>
      <c r="K630" s="382">
        <v>0.02</v>
      </c>
      <c r="L630" s="228">
        <f t="shared" si="469"/>
        <v>13.492395000000002</v>
      </c>
      <c r="M630" s="194">
        <f>IF(VLOOKUP(E630,'HOURLY RATES'!C$6:D$105,2,0)=0,$E$3,VLOOKUP(E630,'HOURLY RATES'!C$6:D$105,2,0))</f>
        <v>38.003343750000006</v>
      </c>
      <c r="N630" s="206">
        <f t="shared" si="470"/>
        <v>512.75612519578135</v>
      </c>
      <c r="O630" s="377">
        <v>0.35</v>
      </c>
      <c r="P630" s="197">
        <f t="shared" si="471"/>
        <v>236.11691250000001</v>
      </c>
      <c r="Q630" s="198">
        <f t="shared" si="472"/>
        <v>748.87303769578136</v>
      </c>
      <c r="R630" s="199"/>
      <c r="X630" s="257"/>
    </row>
    <row r="631" spans="1:24" s="12" customFormat="1" ht="47.25" x14ac:dyDescent="0.2">
      <c r="A631" s="367">
        <f>IF(J631&lt;&gt;"",1+MAX($A$18:A630),"")</f>
        <v>445</v>
      </c>
      <c r="B631" s="368" t="s">
        <v>585</v>
      </c>
      <c r="C631" s="368" t="s">
        <v>619</v>
      </c>
      <c r="D631" s="368" t="s">
        <v>21</v>
      </c>
      <c r="E631" s="255" t="s">
        <v>64</v>
      </c>
      <c r="F631" s="380" t="s">
        <v>634</v>
      </c>
      <c r="G631" s="366">
        <f>2450.69*10</f>
        <v>24506.9</v>
      </c>
      <c r="H631" s="205">
        <f>IF(VLOOKUP(J631,'HOURLY RATES'!B$116:C$124,2,0)=0,$J$3,VLOOKUP(J631,'HOURLY RATES'!B$116:C$124,2,0))</f>
        <v>0.05</v>
      </c>
      <c r="I631" s="317">
        <f t="shared" si="468"/>
        <v>25732.245000000003</v>
      </c>
      <c r="J631" s="192" t="s">
        <v>17</v>
      </c>
      <c r="K631" s="382">
        <v>0.02</v>
      </c>
      <c r="L631" s="228">
        <f t="shared" si="469"/>
        <v>514.64490000000001</v>
      </c>
      <c r="M631" s="194">
        <f>IF(VLOOKUP(E631,'HOURLY RATES'!C$6:D$105,2,0)=0,$E$3,VLOOKUP(E631,'HOURLY RATES'!C$6:D$105,2,0))</f>
        <v>38.003343750000006</v>
      </c>
      <c r="N631" s="206">
        <f t="shared" si="470"/>
        <v>19558.227043884377</v>
      </c>
      <c r="O631" s="377">
        <v>0.35</v>
      </c>
      <c r="P631" s="197">
        <f t="shared" si="471"/>
        <v>9006.2857500000009</v>
      </c>
      <c r="Q631" s="198">
        <f t="shared" si="472"/>
        <v>28564.51279388438</v>
      </c>
      <c r="R631" s="199"/>
      <c r="X631" s="257"/>
    </row>
    <row r="632" spans="1:24" s="12" customFormat="1" ht="47.25" x14ac:dyDescent="0.2">
      <c r="A632" s="367">
        <f>IF(J632&lt;&gt;"",1+MAX($A$18:A631),"")</f>
        <v>446</v>
      </c>
      <c r="B632" s="368" t="s">
        <v>585</v>
      </c>
      <c r="C632" s="368" t="s">
        <v>619</v>
      </c>
      <c r="D632" s="368" t="s">
        <v>21</v>
      </c>
      <c r="E632" s="255" t="s">
        <v>64</v>
      </c>
      <c r="F632" s="380" t="s">
        <v>635</v>
      </c>
      <c r="G632" s="366">
        <f>32.42*8.5</f>
        <v>275.57</v>
      </c>
      <c r="H632" s="205">
        <f>IF(VLOOKUP(J632,'HOURLY RATES'!B$116:C$124,2,0)=0,$J$3,VLOOKUP(J632,'HOURLY RATES'!B$116:C$124,2,0))</f>
        <v>0.05</v>
      </c>
      <c r="I632" s="317">
        <f t="shared" si="468"/>
        <v>289.3485</v>
      </c>
      <c r="J632" s="192" t="s">
        <v>17</v>
      </c>
      <c r="K632" s="382">
        <v>0.02</v>
      </c>
      <c r="L632" s="228">
        <f t="shared" si="469"/>
        <v>5.7869700000000002</v>
      </c>
      <c r="M632" s="194">
        <f>IF(VLOOKUP(E632,'HOURLY RATES'!C$6:D$105,2,0)=0,$E$3,VLOOKUP(E632,'HOURLY RATES'!C$6:D$105,2,0))</f>
        <v>38.003343750000006</v>
      </c>
      <c r="N632" s="206">
        <f t="shared" si="470"/>
        <v>219.92421018093754</v>
      </c>
      <c r="O632" s="377">
        <v>0.35</v>
      </c>
      <c r="P632" s="197">
        <f t="shared" si="471"/>
        <v>101.271975</v>
      </c>
      <c r="Q632" s="198">
        <f t="shared" si="472"/>
        <v>321.1961851809375</v>
      </c>
      <c r="R632" s="199"/>
      <c r="X632" s="257"/>
    </row>
    <row r="633" spans="1:24" s="12" customFormat="1" ht="47.25" x14ac:dyDescent="0.2">
      <c r="A633" s="367">
        <f>IF(J633&lt;&gt;"",1+MAX($A$18:A632),"")</f>
        <v>447</v>
      </c>
      <c r="B633" s="368" t="s">
        <v>585</v>
      </c>
      <c r="C633" s="368" t="s">
        <v>619</v>
      </c>
      <c r="D633" s="368" t="s">
        <v>21</v>
      </c>
      <c r="E633" s="255" t="s">
        <v>64</v>
      </c>
      <c r="F633" s="380" t="s">
        <v>636</v>
      </c>
      <c r="G633" s="366">
        <f>10.93*10</f>
        <v>109.3</v>
      </c>
      <c r="H633" s="205">
        <f>IF(VLOOKUP(J633,'HOURLY RATES'!B$116:C$124,2,0)=0,$J$3,VLOOKUP(J633,'HOURLY RATES'!B$116:C$124,2,0))</f>
        <v>0.05</v>
      </c>
      <c r="I633" s="317">
        <f t="shared" si="468"/>
        <v>114.765</v>
      </c>
      <c r="J633" s="192" t="s">
        <v>17</v>
      </c>
      <c r="K633" s="382">
        <v>0.02</v>
      </c>
      <c r="L633" s="228">
        <f t="shared" si="469"/>
        <v>2.2953000000000001</v>
      </c>
      <c r="M633" s="194">
        <f>IF(VLOOKUP(E633,'HOURLY RATES'!C$6:D$105,2,0)=0,$E$3,VLOOKUP(E633,'HOURLY RATES'!C$6:D$105,2,0))</f>
        <v>38.003343750000006</v>
      </c>
      <c r="N633" s="206">
        <f t="shared" si="470"/>
        <v>87.229074909375015</v>
      </c>
      <c r="O633" s="377">
        <v>0.35</v>
      </c>
      <c r="P633" s="197">
        <f t="shared" si="471"/>
        <v>40.167749999999998</v>
      </c>
      <c r="Q633" s="198">
        <f t="shared" si="472"/>
        <v>127.39682490937501</v>
      </c>
      <c r="R633" s="199"/>
      <c r="X633" s="257"/>
    </row>
    <row r="634" spans="1:24" s="12" customFormat="1" ht="47.25" x14ac:dyDescent="0.2">
      <c r="A634" s="367">
        <f>IF(J634&lt;&gt;"",1+MAX($A$18:A633),"")</f>
        <v>448</v>
      </c>
      <c r="B634" s="368" t="s">
        <v>585</v>
      </c>
      <c r="C634" s="368" t="s">
        <v>619</v>
      </c>
      <c r="D634" s="368" t="s">
        <v>21</v>
      </c>
      <c r="E634" s="255" t="s">
        <v>64</v>
      </c>
      <c r="F634" s="380" t="s">
        <v>637</v>
      </c>
      <c r="G634" s="366">
        <f>77.7*9.5</f>
        <v>738.15</v>
      </c>
      <c r="H634" s="205">
        <f>IF(VLOOKUP(J634,'HOURLY RATES'!B$116:C$124,2,0)=0,$J$3,VLOOKUP(J634,'HOURLY RATES'!B$116:C$124,2,0))</f>
        <v>0.05</v>
      </c>
      <c r="I634" s="317">
        <f t="shared" si="468"/>
        <v>775.0575</v>
      </c>
      <c r="J634" s="192" t="s">
        <v>17</v>
      </c>
      <c r="K634" s="382">
        <v>0.02</v>
      </c>
      <c r="L634" s="228">
        <f t="shared" si="469"/>
        <v>15.501150000000001</v>
      </c>
      <c r="M634" s="194">
        <f>IF(VLOOKUP(E634,'HOURLY RATES'!C$6:D$105,2,0)=0,$E$3,VLOOKUP(E634,'HOURLY RATES'!C$6:D$105,2,0))</f>
        <v>38.003343750000006</v>
      </c>
      <c r="N634" s="206">
        <f t="shared" si="470"/>
        <v>589.09553197031266</v>
      </c>
      <c r="O634" s="377">
        <v>0.35</v>
      </c>
      <c r="P634" s="197">
        <f t="shared" si="471"/>
        <v>271.27012500000001</v>
      </c>
      <c r="Q634" s="198">
        <f t="shared" si="472"/>
        <v>860.36565697031267</v>
      </c>
      <c r="R634" s="199"/>
      <c r="X634" s="257"/>
    </row>
    <row r="635" spans="1:24" s="12" customFormat="1" ht="47.25" x14ac:dyDescent="0.2">
      <c r="A635" s="367">
        <f>IF(J635&lt;&gt;"",1+MAX($A$18:A634),"")</f>
        <v>449</v>
      </c>
      <c r="B635" s="368" t="s">
        <v>585</v>
      </c>
      <c r="C635" s="368" t="s">
        <v>619</v>
      </c>
      <c r="D635" s="368" t="s">
        <v>21</v>
      </c>
      <c r="E635" s="255" t="s">
        <v>64</v>
      </c>
      <c r="F635" s="380" t="s">
        <v>638</v>
      </c>
      <c r="G635" s="366">
        <f>56.84*11.5</f>
        <v>653.66000000000008</v>
      </c>
      <c r="H635" s="205">
        <f>IF(VLOOKUP(J635,'HOURLY RATES'!B$116:C$124,2,0)=0,$J$3,VLOOKUP(J635,'HOURLY RATES'!B$116:C$124,2,0))</f>
        <v>0.05</v>
      </c>
      <c r="I635" s="317">
        <f t="shared" si="468"/>
        <v>686.34300000000007</v>
      </c>
      <c r="J635" s="192" t="s">
        <v>17</v>
      </c>
      <c r="K635" s="382">
        <v>0.02</v>
      </c>
      <c r="L635" s="228">
        <f t="shared" si="469"/>
        <v>13.726860000000002</v>
      </c>
      <c r="M635" s="194">
        <f>IF(VLOOKUP(E635,'HOURLY RATES'!C$6:D$105,2,0)=0,$E$3,VLOOKUP(E635,'HOURLY RATES'!C$6:D$105,2,0))</f>
        <v>38.003343750000006</v>
      </c>
      <c r="N635" s="206">
        <f t="shared" si="470"/>
        <v>521.66657918812518</v>
      </c>
      <c r="O635" s="377">
        <v>0.35</v>
      </c>
      <c r="P635" s="197">
        <f t="shared" si="471"/>
        <v>240.22005000000001</v>
      </c>
      <c r="Q635" s="198">
        <f t="shared" si="472"/>
        <v>761.8866291881252</v>
      </c>
      <c r="R635" s="199"/>
      <c r="X635" s="257"/>
    </row>
    <row r="636" spans="1:24" s="12" customFormat="1" ht="47.25" x14ac:dyDescent="0.2">
      <c r="A636" s="367">
        <f>IF(J636&lt;&gt;"",1+MAX($A$18:A635),"")</f>
        <v>450</v>
      </c>
      <c r="B636" s="368" t="s">
        <v>639</v>
      </c>
      <c r="C636" s="368" t="s">
        <v>619</v>
      </c>
      <c r="D636" s="368" t="s">
        <v>21</v>
      </c>
      <c r="E636" s="255" t="s">
        <v>64</v>
      </c>
      <c r="F636" s="380" t="s">
        <v>640</v>
      </c>
      <c r="G636" s="366">
        <v>573.15</v>
      </c>
      <c r="H636" s="205">
        <f>IF(VLOOKUP(J636,'HOURLY RATES'!B$116:C$124,2,0)=0,$J$3,VLOOKUP(J636,'HOURLY RATES'!B$116:C$124,2,0))</f>
        <v>0.05</v>
      </c>
      <c r="I636" s="317">
        <f t="shared" si="468"/>
        <v>601.8075</v>
      </c>
      <c r="J636" s="192" t="s">
        <v>17</v>
      </c>
      <c r="K636" s="382">
        <v>0.02</v>
      </c>
      <c r="L636" s="228">
        <f t="shared" si="469"/>
        <v>12.036150000000001</v>
      </c>
      <c r="M636" s="194">
        <f>IF(VLOOKUP(E636,'HOURLY RATES'!C$6:D$105,2,0)=0,$E$3,VLOOKUP(E636,'HOURLY RATES'!C$6:D$105,2,0))</f>
        <v>38.003343750000006</v>
      </c>
      <c r="N636" s="206">
        <f t="shared" si="470"/>
        <v>457.41394587656259</v>
      </c>
      <c r="O636" s="377">
        <v>0.35</v>
      </c>
      <c r="P636" s="197">
        <f t="shared" si="471"/>
        <v>210.63262499999999</v>
      </c>
      <c r="Q636" s="198">
        <f t="shared" si="472"/>
        <v>668.04657087656255</v>
      </c>
      <c r="R636" s="199"/>
      <c r="X636" s="257"/>
    </row>
    <row r="637" spans="1:24" s="12" customFormat="1" ht="47.25" x14ac:dyDescent="0.2">
      <c r="A637" s="367">
        <f>IF(J637&lt;&gt;"",1+MAX($A$18:A636),"")</f>
        <v>451</v>
      </c>
      <c r="B637" s="368" t="s">
        <v>611</v>
      </c>
      <c r="C637" s="368" t="s">
        <v>619</v>
      </c>
      <c r="D637" s="368" t="s">
        <v>21</v>
      </c>
      <c r="E637" s="255" t="s">
        <v>64</v>
      </c>
      <c r="F637" s="380" t="s">
        <v>641</v>
      </c>
      <c r="G637" s="366">
        <v>10.25</v>
      </c>
      <c r="H637" s="205">
        <f>IF(VLOOKUP(J637,'HOURLY RATES'!B$116:C$124,2,0)=0,$J$3,VLOOKUP(J637,'HOURLY RATES'!B$116:C$124,2,0))</f>
        <v>0.05</v>
      </c>
      <c r="I637" s="317">
        <f t="shared" si="468"/>
        <v>10.762500000000001</v>
      </c>
      <c r="J637" s="192" t="s">
        <v>17</v>
      </c>
      <c r="K637" s="382">
        <v>0.02</v>
      </c>
      <c r="L637" s="228">
        <f t="shared" si="469"/>
        <v>0.21525000000000002</v>
      </c>
      <c r="M637" s="194">
        <f>IF(VLOOKUP(E637,'HOURLY RATES'!C$6:D$105,2,0)=0,$E$3,VLOOKUP(E637,'HOURLY RATES'!C$6:D$105,2,0))</f>
        <v>38.003343750000006</v>
      </c>
      <c r="N637" s="206">
        <f t="shared" si="470"/>
        <v>8.1802197421875018</v>
      </c>
      <c r="O637" s="377">
        <v>0.35</v>
      </c>
      <c r="P637" s="197">
        <f t="shared" si="471"/>
        <v>3.7668750000000002</v>
      </c>
      <c r="Q637" s="198">
        <f t="shared" si="472"/>
        <v>11.947094742187502</v>
      </c>
      <c r="R637" s="199"/>
      <c r="X637" s="257"/>
    </row>
    <row r="638" spans="1:24" s="12" customFormat="1" ht="47.25" x14ac:dyDescent="0.2">
      <c r="A638" s="367">
        <f>IF(J638&lt;&gt;"",1+MAX($A$18:A637),"")</f>
        <v>452</v>
      </c>
      <c r="B638" s="368" t="s">
        <v>611</v>
      </c>
      <c r="C638" s="368" t="s">
        <v>619</v>
      </c>
      <c r="D638" s="368" t="s">
        <v>21</v>
      </c>
      <c r="E638" s="255" t="s">
        <v>64</v>
      </c>
      <c r="F638" s="380" t="s">
        <v>642</v>
      </c>
      <c r="G638" s="366">
        <v>7.15</v>
      </c>
      <c r="H638" s="205">
        <f>IF(VLOOKUP(J638,'HOURLY RATES'!B$116:C$124,2,0)=0,$J$3,VLOOKUP(J638,'HOURLY RATES'!B$116:C$124,2,0))</f>
        <v>0.05</v>
      </c>
      <c r="I638" s="317">
        <f t="shared" si="468"/>
        <v>7.5075000000000003</v>
      </c>
      <c r="J638" s="192" t="s">
        <v>17</v>
      </c>
      <c r="K638" s="382">
        <v>0.1</v>
      </c>
      <c r="L638" s="228">
        <f t="shared" si="469"/>
        <v>0.75075000000000003</v>
      </c>
      <c r="M638" s="194">
        <f>IF(VLOOKUP(E638,'HOURLY RATES'!C$6:D$105,2,0)=0,$E$3,VLOOKUP(E638,'HOURLY RATES'!C$6:D$105,2,0))</f>
        <v>38.003343750000006</v>
      </c>
      <c r="N638" s="206">
        <f t="shared" si="470"/>
        <v>28.531010320312507</v>
      </c>
      <c r="O638" s="377">
        <v>0.35</v>
      </c>
      <c r="P638" s="197">
        <f t="shared" si="471"/>
        <v>2.6276250000000001</v>
      </c>
      <c r="Q638" s="198">
        <f t="shared" si="472"/>
        <v>31.158635320312506</v>
      </c>
      <c r="R638" s="199"/>
      <c r="X638" s="257"/>
    </row>
    <row r="639" spans="1:24" s="12" customFormat="1" ht="47.25" x14ac:dyDescent="0.2">
      <c r="A639" s="367">
        <f>IF(J639&lt;&gt;"",1+MAX($A$18:A638),"")</f>
        <v>453</v>
      </c>
      <c r="B639" s="368" t="s">
        <v>611</v>
      </c>
      <c r="C639" s="368" t="s">
        <v>619</v>
      </c>
      <c r="D639" s="368" t="s">
        <v>21</v>
      </c>
      <c r="E639" s="255" t="s">
        <v>64</v>
      </c>
      <c r="F639" s="380" t="s">
        <v>643</v>
      </c>
      <c r="G639" s="366">
        <v>17.41</v>
      </c>
      <c r="H639" s="205">
        <f>IF(VLOOKUP(J639,'HOURLY RATES'!B$116:C$124,2,0)=0,$J$3,VLOOKUP(J639,'HOURLY RATES'!B$116:C$124,2,0))</f>
        <v>0.05</v>
      </c>
      <c r="I639" s="317">
        <f t="shared" si="468"/>
        <v>18.2805</v>
      </c>
      <c r="J639" s="192" t="s">
        <v>17</v>
      </c>
      <c r="K639" s="382">
        <v>0.02</v>
      </c>
      <c r="L639" s="228">
        <f t="shared" si="469"/>
        <v>0.36560999999999999</v>
      </c>
      <c r="M639" s="194">
        <f>IF(VLOOKUP(E639,'HOURLY RATES'!C$6:D$105,2,0)=0,$E$3,VLOOKUP(E639,'HOURLY RATES'!C$6:D$105,2,0))</f>
        <v>38.003343750000006</v>
      </c>
      <c r="N639" s="206">
        <f t="shared" si="470"/>
        <v>13.894402508437501</v>
      </c>
      <c r="O639" s="377">
        <v>0.35</v>
      </c>
      <c r="P639" s="197">
        <f t="shared" si="471"/>
        <v>6.3981749999999993</v>
      </c>
      <c r="Q639" s="198">
        <f t="shared" si="472"/>
        <v>20.2925775084375</v>
      </c>
      <c r="R639" s="199"/>
      <c r="X639" s="257"/>
    </row>
    <row r="640" spans="1:24" s="12" customFormat="1" ht="47.25" x14ac:dyDescent="0.2">
      <c r="A640" s="367">
        <f>IF(J640&lt;&gt;"",1+MAX($A$18:A639),"")</f>
        <v>454</v>
      </c>
      <c r="B640" s="368" t="s">
        <v>585</v>
      </c>
      <c r="C640" s="368" t="s">
        <v>619</v>
      </c>
      <c r="D640" s="368" t="s">
        <v>21</v>
      </c>
      <c r="E640" s="255" t="s">
        <v>64</v>
      </c>
      <c r="F640" s="380" t="s">
        <v>681</v>
      </c>
      <c r="G640" s="366">
        <f>88.09*13</f>
        <v>1145.17</v>
      </c>
      <c r="H640" s="205">
        <f>IF(VLOOKUP(J640,'HOURLY RATES'!B$116:C$124,2,0)=0,$J$3,VLOOKUP(J640,'HOURLY RATES'!B$116:C$124,2,0))</f>
        <v>0.05</v>
      </c>
      <c r="I640" s="317">
        <f t="shared" ref="I640" si="473">(G640*(1+H640))</f>
        <v>1202.4285000000002</v>
      </c>
      <c r="J640" s="192" t="s">
        <v>17</v>
      </c>
      <c r="K640" s="382">
        <v>0.02</v>
      </c>
      <c r="L640" s="228">
        <f t="shared" ref="L640" si="474">K640*I640</f>
        <v>24.048570000000005</v>
      </c>
      <c r="M640" s="194">
        <f>IF(VLOOKUP(E640,'HOURLY RATES'!C$6:D$105,2,0)=0,$E$3,VLOOKUP(E640,'HOURLY RATES'!C$6:D$105,2,0))</f>
        <v>38.003343750000006</v>
      </c>
      <c r="N640" s="206">
        <f t="shared" ref="N640" si="475">M640*L640</f>
        <v>913.92607240593782</v>
      </c>
      <c r="O640" s="377">
        <v>0.35</v>
      </c>
      <c r="P640" s="197">
        <f t="shared" ref="P640" si="476">O640*I640</f>
        <v>420.84997500000003</v>
      </c>
      <c r="Q640" s="198">
        <f t="shared" ref="Q640" si="477">P640+N640</f>
        <v>1334.7760474059378</v>
      </c>
      <c r="R640" s="199"/>
      <c r="X640" s="257"/>
    </row>
    <row r="641" spans="1:24" s="12" customFormat="1" x14ac:dyDescent="0.2">
      <c r="A641" s="367" t="str">
        <f>IF(J641&lt;&gt;"",1+MAX($A$18:A640),"")</f>
        <v/>
      </c>
      <c r="B641" s="368"/>
      <c r="C641" s="368"/>
      <c r="D641" s="368"/>
      <c r="E641" s="255"/>
      <c r="F641" s="380"/>
      <c r="G641" s="366"/>
      <c r="H641" s="205"/>
      <c r="I641" s="317"/>
      <c r="J641" s="192"/>
      <c r="K641" s="382"/>
      <c r="L641" s="228"/>
      <c r="M641" s="194"/>
      <c r="N641" s="206"/>
      <c r="O641" s="377"/>
      <c r="P641" s="197"/>
      <c r="Q641" s="198"/>
      <c r="R641" s="199"/>
      <c r="X641" s="257"/>
    </row>
    <row r="642" spans="1:24" s="12" customFormat="1" x14ac:dyDescent="0.2">
      <c r="A642" s="367" t="str">
        <f>IF(J642&lt;&gt;"",1+MAX($A$18:A641),"")</f>
        <v/>
      </c>
      <c r="B642" s="368"/>
      <c r="C642" s="368"/>
      <c r="D642" s="368"/>
      <c r="E642" s="255"/>
      <c r="F642" s="369" t="s">
        <v>168</v>
      </c>
      <c r="G642" s="366"/>
      <c r="H642" s="205"/>
      <c r="I642" s="317"/>
      <c r="J642" s="192"/>
      <c r="K642" s="382"/>
      <c r="L642" s="228"/>
      <c r="M642" s="194"/>
      <c r="N642" s="206"/>
      <c r="O642" s="377"/>
      <c r="P642" s="197"/>
      <c r="Q642" s="198"/>
      <c r="R642" s="199"/>
      <c r="X642" s="257"/>
    </row>
    <row r="643" spans="1:24" s="12" customFormat="1" ht="47.25" x14ac:dyDescent="0.2">
      <c r="A643" s="367">
        <f>IF(J643&lt;&gt;"",1+MAX($A$18:A642),"")</f>
        <v>455</v>
      </c>
      <c r="B643" s="368" t="s">
        <v>529</v>
      </c>
      <c r="C643" s="368" t="s">
        <v>619</v>
      </c>
      <c r="D643" s="368" t="s">
        <v>21</v>
      </c>
      <c r="E643" s="255" t="s">
        <v>64</v>
      </c>
      <c r="F643" s="252" t="s">
        <v>644</v>
      </c>
      <c r="G643" s="366">
        <v>964.63</v>
      </c>
      <c r="H643" s="205">
        <f>IF(VLOOKUP(J643,'HOURLY RATES'!B$116:C$124,2,0)=0,$J$3,VLOOKUP(J643,'HOURLY RATES'!B$116:C$124,2,0))</f>
        <v>0.05</v>
      </c>
      <c r="I643" s="317">
        <f t="shared" si="468"/>
        <v>1012.8615000000001</v>
      </c>
      <c r="J643" s="192" t="s">
        <v>17</v>
      </c>
      <c r="K643" s="382">
        <v>2.1999999999999999E-2</v>
      </c>
      <c r="L643" s="228">
        <f t="shared" si="469"/>
        <v>22.282952999999999</v>
      </c>
      <c r="M643" s="194">
        <f>IF(VLOOKUP(E643,'HOURLY RATES'!C$6:D$105,2,0)=0,$E$3,VLOOKUP(E643,'HOURLY RATES'!C$6:D$105,2,0))</f>
        <v>38.003343750000006</v>
      </c>
      <c r="N643" s="206">
        <f t="shared" si="470"/>
        <v>846.8267226240938</v>
      </c>
      <c r="O643" s="377">
        <v>0.35</v>
      </c>
      <c r="P643" s="197">
        <f t="shared" si="471"/>
        <v>354.50152500000002</v>
      </c>
      <c r="Q643" s="198">
        <f t="shared" si="472"/>
        <v>1201.3282476240938</v>
      </c>
      <c r="R643" s="199"/>
      <c r="X643" s="257"/>
    </row>
    <row r="644" spans="1:24" s="12" customFormat="1" ht="47.25" x14ac:dyDescent="0.2">
      <c r="A644" s="367">
        <f>IF(J644&lt;&gt;"",1+MAX($A$18:A643),"")</f>
        <v>456</v>
      </c>
      <c r="B644" s="368" t="s">
        <v>529</v>
      </c>
      <c r="C644" s="368" t="s">
        <v>619</v>
      </c>
      <c r="D644" s="368" t="s">
        <v>21</v>
      </c>
      <c r="E644" s="255" t="s">
        <v>64</v>
      </c>
      <c r="F644" s="252" t="s">
        <v>645</v>
      </c>
      <c r="G644" s="390">
        <v>1997</v>
      </c>
      <c r="H644" s="205">
        <f>IF(VLOOKUP(J644,'HOURLY RATES'!B$116:C$124,2,0)=0,$J$3,VLOOKUP(J644,'HOURLY RATES'!B$116:C$124,2,0))</f>
        <v>0.05</v>
      </c>
      <c r="I644" s="317">
        <f t="shared" si="468"/>
        <v>2096.85</v>
      </c>
      <c r="J644" s="192" t="s">
        <v>17</v>
      </c>
      <c r="K644" s="382">
        <v>2.1999999999999999E-2</v>
      </c>
      <c r="L644" s="228">
        <f t="shared" si="469"/>
        <v>46.130699999999997</v>
      </c>
      <c r="M644" s="194">
        <f>IF(VLOOKUP(E644,'HOURLY RATES'!C$6:D$105,2,0)=0,$E$3,VLOOKUP(E644,'HOURLY RATES'!C$6:D$105,2,0))</f>
        <v>38.003343750000006</v>
      </c>
      <c r="N644" s="206">
        <f t="shared" si="470"/>
        <v>1753.1208495281253</v>
      </c>
      <c r="O644" s="377">
        <v>0.35</v>
      </c>
      <c r="P644" s="197">
        <f t="shared" si="471"/>
        <v>733.89749999999992</v>
      </c>
      <c r="Q644" s="198">
        <f t="shared" si="472"/>
        <v>2487.0183495281253</v>
      </c>
      <c r="R644" s="199"/>
      <c r="X644" s="257"/>
    </row>
    <row r="645" spans="1:24" s="12" customFormat="1" ht="47.25" x14ac:dyDescent="0.2">
      <c r="A645" s="367">
        <f>IF(J645&lt;&gt;"",1+MAX($A$18:A644),"")</f>
        <v>457</v>
      </c>
      <c r="B645" s="368" t="s">
        <v>529</v>
      </c>
      <c r="C645" s="368" t="s">
        <v>619</v>
      </c>
      <c r="D645" s="368" t="s">
        <v>21</v>
      </c>
      <c r="E645" s="255" t="s">
        <v>64</v>
      </c>
      <c r="F645" s="252" t="s">
        <v>646</v>
      </c>
      <c r="G645" s="366">
        <v>473</v>
      </c>
      <c r="H645" s="205">
        <f>IF(VLOOKUP(J645,'HOURLY RATES'!B$116:C$124,2,0)=0,$J$3,VLOOKUP(J645,'HOURLY RATES'!B$116:C$124,2,0))</f>
        <v>0.05</v>
      </c>
      <c r="I645" s="317">
        <f t="shared" si="468"/>
        <v>496.65000000000003</v>
      </c>
      <c r="J645" s="192" t="s">
        <v>17</v>
      </c>
      <c r="K645" s="382">
        <v>2.1999999999999999E-2</v>
      </c>
      <c r="L645" s="228">
        <f t="shared" si="469"/>
        <v>10.926299999999999</v>
      </c>
      <c r="M645" s="194">
        <f>IF(VLOOKUP(E645,'HOURLY RATES'!C$6:D$105,2,0)=0,$E$3,VLOOKUP(E645,'HOURLY RATES'!C$6:D$105,2,0))</f>
        <v>38.003343750000006</v>
      </c>
      <c r="N645" s="206">
        <f t="shared" si="470"/>
        <v>415.23593481562506</v>
      </c>
      <c r="O645" s="377">
        <v>0.35</v>
      </c>
      <c r="P645" s="197">
        <f t="shared" si="471"/>
        <v>173.82750000000001</v>
      </c>
      <c r="Q645" s="198">
        <f t="shared" si="472"/>
        <v>589.0634348156251</v>
      </c>
      <c r="R645" s="199"/>
      <c r="X645" s="257"/>
    </row>
    <row r="646" spans="1:24" s="12" customFormat="1" ht="47.25" x14ac:dyDescent="0.2">
      <c r="A646" s="367">
        <f>IF(J646&lt;&gt;"",1+MAX($A$18:A645),"")</f>
        <v>458</v>
      </c>
      <c r="B646" s="368" t="s">
        <v>529</v>
      </c>
      <c r="C646" s="368" t="s">
        <v>619</v>
      </c>
      <c r="D646" s="368" t="s">
        <v>21</v>
      </c>
      <c r="E646" s="255" t="s">
        <v>64</v>
      </c>
      <c r="F646" s="252" t="s">
        <v>647</v>
      </c>
      <c r="G646" s="366">
        <v>355</v>
      </c>
      <c r="H646" s="205">
        <f>IF(VLOOKUP(J646,'HOURLY RATES'!B$116:C$124,2,0)=0,$J$3,VLOOKUP(J646,'HOURLY RATES'!B$116:C$124,2,0))</f>
        <v>0.05</v>
      </c>
      <c r="I646" s="317">
        <f t="shared" si="468"/>
        <v>372.75</v>
      </c>
      <c r="J646" s="192" t="s">
        <v>17</v>
      </c>
      <c r="K646" s="382">
        <v>2.1999999999999999E-2</v>
      </c>
      <c r="L646" s="228">
        <f t="shared" si="469"/>
        <v>8.2004999999999999</v>
      </c>
      <c r="M646" s="194">
        <f>IF(VLOOKUP(E646,'HOURLY RATES'!C$6:D$105,2,0)=0,$E$3,VLOOKUP(E646,'HOURLY RATES'!C$6:D$105,2,0))</f>
        <v>38.003343750000006</v>
      </c>
      <c r="N646" s="206">
        <f t="shared" si="470"/>
        <v>311.64642042187506</v>
      </c>
      <c r="O646" s="377">
        <v>0.35</v>
      </c>
      <c r="P646" s="197">
        <f t="shared" si="471"/>
        <v>130.46250000000001</v>
      </c>
      <c r="Q646" s="198">
        <f t="shared" si="472"/>
        <v>442.10892042187504</v>
      </c>
      <c r="R646" s="199"/>
      <c r="X646" s="257"/>
    </row>
    <row r="647" spans="1:24" s="12" customFormat="1" ht="47.25" x14ac:dyDescent="0.2">
      <c r="A647" s="367">
        <f>IF(J647&lt;&gt;"",1+MAX($A$18:A646),"")</f>
        <v>459</v>
      </c>
      <c r="B647" s="368" t="s">
        <v>529</v>
      </c>
      <c r="C647" s="368" t="s">
        <v>619</v>
      </c>
      <c r="D647" s="368" t="s">
        <v>21</v>
      </c>
      <c r="E647" s="255" t="s">
        <v>64</v>
      </c>
      <c r="F647" s="252" t="s">
        <v>648</v>
      </c>
      <c r="G647" s="366">
        <v>356</v>
      </c>
      <c r="H647" s="205">
        <f>IF(VLOOKUP(J647,'HOURLY RATES'!B$116:C$124,2,0)=0,$J$3,VLOOKUP(J647,'HOURLY RATES'!B$116:C$124,2,0))</f>
        <v>0.05</v>
      </c>
      <c r="I647" s="317">
        <f t="shared" si="468"/>
        <v>373.8</v>
      </c>
      <c r="J647" s="192" t="s">
        <v>17</v>
      </c>
      <c r="K647" s="382">
        <v>2.1999999999999999E-2</v>
      </c>
      <c r="L647" s="228">
        <f t="shared" si="469"/>
        <v>8.2235999999999994</v>
      </c>
      <c r="M647" s="194">
        <f>IF(VLOOKUP(E647,'HOURLY RATES'!C$6:D$105,2,0)=0,$E$3,VLOOKUP(E647,'HOURLY RATES'!C$6:D$105,2,0))</f>
        <v>38.003343750000006</v>
      </c>
      <c r="N647" s="206">
        <f t="shared" si="470"/>
        <v>312.52429766250003</v>
      </c>
      <c r="O647" s="377">
        <v>0.35</v>
      </c>
      <c r="P647" s="197">
        <f t="shared" si="471"/>
        <v>130.82999999999998</v>
      </c>
      <c r="Q647" s="198">
        <f t="shared" si="472"/>
        <v>443.35429766250002</v>
      </c>
      <c r="R647" s="199"/>
      <c r="X647" s="257"/>
    </row>
    <row r="648" spans="1:24" s="12" customFormat="1" ht="47.25" x14ac:dyDescent="0.2">
      <c r="A648" s="367">
        <f>IF(J648&lt;&gt;"",1+MAX($A$18:A647),"")</f>
        <v>460</v>
      </c>
      <c r="B648" s="368" t="s">
        <v>529</v>
      </c>
      <c r="C648" s="368" t="s">
        <v>619</v>
      </c>
      <c r="D648" s="368" t="s">
        <v>21</v>
      </c>
      <c r="E648" s="255" t="s">
        <v>64</v>
      </c>
      <c r="F648" s="252" t="s">
        <v>649</v>
      </c>
      <c r="G648" s="366">
        <v>1151</v>
      </c>
      <c r="H648" s="205">
        <f>IF(VLOOKUP(J648,'HOURLY RATES'!B$116:C$124,2,0)=0,$J$3,VLOOKUP(J648,'HOURLY RATES'!B$116:C$124,2,0))</f>
        <v>0.05</v>
      </c>
      <c r="I648" s="317">
        <f t="shared" si="468"/>
        <v>1208.55</v>
      </c>
      <c r="J648" s="192" t="s">
        <v>17</v>
      </c>
      <c r="K648" s="382">
        <v>2.1999999999999999E-2</v>
      </c>
      <c r="L648" s="228">
        <f t="shared" si="469"/>
        <v>26.588099999999997</v>
      </c>
      <c r="M648" s="194">
        <f>IF(VLOOKUP(E648,'HOURLY RATES'!C$6:D$105,2,0)=0,$E$3,VLOOKUP(E648,'HOURLY RATES'!C$6:D$105,2,0))</f>
        <v>38.003343750000006</v>
      </c>
      <c r="N648" s="206">
        <f t="shared" si="470"/>
        <v>1010.4367039593751</v>
      </c>
      <c r="O648" s="377">
        <v>0.35</v>
      </c>
      <c r="P648" s="197">
        <f t="shared" si="471"/>
        <v>422.99249999999995</v>
      </c>
      <c r="Q648" s="198">
        <f t="shared" si="472"/>
        <v>1433.4292039593752</v>
      </c>
      <c r="R648" s="199"/>
      <c r="X648" s="257"/>
    </row>
    <row r="649" spans="1:24" s="12" customFormat="1" x14ac:dyDescent="0.2">
      <c r="A649" s="367" t="str">
        <f>IF(J649&lt;&gt;"",1+MAX($A$18:A648),"")</f>
        <v/>
      </c>
      <c r="B649" s="368"/>
      <c r="C649" s="368"/>
      <c r="D649" s="368"/>
      <c r="E649" s="255"/>
      <c r="F649" s="254"/>
      <c r="G649" s="366"/>
      <c r="H649" s="205"/>
      <c r="I649" s="317"/>
      <c r="J649" s="192"/>
      <c r="K649" s="382"/>
      <c r="L649" s="228"/>
      <c r="M649" s="194"/>
      <c r="N649" s="206"/>
      <c r="O649" s="377"/>
      <c r="P649" s="197"/>
      <c r="Q649" s="198"/>
      <c r="R649" s="199"/>
      <c r="X649" s="257"/>
    </row>
    <row r="650" spans="1:24" s="12" customFormat="1" x14ac:dyDescent="0.2">
      <c r="A650" s="367" t="str">
        <f>IF(J650&lt;&gt;"",1+MAX($A$18:A649),"")</f>
        <v/>
      </c>
      <c r="B650" s="368"/>
      <c r="C650" s="368"/>
      <c r="D650" s="368"/>
      <c r="E650" s="255"/>
      <c r="F650" s="369" t="s">
        <v>37</v>
      </c>
      <c r="G650" s="366"/>
      <c r="H650" s="205"/>
      <c r="I650" s="317"/>
      <c r="J650" s="192"/>
      <c r="K650" s="382"/>
      <c r="L650" s="228"/>
      <c r="M650" s="194"/>
      <c r="N650" s="206"/>
      <c r="O650" s="377"/>
      <c r="P650" s="197"/>
      <c r="Q650" s="198"/>
      <c r="R650" s="199"/>
      <c r="X650" s="257"/>
    </row>
    <row r="651" spans="1:24" s="12" customFormat="1" x14ac:dyDescent="0.2">
      <c r="A651" s="367">
        <f>IF(J651&lt;&gt;"",1+MAX($A$18:A650),"")</f>
        <v>461</v>
      </c>
      <c r="B651" s="368" t="s">
        <v>541</v>
      </c>
      <c r="C651" s="368" t="s">
        <v>619</v>
      </c>
      <c r="D651" s="368" t="s">
        <v>21</v>
      </c>
      <c r="E651" s="255" t="s">
        <v>64</v>
      </c>
      <c r="F651" s="380" t="s">
        <v>542</v>
      </c>
      <c r="G651" s="366">
        <v>2</v>
      </c>
      <c r="H651" s="205">
        <f>IF(VLOOKUP(J651,'HOURLY RATES'!B$116:C$124,2,0)=0,$J$3,VLOOKUP(J651,'HOURLY RATES'!B$116:C$124,2,0))</f>
        <v>0</v>
      </c>
      <c r="I651" s="317">
        <f t="shared" si="468"/>
        <v>2</v>
      </c>
      <c r="J651" s="192" t="s">
        <v>16</v>
      </c>
      <c r="K651" s="382">
        <f>1.215*22.5/21</f>
        <v>1.3017857142857143</v>
      </c>
      <c r="L651" s="228">
        <f t="shared" si="469"/>
        <v>2.6035714285714286</v>
      </c>
      <c r="M651" s="194">
        <f>IF(VLOOKUP(E651,'HOURLY RATES'!C$6:D$105,2,0)=0,$E$3,VLOOKUP(E651,'HOURLY RATES'!C$6:D$105,2,0))</f>
        <v>38.003343750000006</v>
      </c>
      <c r="N651" s="206">
        <f t="shared" si="470"/>
        <v>98.944419977678592</v>
      </c>
      <c r="O651" s="377">
        <f>((3*8)*(2*0.4))+(10)</f>
        <v>29.200000000000003</v>
      </c>
      <c r="P651" s="197">
        <f t="shared" si="471"/>
        <v>58.400000000000006</v>
      </c>
      <c r="Q651" s="198">
        <f t="shared" si="472"/>
        <v>157.3444199776786</v>
      </c>
      <c r="R651" s="199"/>
      <c r="X651" s="257"/>
    </row>
    <row r="652" spans="1:24" s="12" customFormat="1" x14ac:dyDescent="0.2">
      <c r="A652" s="367">
        <f>IF(J652&lt;&gt;"",1+MAX($A$18:A651),"")</f>
        <v>462</v>
      </c>
      <c r="B652" s="368" t="s">
        <v>541</v>
      </c>
      <c r="C652" s="368" t="s">
        <v>619</v>
      </c>
      <c r="D652" s="368" t="s">
        <v>21</v>
      </c>
      <c r="E652" s="255" t="s">
        <v>64</v>
      </c>
      <c r="F652" s="380" t="s">
        <v>543</v>
      </c>
      <c r="G652" s="366">
        <v>1</v>
      </c>
      <c r="H652" s="205">
        <f>IF(VLOOKUP(J652,'HOURLY RATES'!B$116:C$124,2,0)=0,$J$3,VLOOKUP(J652,'HOURLY RATES'!B$116:C$124,2,0))</f>
        <v>0</v>
      </c>
      <c r="I652" s="317">
        <f t="shared" si="468"/>
        <v>1</v>
      </c>
      <c r="J652" s="192" t="s">
        <v>16</v>
      </c>
      <c r="K652" s="382">
        <f t="shared" ref="K652:K661" si="478">1.215*22.5/21</f>
        <v>1.3017857142857143</v>
      </c>
      <c r="L652" s="228">
        <f t="shared" si="469"/>
        <v>1.3017857142857143</v>
      </c>
      <c r="M652" s="194">
        <f>IF(VLOOKUP(E652,'HOURLY RATES'!C$6:D$105,2,0)=0,$E$3,VLOOKUP(E652,'HOURLY RATES'!C$6:D$105,2,0))</f>
        <v>38.003343750000006</v>
      </c>
      <c r="N652" s="206">
        <f t="shared" si="470"/>
        <v>49.472209988839296</v>
      </c>
      <c r="O652" s="377">
        <f>((3*8)*(2*0.4))+(10)</f>
        <v>29.200000000000003</v>
      </c>
      <c r="P652" s="197">
        <f t="shared" si="471"/>
        <v>29.200000000000003</v>
      </c>
      <c r="Q652" s="198">
        <f t="shared" si="472"/>
        <v>78.672209988839299</v>
      </c>
      <c r="R652" s="199"/>
      <c r="X652" s="257"/>
    </row>
    <row r="653" spans="1:24" s="12" customFormat="1" x14ac:dyDescent="0.2">
      <c r="A653" s="367">
        <f>IF(J653&lt;&gt;"",1+MAX($A$18:A652),"")</f>
        <v>463</v>
      </c>
      <c r="B653" s="368" t="s">
        <v>541</v>
      </c>
      <c r="C653" s="368" t="s">
        <v>619</v>
      </c>
      <c r="D653" s="368" t="s">
        <v>21</v>
      </c>
      <c r="E653" s="255" t="s">
        <v>64</v>
      </c>
      <c r="F653" s="380" t="s">
        <v>544</v>
      </c>
      <c r="G653" s="366">
        <v>1</v>
      </c>
      <c r="H653" s="205">
        <f>IF(VLOOKUP(J653,'HOURLY RATES'!B$116:C$124,2,0)=0,$J$3,VLOOKUP(J653,'HOURLY RATES'!B$116:C$124,2,0))</f>
        <v>0</v>
      </c>
      <c r="I653" s="317">
        <f t="shared" si="468"/>
        <v>1</v>
      </c>
      <c r="J653" s="192" t="s">
        <v>16</v>
      </c>
      <c r="K653" s="382">
        <f t="shared" si="478"/>
        <v>1.3017857142857143</v>
      </c>
      <c r="L653" s="228">
        <f t="shared" si="469"/>
        <v>1.3017857142857143</v>
      </c>
      <c r="M653" s="194">
        <f>IF(VLOOKUP(E653,'HOURLY RATES'!C$6:D$105,2,0)=0,$E$3,VLOOKUP(E653,'HOURLY RATES'!C$6:D$105,2,0))</f>
        <v>38.003343750000006</v>
      </c>
      <c r="N653" s="206">
        <f t="shared" si="470"/>
        <v>49.472209988839296</v>
      </c>
      <c r="O653" s="377">
        <f>((3*8)*(2*0.4))+(10)</f>
        <v>29.200000000000003</v>
      </c>
      <c r="P653" s="197">
        <f t="shared" si="471"/>
        <v>29.200000000000003</v>
      </c>
      <c r="Q653" s="198">
        <f t="shared" si="472"/>
        <v>78.672209988839299</v>
      </c>
      <c r="R653" s="199"/>
      <c r="X653" s="257"/>
    </row>
    <row r="654" spans="1:24" s="12" customFormat="1" x14ac:dyDescent="0.2">
      <c r="A654" s="367">
        <f>IF(J654&lt;&gt;"",1+MAX($A$18:A653),"")</f>
        <v>464</v>
      </c>
      <c r="B654" s="368" t="s">
        <v>541</v>
      </c>
      <c r="C654" s="368" t="s">
        <v>619</v>
      </c>
      <c r="D654" s="368" t="s">
        <v>21</v>
      </c>
      <c r="E654" s="255" t="s">
        <v>64</v>
      </c>
      <c r="F654" s="380" t="s">
        <v>545</v>
      </c>
      <c r="G654" s="366">
        <v>2</v>
      </c>
      <c r="H654" s="205">
        <f>IF(VLOOKUP(J654,'HOURLY RATES'!B$116:C$124,2,0)=0,$J$3,VLOOKUP(J654,'HOURLY RATES'!B$116:C$124,2,0))</f>
        <v>0</v>
      </c>
      <c r="I654" s="317">
        <f t="shared" si="468"/>
        <v>2</v>
      </c>
      <c r="J654" s="192" t="s">
        <v>16</v>
      </c>
      <c r="K654" s="382">
        <f t="shared" si="478"/>
        <v>1.3017857142857143</v>
      </c>
      <c r="L654" s="228">
        <f t="shared" si="469"/>
        <v>2.6035714285714286</v>
      </c>
      <c r="M654" s="194">
        <f>IF(VLOOKUP(E654,'HOURLY RATES'!C$6:D$105,2,0)=0,$E$3,VLOOKUP(E654,'HOURLY RATES'!C$6:D$105,2,0))</f>
        <v>38.003343750000006</v>
      </c>
      <c r="N654" s="206">
        <f t="shared" si="470"/>
        <v>98.944419977678592</v>
      </c>
      <c r="O654" s="377">
        <f>((3*8)*(2*0.4))+(10)</f>
        <v>29.200000000000003</v>
      </c>
      <c r="P654" s="197">
        <f t="shared" si="471"/>
        <v>58.400000000000006</v>
      </c>
      <c r="Q654" s="198">
        <f t="shared" si="472"/>
        <v>157.3444199776786</v>
      </c>
      <c r="R654" s="199"/>
      <c r="X654" s="257"/>
    </row>
    <row r="655" spans="1:24" s="12" customFormat="1" x14ac:dyDescent="0.2">
      <c r="A655" s="367">
        <f>IF(J655&lt;&gt;"",1+MAX($A$18:A654),"")</f>
        <v>465</v>
      </c>
      <c r="B655" s="368" t="s">
        <v>541</v>
      </c>
      <c r="C655" s="368" t="s">
        <v>619</v>
      </c>
      <c r="D655" s="368" t="s">
        <v>21</v>
      </c>
      <c r="E655" s="255" t="s">
        <v>64</v>
      </c>
      <c r="F655" s="380" t="s">
        <v>546</v>
      </c>
      <c r="G655" s="366">
        <v>1</v>
      </c>
      <c r="H655" s="205">
        <f>IF(VLOOKUP(J655,'HOURLY RATES'!B$116:C$124,2,0)=0,$J$3,VLOOKUP(J655,'HOURLY RATES'!B$116:C$124,2,0))</f>
        <v>0</v>
      </c>
      <c r="I655" s="317">
        <f t="shared" si="468"/>
        <v>1</v>
      </c>
      <c r="J655" s="192" t="s">
        <v>16</v>
      </c>
      <c r="K655" s="382">
        <f>1.215*16/21</f>
        <v>0.92571428571428582</v>
      </c>
      <c r="L655" s="228">
        <f t="shared" si="469"/>
        <v>0.92571428571428582</v>
      </c>
      <c r="M655" s="194">
        <f>IF(VLOOKUP(E655,'HOURLY RATES'!C$6:D$105,2,0)=0,$E$3,VLOOKUP(E655,'HOURLY RATES'!C$6:D$105,2,0))</f>
        <v>38.003343750000006</v>
      </c>
      <c r="N655" s="206">
        <f t="shared" si="470"/>
        <v>35.180238214285723</v>
      </c>
      <c r="O655" s="377">
        <f>((2*8)*(2*0.4))+(10)</f>
        <v>22.8</v>
      </c>
      <c r="P655" s="197">
        <f t="shared" si="471"/>
        <v>22.8</v>
      </c>
      <c r="Q655" s="198">
        <f t="shared" si="472"/>
        <v>57.98023821428572</v>
      </c>
      <c r="R655" s="199"/>
      <c r="X655" s="257"/>
    </row>
    <row r="656" spans="1:24" s="12" customFormat="1" x14ac:dyDescent="0.2">
      <c r="A656" s="367">
        <f>IF(J656&lt;&gt;"",1+MAX($A$18:A655),"")</f>
        <v>466</v>
      </c>
      <c r="B656" s="368" t="s">
        <v>541</v>
      </c>
      <c r="C656" s="368" t="s">
        <v>619</v>
      </c>
      <c r="D656" s="368" t="s">
        <v>21</v>
      </c>
      <c r="E656" s="255" t="s">
        <v>64</v>
      </c>
      <c r="F656" s="380" t="s">
        <v>547</v>
      </c>
      <c r="G656" s="366">
        <v>1</v>
      </c>
      <c r="H656" s="205">
        <f>IF(VLOOKUP(J656,'HOURLY RATES'!B$116:C$124,2,0)=0,$J$3,VLOOKUP(J656,'HOURLY RATES'!B$116:C$124,2,0))</f>
        <v>0</v>
      </c>
      <c r="I656" s="317">
        <f t="shared" si="468"/>
        <v>1</v>
      </c>
      <c r="J656" s="192" t="s">
        <v>16</v>
      </c>
      <c r="K656" s="382">
        <f t="shared" si="478"/>
        <v>1.3017857142857143</v>
      </c>
      <c r="L656" s="228">
        <f t="shared" si="469"/>
        <v>1.3017857142857143</v>
      </c>
      <c r="M656" s="194">
        <f>IF(VLOOKUP(E656,'HOURLY RATES'!C$6:D$105,2,0)=0,$E$3,VLOOKUP(E656,'HOURLY RATES'!C$6:D$105,2,0))</f>
        <v>38.003343750000006</v>
      </c>
      <c r="N656" s="206">
        <f t="shared" si="470"/>
        <v>49.472209988839296</v>
      </c>
      <c r="O656" s="377">
        <f>((3*8)*(2*0.4))+(10)</f>
        <v>29.200000000000003</v>
      </c>
      <c r="P656" s="197">
        <f t="shared" si="471"/>
        <v>29.200000000000003</v>
      </c>
      <c r="Q656" s="198">
        <f t="shared" si="472"/>
        <v>78.672209988839299</v>
      </c>
      <c r="R656" s="199"/>
      <c r="X656" s="257"/>
    </row>
    <row r="657" spans="1:24" s="12" customFormat="1" x14ac:dyDescent="0.2">
      <c r="A657" s="367">
        <f>IF(J657&lt;&gt;"",1+MAX($A$18:A656),"")</f>
        <v>467</v>
      </c>
      <c r="B657" s="368" t="s">
        <v>541</v>
      </c>
      <c r="C657" s="368" t="s">
        <v>619</v>
      </c>
      <c r="D657" s="368" t="s">
        <v>21</v>
      </c>
      <c r="E657" s="255" t="s">
        <v>64</v>
      </c>
      <c r="F657" s="380" t="s">
        <v>548</v>
      </c>
      <c r="G657" s="366">
        <v>22</v>
      </c>
      <c r="H657" s="205">
        <f>IF(VLOOKUP(J657,'HOURLY RATES'!B$116:C$124,2,0)=0,$J$3,VLOOKUP(J657,'HOURLY RATES'!B$116:C$124,2,0))</f>
        <v>0</v>
      </c>
      <c r="I657" s="317">
        <f t="shared" si="468"/>
        <v>22</v>
      </c>
      <c r="J657" s="192" t="s">
        <v>16</v>
      </c>
      <c r="K657" s="382">
        <f t="shared" si="478"/>
        <v>1.3017857142857143</v>
      </c>
      <c r="L657" s="228">
        <f t="shared" si="469"/>
        <v>28.639285714285716</v>
      </c>
      <c r="M657" s="194">
        <f>IF(VLOOKUP(E657,'HOURLY RATES'!C$6:D$105,2,0)=0,$E$3,VLOOKUP(E657,'HOURLY RATES'!C$6:D$105,2,0))</f>
        <v>38.003343750000006</v>
      </c>
      <c r="N657" s="206">
        <f t="shared" si="470"/>
        <v>1088.3886197544646</v>
      </c>
      <c r="O657" s="377">
        <f>((3*8)*(2*0.4))+(10)</f>
        <v>29.200000000000003</v>
      </c>
      <c r="P657" s="197">
        <f t="shared" si="471"/>
        <v>642.40000000000009</v>
      </c>
      <c r="Q657" s="198">
        <f t="shared" si="472"/>
        <v>1730.7886197544647</v>
      </c>
      <c r="R657" s="199"/>
      <c r="X657" s="257"/>
    </row>
    <row r="658" spans="1:24" s="12" customFormat="1" x14ac:dyDescent="0.2">
      <c r="A658" s="367">
        <f>IF(J658&lt;&gt;"",1+MAX($A$18:A657),"")</f>
        <v>468</v>
      </c>
      <c r="B658" s="368" t="s">
        <v>541</v>
      </c>
      <c r="C658" s="368" t="s">
        <v>619</v>
      </c>
      <c r="D658" s="368" t="s">
        <v>21</v>
      </c>
      <c r="E658" s="255" t="s">
        <v>64</v>
      </c>
      <c r="F658" s="380" t="s">
        <v>549</v>
      </c>
      <c r="G658" s="366">
        <v>8</v>
      </c>
      <c r="H658" s="205">
        <f>IF(VLOOKUP(J658,'HOURLY RATES'!B$116:C$124,2,0)=0,$J$3,VLOOKUP(J658,'HOURLY RATES'!B$116:C$124,2,0))</f>
        <v>0</v>
      </c>
      <c r="I658" s="317">
        <f t="shared" si="468"/>
        <v>8</v>
      </c>
      <c r="J658" s="192" t="s">
        <v>16</v>
      </c>
      <c r="K658" s="382">
        <f t="shared" si="478"/>
        <v>1.3017857142857143</v>
      </c>
      <c r="L658" s="228">
        <f t="shared" si="469"/>
        <v>10.414285714285715</v>
      </c>
      <c r="M658" s="194">
        <f>IF(VLOOKUP(E658,'HOURLY RATES'!C$6:D$105,2,0)=0,$E$3,VLOOKUP(E658,'HOURLY RATES'!C$6:D$105,2,0))</f>
        <v>38.003343750000006</v>
      </c>
      <c r="N658" s="206">
        <f t="shared" si="470"/>
        <v>395.77767991071437</v>
      </c>
      <c r="O658" s="377">
        <f>((3*8)*(2*0.4))+(10)</f>
        <v>29.200000000000003</v>
      </c>
      <c r="P658" s="197">
        <f t="shared" si="471"/>
        <v>233.60000000000002</v>
      </c>
      <c r="Q658" s="198">
        <f t="shared" si="472"/>
        <v>629.37767991071439</v>
      </c>
      <c r="R658" s="199"/>
      <c r="X658" s="257"/>
    </row>
    <row r="659" spans="1:24" s="12" customFormat="1" x14ac:dyDescent="0.2">
      <c r="A659" s="367">
        <f>IF(J659&lt;&gt;"",1+MAX($A$18:A658),"")</f>
        <v>469</v>
      </c>
      <c r="B659" s="368" t="s">
        <v>541</v>
      </c>
      <c r="C659" s="368" t="s">
        <v>619</v>
      </c>
      <c r="D659" s="368" t="s">
        <v>21</v>
      </c>
      <c r="E659" s="255" t="s">
        <v>64</v>
      </c>
      <c r="F659" s="380" t="s">
        <v>550</v>
      </c>
      <c r="G659" s="366">
        <v>4</v>
      </c>
      <c r="H659" s="205">
        <f>IF(VLOOKUP(J659,'HOURLY RATES'!B$116:C$124,2,0)=0,$J$3,VLOOKUP(J659,'HOURLY RATES'!B$116:C$124,2,0))</f>
        <v>0</v>
      </c>
      <c r="I659" s="317">
        <f t="shared" si="468"/>
        <v>4</v>
      </c>
      <c r="J659" s="192" t="s">
        <v>16</v>
      </c>
      <c r="K659" s="382">
        <f t="shared" si="478"/>
        <v>1.3017857142857143</v>
      </c>
      <c r="L659" s="228">
        <f t="shared" si="469"/>
        <v>5.2071428571428573</v>
      </c>
      <c r="M659" s="194">
        <f>IF(VLOOKUP(E659,'HOURLY RATES'!C$6:D$105,2,0)=0,$E$3,VLOOKUP(E659,'HOURLY RATES'!C$6:D$105,2,0))</f>
        <v>38.003343750000006</v>
      </c>
      <c r="N659" s="206">
        <f t="shared" si="470"/>
        <v>197.88883995535718</v>
      </c>
      <c r="O659" s="377">
        <f>((3*8)*(2*0.4))+(10)</f>
        <v>29.200000000000003</v>
      </c>
      <c r="P659" s="197">
        <f t="shared" si="471"/>
        <v>116.80000000000001</v>
      </c>
      <c r="Q659" s="198">
        <f t="shared" si="472"/>
        <v>314.6888399553572</v>
      </c>
      <c r="R659" s="199"/>
      <c r="X659" s="257"/>
    </row>
    <row r="660" spans="1:24" s="12" customFormat="1" x14ac:dyDescent="0.2">
      <c r="A660" s="367">
        <f>IF(J660&lt;&gt;"",1+MAX($A$18:A659),"")</f>
        <v>470</v>
      </c>
      <c r="B660" s="368" t="s">
        <v>541</v>
      </c>
      <c r="C660" s="368" t="s">
        <v>619</v>
      </c>
      <c r="D660" s="368" t="s">
        <v>21</v>
      </c>
      <c r="E660" s="255" t="s">
        <v>64</v>
      </c>
      <c r="F660" s="380" t="s">
        <v>551</v>
      </c>
      <c r="G660" s="366">
        <v>1</v>
      </c>
      <c r="H660" s="205">
        <f>IF(VLOOKUP(J660,'HOURLY RATES'!B$116:C$124,2,0)=0,$J$3,VLOOKUP(J660,'HOURLY RATES'!B$116:C$124,2,0))</f>
        <v>0</v>
      </c>
      <c r="I660" s="317">
        <f t="shared" si="468"/>
        <v>1</v>
      </c>
      <c r="J660" s="192" t="s">
        <v>16</v>
      </c>
      <c r="K660" s="382">
        <f>1.215*26.5/21</f>
        <v>1.5332142857142859</v>
      </c>
      <c r="L660" s="228">
        <f t="shared" si="469"/>
        <v>1.5332142857142859</v>
      </c>
      <c r="M660" s="194">
        <f>IF(VLOOKUP(E660,'HOURLY RATES'!C$6:D$105,2,0)=0,$E$3,VLOOKUP(E660,'HOURLY RATES'!C$6:D$105,2,0))</f>
        <v>38.003343750000006</v>
      </c>
      <c r="N660" s="206">
        <f t="shared" si="470"/>
        <v>58.26726954241073</v>
      </c>
      <c r="O660" s="377">
        <f>((4*8)*(2*0.4))+(10)</f>
        <v>35.6</v>
      </c>
      <c r="P660" s="197">
        <f t="shared" si="471"/>
        <v>35.6</v>
      </c>
      <c r="Q660" s="198">
        <f t="shared" si="472"/>
        <v>93.867269542410725</v>
      </c>
      <c r="R660" s="199"/>
      <c r="X660" s="257"/>
    </row>
    <row r="661" spans="1:24" s="12" customFormat="1" x14ac:dyDescent="0.2">
      <c r="A661" s="367">
        <f>IF(J661&lt;&gt;"",1+MAX($A$18:A660),"")</f>
        <v>471</v>
      </c>
      <c r="B661" s="368" t="s">
        <v>541</v>
      </c>
      <c r="C661" s="368" t="s">
        <v>619</v>
      </c>
      <c r="D661" s="368" t="s">
        <v>21</v>
      </c>
      <c r="E661" s="255" t="s">
        <v>64</v>
      </c>
      <c r="F661" s="380" t="s">
        <v>552</v>
      </c>
      <c r="G661" s="366">
        <v>1</v>
      </c>
      <c r="H661" s="205">
        <f>IF(VLOOKUP(J661,'HOURLY RATES'!B$116:C$124,2,0)=0,$J$3,VLOOKUP(J661,'HOURLY RATES'!B$116:C$124,2,0))</f>
        <v>0</v>
      </c>
      <c r="I661" s="317">
        <f t="shared" si="468"/>
        <v>1</v>
      </c>
      <c r="J661" s="192" t="s">
        <v>16</v>
      </c>
      <c r="K661" s="382">
        <f t="shared" si="478"/>
        <v>1.3017857142857143</v>
      </c>
      <c r="L661" s="228">
        <f t="shared" si="469"/>
        <v>1.3017857142857143</v>
      </c>
      <c r="M661" s="194">
        <f>IF(VLOOKUP(E661,'HOURLY RATES'!C$6:D$105,2,0)=0,$E$3,VLOOKUP(E661,'HOURLY RATES'!C$6:D$105,2,0))</f>
        <v>38.003343750000006</v>
      </c>
      <c r="N661" s="206">
        <f t="shared" si="470"/>
        <v>49.472209988839296</v>
      </c>
      <c r="O661" s="377">
        <f>((3*8)*(2*0.4))+(10)</f>
        <v>29.200000000000003</v>
      </c>
      <c r="P661" s="197">
        <f t="shared" si="471"/>
        <v>29.200000000000003</v>
      </c>
      <c r="Q661" s="198">
        <f t="shared" si="472"/>
        <v>78.672209988839299</v>
      </c>
      <c r="R661" s="199"/>
      <c r="X661" s="257"/>
    </row>
    <row r="662" spans="1:24" s="12" customFormat="1" ht="47.25" x14ac:dyDescent="0.2">
      <c r="A662" s="367" t="str">
        <f>IF(J662&lt;&gt;"",1+MAX($A$18:A661),"")</f>
        <v/>
      </c>
      <c r="B662" s="368"/>
      <c r="C662" s="368"/>
      <c r="D662" s="368"/>
      <c r="E662" s="255"/>
      <c r="F662" s="393" t="s">
        <v>650</v>
      </c>
      <c r="G662" s="366"/>
      <c r="H662" s="205"/>
      <c r="I662" s="317"/>
      <c r="J662" s="192"/>
      <c r="K662" s="382"/>
      <c r="L662" s="228"/>
      <c r="M662" s="194"/>
      <c r="N662" s="206"/>
      <c r="O662" s="377"/>
      <c r="P662" s="197"/>
      <c r="Q662" s="198"/>
      <c r="R662" s="199"/>
      <c r="X662" s="257"/>
    </row>
    <row r="663" spans="1:24" s="12" customFormat="1" x14ac:dyDescent="0.2">
      <c r="A663" s="367" t="str">
        <f>IF(J663&lt;&gt;"",1+MAX($A$18:A662),"")</f>
        <v/>
      </c>
      <c r="B663" s="368"/>
      <c r="C663" s="368"/>
      <c r="D663" s="368"/>
      <c r="E663" s="255"/>
      <c r="F663" s="393"/>
      <c r="G663" s="366"/>
      <c r="H663" s="205"/>
      <c r="I663" s="317"/>
      <c r="J663" s="192"/>
      <c r="K663" s="382"/>
      <c r="L663" s="228"/>
      <c r="M663" s="194"/>
      <c r="N663" s="206"/>
      <c r="O663" s="377"/>
      <c r="P663" s="197"/>
      <c r="Q663" s="198"/>
      <c r="R663" s="199"/>
      <c r="X663" s="257"/>
    </row>
    <row r="664" spans="1:24" s="12" customFormat="1" x14ac:dyDescent="0.2">
      <c r="A664" s="367" t="str">
        <f>IF(J664&lt;&gt;"",1+MAX($A$18:A663),"")</f>
        <v/>
      </c>
      <c r="B664" s="368"/>
      <c r="C664" s="368"/>
      <c r="D664" s="368"/>
      <c r="E664" s="255"/>
      <c r="F664" s="369" t="s">
        <v>660</v>
      </c>
      <c r="G664" s="366"/>
      <c r="H664" s="205"/>
      <c r="I664" s="317"/>
      <c r="J664" s="192"/>
      <c r="K664" s="382"/>
      <c r="L664" s="228"/>
      <c r="M664" s="194"/>
      <c r="N664" s="206"/>
      <c r="O664" s="377"/>
      <c r="P664" s="197"/>
      <c r="Q664" s="198"/>
      <c r="R664" s="199"/>
      <c r="X664" s="257"/>
    </row>
    <row r="665" spans="1:24" s="12" customFormat="1" x14ac:dyDescent="0.2">
      <c r="A665" s="367">
        <f>IF(J665&lt;&gt;"",1+MAX($A$18:A664),"")</f>
        <v>472</v>
      </c>
      <c r="B665" s="368" t="s">
        <v>472</v>
      </c>
      <c r="C665" s="368" t="s">
        <v>472</v>
      </c>
      <c r="D665" s="368" t="s">
        <v>21</v>
      </c>
      <c r="E665" s="255" t="s">
        <v>64</v>
      </c>
      <c r="F665" s="380" t="s">
        <v>608</v>
      </c>
      <c r="G665" s="366">
        <f>24.02/0.08</f>
        <v>300.25</v>
      </c>
      <c r="H665" s="205">
        <f>IF(VLOOKUP(J665,'HOURLY RATES'!B$116:C$124,2,0)=0,$J$3,VLOOKUP(J665,'HOURLY RATES'!B$116:C$124,2,0))</f>
        <v>0.05</v>
      </c>
      <c r="I665" s="317">
        <f t="shared" ref="I665:I671" si="479">(G665*(1+H665))</f>
        <v>315.26249999999999</v>
      </c>
      <c r="J665" s="192" t="s">
        <v>19</v>
      </c>
      <c r="K665" s="382">
        <v>1.7999999999999999E-2</v>
      </c>
      <c r="L665" s="228">
        <f t="shared" ref="L665:L671" si="480">K665*I665</f>
        <v>5.6747249999999996</v>
      </c>
      <c r="M665" s="194">
        <f>IF(VLOOKUP(E665,'HOURLY RATES'!C$6:D$105,2,0)=0,$E$3,VLOOKUP(E665,'HOURLY RATES'!C$6:D$105,2,0))</f>
        <v>38.003343750000006</v>
      </c>
      <c r="N665" s="206">
        <f t="shared" ref="N665:N671" si="481">M665*L665</f>
        <v>215.65852486171877</v>
      </c>
      <c r="O665" s="377">
        <v>0.8</v>
      </c>
      <c r="P665" s="197">
        <f t="shared" ref="P665:P671" si="482">O665*I665</f>
        <v>252.21</v>
      </c>
      <c r="Q665" s="198">
        <f t="shared" ref="Q665:Q671" si="483">P665+N665</f>
        <v>467.86852486171881</v>
      </c>
      <c r="R665" s="199"/>
      <c r="X665" s="257"/>
    </row>
    <row r="666" spans="1:24" s="12" customFormat="1" x14ac:dyDescent="0.2">
      <c r="A666" s="367">
        <f>IF(J666&lt;&gt;"",1+MAX($A$18:A665),"")</f>
        <v>473</v>
      </c>
      <c r="B666" s="368" t="s">
        <v>472</v>
      </c>
      <c r="C666" s="368" t="s">
        <v>472</v>
      </c>
      <c r="D666" s="368" t="s">
        <v>21</v>
      </c>
      <c r="E666" s="255" t="s">
        <v>64</v>
      </c>
      <c r="F666" s="380" t="s">
        <v>609</v>
      </c>
      <c r="G666" s="366">
        <f>23.84/0.08</f>
        <v>298</v>
      </c>
      <c r="H666" s="205">
        <f>IF(VLOOKUP(J666,'HOURLY RATES'!B$116:C$124,2,0)=0,$J$3,VLOOKUP(J666,'HOURLY RATES'!B$116:C$124,2,0))</f>
        <v>0.05</v>
      </c>
      <c r="I666" s="317">
        <f t="shared" si="479"/>
        <v>312.90000000000003</v>
      </c>
      <c r="J666" s="192" t="s">
        <v>19</v>
      </c>
      <c r="K666" s="382">
        <v>1.7999999999999999E-2</v>
      </c>
      <c r="L666" s="228">
        <f t="shared" si="480"/>
        <v>5.6322000000000001</v>
      </c>
      <c r="M666" s="194">
        <f>IF(VLOOKUP(E666,'HOURLY RATES'!C$6:D$105,2,0)=0,$E$3,VLOOKUP(E666,'HOURLY RATES'!C$6:D$105,2,0))</f>
        <v>38.003343750000006</v>
      </c>
      <c r="N666" s="206">
        <f t="shared" si="481"/>
        <v>214.04243266875005</v>
      </c>
      <c r="O666" s="377">
        <v>0.8</v>
      </c>
      <c r="P666" s="197">
        <f t="shared" si="482"/>
        <v>250.32000000000005</v>
      </c>
      <c r="Q666" s="198">
        <f t="shared" si="483"/>
        <v>464.3624326687501</v>
      </c>
      <c r="R666" s="199"/>
      <c r="X666" s="257"/>
    </row>
    <row r="667" spans="1:24" s="12" customFormat="1" x14ac:dyDescent="0.2">
      <c r="A667" s="367">
        <f>IF(J667&lt;&gt;"",1+MAX($A$18:A666),"")</f>
        <v>474</v>
      </c>
      <c r="B667" s="368" t="s">
        <v>472</v>
      </c>
      <c r="C667" s="368" t="s">
        <v>472</v>
      </c>
      <c r="D667" s="368" t="s">
        <v>21</v>
      </c>
      <c r="E667" s="255" t="s">
        <v>64</v>
      </c>
      <c r="F667" s="380" t="s">
        <v>610</v>
      </c>
      <c r="G667" s="366">
        <f>24.09/0.08</f>
        <v>301.125</v>
      </c>
      <c r="H667" s="205">
        <f>IF(VLOOKUP(J667,'HOURLY RATES'!B$116:C$124,2,0)=0,$J$3,VLOOKUP(J667,'HOURLY RATES'!B$116:C$124,2,0))</f>
        <v>0.05</v>
      </c>
      <c r="I667" s="317">
        <f t="shared" si="479"/>
        <v>316.18125000000003</v>
      </c>
      <c r="J667" s="192" t="s">
        <v>19</v>
      </c>
      <c r="K667" s="382">
        <v>1.7999999999999999E-2</v>
      </c>
      <c r="L667" s="228">
        <f t="shared" si="480"/>
        <v>5.6912625000000006</v>
      </c>
      <c r="M667" s="194">
        <f>IF(VLOOKUP(E667,'HOURLY RATES'!C$6:D$105,2,0)=0,$E$3,VLOOKUP(E667,'HOURLY RATES'!C$6:D$105,2,0))</f>
        <v>38.003343750000006</v>
      </c>
      <c r="N667" s="206">
        <f t="shared" si="481"/>
        <v>216.28700515898444</v>
      </c>
      <c r="O667" s="377">
        <v>0.8</v>
      </c>
      <c r="P667" s="197">
        <f t="shared" si="482"/>
        <v>252.94500000000005</v>
      </c>
      <c r="Q667" s="198">
        <f t="shared" si="483"/>
        <v>469.23200515898452</v>
      </c>
      <c r="R667" s="199"/>
      <c r="X667" s="257"/>
    </row>
    <row r="668" spans="1:24" s="12" customFormat="1" x14ac:dyDescent="0.2">
      <c r="A668" s="367">
        <f>IF(J668&lt;&gt;"",1+MAX($A$18:A667),"")</f>
        <v>475</v>
      </c>
      <c r="B668" s="368" t="s">
        <v>611</v>
      </c>
      <c r="C668" s="368" t="s">
        <v>611</v>
      </c>
      <c r="D668" s="368" t="s">
        <v>21</v>
      </c>
      <c r="E668" s="255" t="s">
        <v>64</v>
      </c>
      <c r="F668" s="380" t="s">
        <v>612</v>
      </c>
      <c r="G668" s="366">
        <f>17.3/0.125</f>
        <v>138.4</v>
      </c>
      <c r="H668" s="205">
        <f>IF(VLOOKUP(J668,'HOURLY RATES'!B$116:C$124,2,0)=0,$J$3,VLOOKUP(J668,'HOURLY RATES'!B$116:C$124,2,0))</f>
        <v>0.05</v>
      </c>
      <c r="I668" s="317">
        <f t="shared" si="479"/>
        <v>145.32000000000002</v>
      </c>
      <c r="J668" s="192" t="s">
        <v>19</v>
      </c>
      <c r="K668" s="382">
        <v>1.7999999999999999E-2</v>
      </c>
      <c r="L668" s="228">
        <f t="shared" si="480"/>
        <v>2.6157600000000003</v>
      </c>
      <c r="M668" s="194">
        <f>IF(VLOOKUP(E668,'HOURLY RATES'!C$6:D$105,2,0)=0,$E$3,VLOOKUP(E668,'HOURLY RATES'!C$6:D$105,2,0))</f>
        <v>38.003343750000006</v>
      </c>
      <c r="N668" s="206">
        <f t="shared" si="481"/>
        <v>99.407626447500022</v>
      </c>
      <c r="O668" s="377">
        <v>0.8</v>
      </c>
      <c r="P668" s="197">
        <f t="shared" si="482"/>
        <v>116.25600000000003</v>
      </c>
      <c r="Q668" s="198">
        <f t="shared" si="483"/>
        <v>215.66362644750006</v>
      </c>
      <c r="R668" s="199"/>
      <c r="X668" s="257"/>
    </row>
    <row r="669" spans="1:24" s="12" customFormat="1" x14ac:dyDescent="0.2">
      <c r="A669" s="367">
        <f>IF(J669&lt;&gt;"",1+MAX($A$18:A668),"")</f>
        <v>476</v>
      </c>
      <c r="B669" s="368" t="s">
        <v>611</v>
      </c>
      <c r="C669" s="368" t="s">
        <v>611</v>
      </c>
      <c r="D669" s="368" t="s">
        <v>21</v>
      </c>
      <c r="E669" s="255" t="s">
        <v>64</v>
      </c>
      <c r="F669" s="380" t="s">
        <v>613</v>
      </c>
      <c r="G669" s="366">
        <f>74.22/0.17</f>
        <v>436.58823529411762</v>
      </c>
      <c r="H669" s="205">
        <f>IF(VLOOKUP(J669,'HOURLY RATES'!B$116:C$124,2,0)=0,$J$3,VLOOKUP(J669,'HOURLY RATES'!B$116:C$124,2,0))</f>
        <v>0.05</v>
      </c>
      <c r="I669" s="317">
        <f t="shared" si="479"/>
        <v>458.41764705882355</v>
      </c>
      <c r="J669" s="192" t="s">
        <v>19</v>
      </c>
      <c r="K669" s="382">
        <v>1.7999999999999999E-2</v>
      </c>
      <c r="L669" s="228">
        <f t="shared" si="480"/>
        <v>8.2515176470588241</v>
      </c>
      <c r="M669" s="194">
        <f>IF(VLOOKUP(E669,'HOURLY RATES'!C$6:D$105,2,0)=0,$E$3,VLOOKUP(E669,'HOURLY RATES'!C$6:D$105,2,0))</f>
        <v>38.003343750000006</v>
      </c>
      <c r="N669" s="206">
        <f t="shared" si="481"/>
        <v>313.58526160036774</v>
      </c>
      <c r="O669" s="377">
        <v>0.8</v>
      </c>
      <c r="P669" s="197">
        <f t="shared" si="482"/>
        <v>366.73411764705884</v>
      </c>
      <c r="Q669" s="198">
        <f t="shared" si="483"/>
        <v>680.31937924742658</v>
      </c>
      <c r="R669" s="199"/>
      <c r="X669" s="257"/>
    </row>
    <row r="670" spans="1:24" s="12" customFormat="1" x14ac:dyDescent="0.2">
      <c r="A670" s="367">
        <f>IF(J670&lt;&gt;"",1+MAX($A$18:A669),"")</f>
        <v>477</v>
      </c>
      <c r="B670" s="368" t="s">
        <v>614</v>
      </c>
      <c r="C670" s="368" t="s">
        <v>614</v>
      </c>
      <c r="D670" s="368" t="s">
        <v>21</v>
      </c>
      <c r="E670" s="255" t="s">
        <v>64</v>
      </c>
      <c r="F670" s="380" t="s">
        <v>775</v>
      </c>
      <c r="G670" s="366">
        <f>12.78/0.08</f>
        <v>159.75</v>
      </c>
      <c r="H670" s="205">
        <f>IF(VLOOKUP(J670,'HOURLY RATES'!B$116:C$124,2,0)=0,$J$3,VLOOKUP(J670,'HOURLY RATES'!B$116:C$124,2,0))</f>
        <v>0.05</v>
      </c>
      <c r="I670" s="317">
        <f t="shared" si="479"/>
        <v>167.73750000000001</v>
      </c>
      <c r="J670" s="192" t="s">
        <v>19</v>
      </c>
      <c r="K670" s="382">
        <v>1.7999999999999999E-2</v>
      </c>
      <c r="L670" s="228">
        <f t="shared" si="480"/>
        <v>3.0192749999999999</v>
      </c>
      <c r="M670" s="194">
        <f>IF(VLOOKUP(E670,'HOURLY RATES'!C$6:D$105,2,0)=0,$E$3,VLOOKUP(E670,'HOURLY RATES'!C$6:D$105,2,0))</f>
        <v>38.003343750000006</v>
      </c>
      <c r="N670" s="206">
        <f t="shared" si="481"/>
        <v>114.74254570078126</v>
      </c>
      <c r="O670" s="377">
        <v>0.8</v>
      </c>
      <c r="P670" s="197">
        <f t="shared" si="482"/>
        <v>134.19000000000003</v>
      </c>
      <c r="Q670" s="198">
        <f t="shared" si="483"/>
        <v>248.9325457007813</v>
      </c>
      <c r="R670" s="199"/>
      <c r="X670" s="257"/>
    </row>
    <row r="671" spans="1:24" s="12" customFormat="1" x14ac:dyDescent="0.2">
      <c r="A671" s="367">
        <f>IF(J671&lt;&gt;"",1+MAX($A$18:A670),"")</f>
        <v>478</v>
      </c>
      <c r="B671" s="368" t="s">
        <v>614</v>
      </c>
      <c r="C671" s="368" t="s">
        <v>614</v>
      </c>
      <c r="D671" s="368" t="s">
        <v>21</v>
      </c>
      <c r="E671" s="255" t="s">
        <v>64</v>
      </c>
      <c r="F671" s="380" t="s">
        <v>615</v>
      </c>
      <c r="G671" s="366">
        <v>183.03</v>
      </c>
      <c r="H671" s="205">
        <f>IF(VLOOKUP(J671,'HOURLY RATES'!B$116:C$124,2,0)=0,$J$3,VLOOKUP(J671,'HOURLY RATES'!B$116:C$124,2,0))</f>
        <v>0.05</v>
      </c>
      <c r="I671" s="317">
        <f t="shared" si="479"/>
        <v>192.1815</v>
      </c>
      <c r="J671" s="192" t="s">
        <v>19</v>
      </c>
      <c r="K671" s="382">
        <v>1.7999999999999999E-2</v>
      </c>
      <c r="L671" s="228">
        <f t="shared" si="480"/>
        <v>3.4592669999999996</v>
      </c>
      <c r="M671" s="194">
        <f>IF(VLOOKUP(E671,'HOURLY RATES'!C$6:D$105,2,0)=0,$E$3,VLOOKUP(E671,'HOURLY RATES'!C$6:D$105,2,0))</f>
        <v>38.003343750000006</v>
      </c>
      <c r="N671" s="206">
        <f t="shared" si="481"/>
        <v>131.46371292403126</v>
      </c>
      <c r="O671" s="377">
        <v>0.8</v>
      </c>
      <c r="P671" s="197">
        <f t="shared" si="482"/>
        <v>153.74520000000001</v>
      </c>
      <c r="Q671" s="198">
        <f t="shared" si="483"/>
        <v>285.20891292403127</v>
      </c>
      <c r="R671" s="199"/>
      <c r="X671" s="257"/>
    </row>
    <row r="672" spans="1:24" s="12" customFormat="1" x14ac:dyDescent="0.2">
      <c r="A672" s="204" t="str">
        <f>IF(J672&lt;&gt;"",1+MAX($A$18:A671),"")</f>
        <v/>
      </c>
      <c r="B672" s="201"/>
      <c r="C672" s="201"/>
      <c r="D672" s="201"/>
      <c r="E672" s="255"/>
      <c r="F672" s="258" t="s">
        <v>208</v>
      </c>
      <c r="G672" s="310"/>
      <c r="H672" s="205"/>
      <c r="I672" s="317"/>
      <c r="J672" s="192"/>
      <c r="K672" s="382"/>
      <c r="L672" s="228"/>
      <c r="M672" s="194"/>
      <c r="N672" s="206"/>
      <c r="O672" s="377"/>
      <c r="P672" s="197"/>
      <c r="Q672" s="198"/>
      <c r="R672" s="199"/>
      <c r="X672" s="257"/>
    </row>
    <row r="673" spans="1:24" s="12" customFormat="1" x14ac:dyDescent="0.2">
      <c r="A673" s="204" t="str">
        <f>IF(J673&lt;&gt;"",1+MAX($A$18:A672),"")</f>
        <v/>
      </c>
      <c r="B673" s="201"/>
      <c r="C673" s="201"/>
      <c r="D673" s="201"/>
      <c r="E673" s="255"/>
      <c r="F673" s="258"/>
      <c r="G673" s="310"/>
      <c r="H673" s="205"/>
      <c r="I673" s="317"/>
      <c r="J673" s="192"/>
      <c r="K673" s="382"/>
      <c r="L673" s="228"/>
      <c r="M673" s="194"/>
      <c r="N673" s="206"/>
      <c r="O673" s="377"/>
      <c r="P673" s="197"/>
      <c r="Q673" s="198"/>
      <c r="R673" s="199"/>
      <c r="X673" s="257"/>
    </row>
    <row r="674" spans="1:24" s="12" customFormat="1" x14ac:dyDescent="0.2">
      <c r="A674" s="204" t="str">
        <f>IF(J674&lt;&gt;"",1+MAX($A$18:A673),"")</f>
        <v/>
      </c>
      <c r="B674" s="201"/>
      <c r="C674" s="201"/>
      <c r="D674" s="201"/>
      <c r="E674" s="255"/>
      <c r="F674" s="202" t="s">
        <v>676</v>
      </c>
      <c r="G674" s="310"/>
      <c r="H674" s="190"/>
      <c r="I674" s="317"/>
      <c r="J674" s="192"/>
      <c r="K674" s="382"/>
      <c r="L674" s="247"/>
      <c r="M674" s="194"/>
      <c r="N674" s="248"/>
      <c r="O674" s="377"/>
      <c r="P674" s="195"/>
      <c r="Q674" s="198"/>
      <c r="R674" s="199"/>
      <c r="X674" s="257"/>
    </row>
    <row r="675" spans="1:24" s="12" customFormat="1" x14ac:dyDescent="0.2">
      <c r="A675" s="204">
        <f>IF(J675&lt;&gt;"",1+MAX($A$18:A674),"")</f>
        <v>479</v>
      </c>
      <c r="B675" s="201"/>
      <c r="C675" s="201"/>
      <c r="D675" s="368" t="s">
        <v>21</v>
      </c>
      <c r="E675" s="255" t="s">
        <v>64</v>
      </c>
      <c r="F675" s="188" t="s">
        <v>174</v>
      </c>
      <c r="G675" s="310">
        <f>44*38</f>
        <v>1672</v>
      </c>
      <c r="H675" s="205">
        <f>IF(VLOOKUP(J675,'HOURLY RATES'!B$116:C$124,2,0)=0,$J$3,VLOOKUP(J675,'HOURLY RATES'!B$116:C$124,2,0))</f>
        <v>0.05</v>
      </c>
      <c r="I675" s="317">
        <f t="shared" ref="I675" si="484">(G675*(1+H675))</f>
        <v>1755.6000000000001</v>
      </c>
      <c r="J675" s="192" t="s">
        <v>19</v>
      </c>
      <c r="K675" s="382">
        <v>1.7999999999999999E-2</v>
      </c>
      <c r="L675" s="249">
        <f>K675*I675</f>
        <v>31.6008</v>
      </c>
      <c r="M675" s="194">
        <f>IF(VLOOKUP(E675,'HOURLY RATES'!C$6:D$105,2,0)=0,$E$3,VLOOKUP(E675,'HOURLY RATES'!C$6:D$105,2,0))</f>
        <v>38.003343750000006</v>
      </c>
      <c r="N675" s="206">
        <f>M675*L675</f>
        <v>1200.9360651750001</v>
      </c>
      <c r="O675" s="377">
        <v>0.8</v>
      </c>
      <c r="P675" s="197">
        <f t="shared" ref="P675" si="485">O675*I675</f>
        <v>1404.4800000000002</v>
      </c>
      <c r="Q675" s="198">
        <f>P675+N675</f>
        <v>2605.4160651750003</v>
      </c>
      <c r="R675" s="199"/>
      <c r="X675" s="257"/>
    </row>
    <row r="676" spans="1:24" s="12" customFormat="1" x14ac:dyDescent="0.2">
      <c r="A676" s="367" t="str">
        <f>IF(J676&lt;&gt;"",1+MAX($A$18:A675),"")</f>
        <v/>
      </c>
      <c r="B676" s="368"/>
      <c r="C676" s="368"/>
      <c r="D676" s="368"/>
      <c r="E676" s="255"/>
      <c r="F676" s="380"/>
      <c r="G676" s="366"/>
      <c r="H676" s="205"/>
      <c r="I676" s="317"/>
      <c r="J676" s="192"/>
      <c r="K676" s="382"/>
      <c r="L676" s="228"/>
      <c r="M676" s="194"/>
      <c r="N676" s="206"/>
      <c r="O676" s="377"/>
      <c r="P676" s="197"/>
      <c r="Q676" s="198"/>
      <c r="R676" s="199"/>
      <c r="X676" s="257"/>
    </row>
    <row r="677" spans="1:24" s="12" customFormat="1" x14ac:dyDescent="0.2">
      <c r="A677" s="367">
        <f>IF(J677&lt;&gt;"",1+MAX($A$18:A676),"")</f>
        <v>480</v>
      </c>
      <c r="B677" s="368"/>
      <c r="C677" s="368"/>
      <c r="D677" s="368" t="s">
        <v>21</v>
      </c>
      <c r="E677" s="255" t="s">
        <v>64</v>
      </c>
      <c r="F677" s="307" t="s">
        <v>674</v>
      </c>
      <c r="G677" s="366">
        <v>1145</v>
      </c>
      <c r="H677" s="205">
        <f>IF(VLOOKUP(J677,'HOURLY RATES'!B$116:C$124,2,0)=0,$J$3,VLOOKUP(J677,'HOURLY RATES'!B$116:C$124,2,0))</f>
        <v>0.05</v>
      </c>
      <c r="I677" s="317">
        <f t="shared" si="468"/>
        <v>1202.25</v>
      </c>
      <c r="J677" s="192" t="s">
        <v>17</v>
      </c>
      <c r="K677" s="382">
        <f>2.5*0.006</f>
        <v>1.4999999999999999E-2</v>
      </c>
      <c r="L677" s="228">
        <f t="shared" si="469"/>
        <v>18.033749999999998</v>
      </c>
      <c r="M677" s="194">
        <f>IF(VLOOKUP(E677,'HOURLY RATES'!C$6:D$105,2,0)=0,$E$3,VLOOKUP(E677,'HOURLY RATES'!C$6:D$105,2,0))</f>
        <v>38.003343750000006</v>
      </c>
      <c r="N677" s="206">
        <f t="shared" si="470"/>
        <v>685.34280035156257</v>
      </c>
      <c r="O677" s="377"/>
      <c r="P677" s="197">
        <f t="shared" si="471"/>
        <v>0</v>
      </c>
      <c r="Q677" s="198">
        <f t="shared" si="472"/>
        <v>685.34280035156257</v>
      </c>
      <c r="R677" s="199"/>
      <c r="X677" s="257"/>
    </row>
    <row r="678" spans="1:24" s="12" customFormat="1" x14ac:dyDescent="0.2">
      <c r="A678" s="367">
        <f>IF(J678&lt;&gt;"",1+MAX($A$18:A677),"")</f>
        <v>481</v>
      </c>
      <c r="B678" s="368"/>
      <c r="C678" s="368"/>
      <c r="D678" s="368" t="s">
        <v>21</v>
      </c>
      <c r="E678" s="255" t="s">
        <v>64</v>
      </c>
      <c r="F678" s="307" t="s">
        <v>674</v>
      </c>
      <c r="G678" s="366">
        <v>965</v>
      </c>
      <c r="H678" s="205">
        <f>IF(VLOOKUP(J678,'HOURLY RATES'!B$116:C$124,2,0)=0,$J$3,VLOOKUP(J678,'HOURLY RATES'!B$116:C$124,2,0))</f>
        <v>0.05</v>
      </c>
      <c r="I678" s="317">
        <f t="shared" ref="I678" si="486">(G678*(1+H678))</f>
        <v>1013.25</v>
      </c>
      <c r="J678" s="192" t="s">
        <v>17</v>
      </c>
      <c r="K678" s="382">
        <f>2.5*0.006</f>
        <v>1.4999999999999999E-2</v>
      </c>
      <c r="L678" s="228">
        <f t="shared" ref="L678" si="487">K678*I678</f>
        <v>15.198749999999999</v>
      </c>
      <c r="M678" s="194">
        <f>IF(VLOOKUP(E678,'HOURLY RATES'!C$6:D$105,2,0)=0,$E$3,VLOOKUP(E678,'HOURLY RATES'!C$6:D$105,2,0))</f>
        <v>38.003343750000006</v>
      </c>
      <c r="N678" s="206">
        <f t="shared" ref="N678" si="488">M678*L678</f>
        <v>577.60332082031255</v>
      </c>
      <c r="O678" s="377"/>
      <c r="P678" s="197">
        <f t="shared" ref="P678" si="489">O678*I678</f>
        <v>0</v>
      </c>
      <c r="Q678" s="198">
        <f t="shared" ref="Q678" si="490">P678+N678</f>
        <v>577.60332082031255</v>
      </c>
      <c r="R678" s="199"/>
      <c r="X678" s="257"/>
    </row>
    <row r="679" spans="1:24" s="12" customFormat="1" ht="16.5" thickBot="1" x14ac:dyDescent="0.25">
      <c r="A679" s="263" t="str">
        <f>IF(J679&lt;&gt;"",1+MAX($A$18:A678),"")</f>
        <v/>
      </c>
      <c r="B679" s="264"/>
      <c r="C679" s="264"/>
      <c r="D679" s="264"/>
      <c r="E679" s="404"/>
      <c r="F679" s="265"/>
      <c r="G679" s="313"/>
      <c r="H679" s="267"/>
      <c r="I679" s="319"/>
      <c r="J679" s="359"/>
      <c r="K679" s="291"/>
      <c r="L679" s="269"/>
      <c r="M679" s="272"/>
      <c r="N679" s="273"/>
      <c r="O679" s="292"/>
      <c r="P679" s="275"/>
      <c r="Q679" s="276"/>
      <c r="R679" s="277"/>
      <c r="X679" s="257"/>
    </row>
    <row r="680" spans="1:24" s="12" customFormat="1" ht="20.100000000000001" customHeight="1" x14ac:dyDescent="0.2">
      <c r="A680" s="475" t="str">
        <f>IF(J680&lt;&gt;"",1+MAX($A$18:A679),"")</f>
        <v/>
      </c>
      <c r="B680" s="476"/>
      <c r="C680" s="476"/>
      <c r="D680" s="476" t="s">
        <v>53</v>
      </c>
      <c r="E680" s="481"/>
      <c r="F680" s="477" t="s">
        <v>224</v>
      </c>
      <c r="G680" s="482"/>
      <c r="H680" s="479"/>
      <c r="I680" s="483"/>
      <c r="J680" s="483"/>
      <c r="K680" s="479"/>
      <c r="L680" s="479"/>
      <c r="M680" s="479"/>
      <c r="N680" s="479"/>
      <c r="O680" s="479"/>
      <c r="P680" s="479"/>
      <c r="Q680" s="479"/>
      <c r="R680" s="480">
        <f>SUM(Q681:Q727)</f>
        <v>94225.468965486187</v>
      </c>
      <c r="X680" s="257"/>
    </row>
    <row r="681" spans="1:24" s="12" customFormat="1" x14ac:dyDescent="0.2">
      <c r="A681" s="204" t="str">
        <f>IF(J681&lt;&gt;"",1+MAX($A$18:A680),"")</f>
        <v/>
      </c>
      <c r="B681" s="201"/>
      <c r="C681" s="201"/>
      <c r="D681" s="201"/>
      <c r="E681" s="255"/>
      <c r="F681" s="188" t="s">
        <v>28</v>
      </c>
      <c r="G681" s="310"/>
      <c r="H681" s="190"/>
      <c r="I681" s="317"/>
      <c r="J681" s="192"/>
      <c r="K681" s="243"/>
      <c r="L681" s="13"/>
      <c r="M681" s="194"/>
      <c r="N681" s="206"/>
      <c r="O681" s="234"/>
      <c r="P681" s="197"/>
      <c r="Q681" s="198"/>
      <c r="R681" s="199"/>
      <c r="X681" s="257"/>
    </row>
    <row r="682" spans="1:24" s="12" customFormat="1" x14ac:dyDescent="0.2">
      <c r="A682" s="204" t="str">
        <f>IF(J682&lt;&gt;"",1+MAX($A$18:A681),"")</f>
        <v/>
      </c>
      <c r="B682" s="201"/>
      <c r="C682" s="201"/>
      <c r="D682" s="201"/>
      <c r="E682" s="255"/>
      <c r="F682" s="202" t="s">
        <v>302</v>
      </c>
      <c r="G682" s="310"/>
      <c r="H682" s="190"/>
      <c r="I682" s="317"/>
      <c r="J682" s="192"/>
      <c r="K682" s="243"/>
      <c r="L682" s="13"/>
      <c r="M682" s="194"/>
      <c r="N682" s="206"/>
      <c r="O682" s="234"/>
      <c r="P682" s="197"/>
      <c r="Q682" s="198"/>
      <c r="R682" s="199"/>
      <c r="X682" s="257"/>
    </row>
    <row r="683" spans="1:24" s="12" customFormat="1" x14ac:dyDescent="0.2">
      <c r="A683" s="204">
        <f>IF(J683&lt;&gt;"",1+MAX($A$18:A682),"")</f>
        <v>482</v>
      </c>
      <c r="B683" s="255" t="s">
        <v>419</v>
      </c>
      <c r="C683" s="255" t="s">
        <v>470</v>
      </c>
      <c r="D683" s="201" t="s">
        <v>53</v>
      </c>
      <c r="E683" s="255" t="s">
        <v>299</v>
      </c>
      <c r="F683" s="188" t="s">
        <v>709</v>
      </c>
      <c r="G683" s="310">
        <v>6</v>
      </c>
      <c r="H683" s="205">
        <f>IF(VLOOKUP(J683,'HOURLY RATES'!B$116:C$124,2,0)=0,$J$3,VLOOKUP(J683,'HOURLY RATES'!B$116:C$124,2,0))</f>
        <v>0</v>
      </c>
      <c r="I683" s="317">
        <f t="shared" ref="I683" si="491">(G683*(1+H683))</f>
        <v>6</v>
      </c>
      <c r="J683" s="192" t="s">
        <v>16</v>
      </c>
      <c r="K683" s="382">
        <v>1.115</v>
      </c>
      <c r="L683" s="228">
        <f t="shared" ref="L683" si="492">K683*I683</f>
        <v>6.6899999999999995</v>
      </c>
      <c r="M683" s="194">
        <f>IF(VLOOKUP(E683,'HOURLY RATES'!C$6:D$105,2,0)=0,$E$3,VLOOKUP(E683,'HOURLY RATES'!C$6:D$105,2,0))</f>
        <v>69.559850000000012</v>
      </c>
      <c r="N683" s="206">
        <f t="shared" ref="N683" si="493">M683*L683</f>
        <v>465.35539650000004</v>
      </c>
      <c r="O683" s="377">
        <v>102</v>
      </c>
      <c r="P683" s="197">
        <f t="shared" ref="P683" si="494">O683*I683</f>
        <v>612</v>
      </c>
      <c r="Q683" s="198">
        <f t="shared" ref="Q683" si="495">P683+N683</f>
        <v>1077.3553965000001</v>
      </c>
      <c r="R683" s="199"/>
      <c r="X683" s="257"/>
    </row>
    <row r="684" spans="1:24" s="12" customFormat="1" x14ac:dyDescent="0.2">
      <c r="A684" s="204" t="str">
        <f>IF(J684&lt;&gt;"",1+MAX($A$18:A683),"")</f>
        <v/>
      </c>
      <c r="B684" s="255"/>
      <c r="C684" s="255"/>
      <c r="D684" s="201"/>
      <c r="E684" s="255"/>
      <c r="F684" s="188"/>
      <c r="G684" s="310"/>
      <c r="H684" s="205"/>
      <c r="I684" s="317"/>
      <c r="J684" s="192"/>
      <c r="K684" s="208"/>
      <c r="L684" s="228"/>
      <c r="M684" s="194"/>
      <c r="N684" s="206"/>
      <c r="O684" s="234"/>
      <c r="P684" s="197"/>
      <c r="Q684" s="198"/>
      <c r="R684" s="199"/>
      <c r="X684" s="257"/>
    </row>
    <row r="685" spans="1:24" s="12" customFormat="1" x14ac:dyDescent="0.2">
      <c r="A685" s="204" t="str">
        <f>IF(J685&lt;&gt;"",1+MAX($A$18:A684),"")</f>
        <v/>
      </c>
      <c r="B685" s="201"/>
      <c r="C685" s="201"/>
      <c r="D685" s="201"/>
      <c r="E685" s="255"/>
      <c r="F685" s="202" t="s">
        <v>710</v>
      </c>
      <c r="G685" s="310"/>
      <c r="H685" s="190"/>
      <c r="I685" s="317"/>
      <c r="J685" s="192"/>
      <c r="K685" s="208"/>
      <c r="L685" s="228"/>
      <c r="M685" s="194"/>
      <c r="N685" s="206"/>
      <c r="O685" s="234"/>
      <c r="P685" s="197"/>
      <c r="Q685" s="198"/>
      <c r="R685" s="199"/>
      <c r="X685" s="257"/>
    </row>
    <row r="686" spans="1:24" s="12" customFormat="1" ht="31.5" x14ac:dyDescent="0.2">
      <c r="A686" s="204">
        <f>IF(J686&lt;&gt;"",1+MAX($A$18:A685),"")</f>
        <v>483</v>
      </c>
      <c r="B686" s="255" t="s">
        <v>419</v>
      </c>
      <c r="C686" s="255" t="s">
        <v>470</v>
      </c>
      <c r="D686" s="201" t="s">
        <v>53</v>
      </c>
      <c r="E686" s="255" t="s">
        <v>150</v>
      </c>
      <c r="F686" s="188" t="s">
        <v>749</v>
      </c>
      <c r="G686" s="310">
        <v>214.9</v>
      </c>
      <c r="H686" s="205">
        <f>IF(VLOOKUP(J686,'HOURLY RATES'!B$116:C$124,2,0)=0,$J$3,VLOOKUP(J686,'HOURLY RATES'!B$116:C$124,2,0))</f>
        <v>0.05</v>
      </c>
      <c r="I686" s="317">
        <f t="shared" ref="I686" si="496">(G686*(1+H686))</f>
        <v>225.64500000000001</v>
      </c>
      <c r="J686" s="192" t="s">
        <v>17</v>
      </c>
      <c r="K686" s="208">
        <v>0.5</v>
      </c>
      <c r="L686" s="228">
        <f t="shared" ref="L686" si="497">K686*I686</f>
        <v>112.82250000000001</v>
      </c>
      <c r="M686" s="194">
        <f>IF(VLOOKUP(E686,'HOURLY RATES'!C$6:D$105,2,0)=0,$E$3,VLOOKUP(E686,'HOURLY RATES'!C$6:D$105,2,0))</f>
        <v>62.284425000000006</v>
      </c>
      <c r="N686" s="206">
        <f t="shared" ref="N686" si="498">M686*L686</f>
        <v>7027.084539562501</v>
      </c>
      <c r="O686" s="234">
        <v>122.61</v>
      </c>
      <c r="P686" s="197">
        <f t="shared" ref="P686" si="499">O686*I686</f>
        <v>27666.333450000002</v>
      </c>
      <c r="Q686" s="198">
        <f t="shared" ref="Q686" si="500">P686+N686</f>
        <v>34693.417989562506</v>
      </c>
      <c r="R686" s="199"/>
      <c r="X686" s="257"/>
    </row>
    <row r="687" spans="1:24" s="12" customFormat="1" x14ac:dyDescent="0.2">
      <c r="A687" s="204" t="str">
        <f>IF(J687&lt;&gt;"",1+MAX($A$18:A686),"")</f>
        <v/>
      </c>
      <c r="B687" s="255"/>
      <c r="C687" s="255"/>
      <c r="D687" s="201"/>
      <c r="E687" s="255"/>
      <c r="F687" s="188"/>
      <c r="G687" s="310"/>
      <c r="H687" s="205"/>
      <c r="I687" s="317"/>
      <c r="J687" s="192"/>
      <c r="K687" s="208"/>
      <c r="L687" s="228"/>
      <c r="M687" s="194"/>
      <c r="N687" s="206"/>
      <c r="O687" s="234"/>
      <c r="P687" s="197"/>
      <c r="Q687" s="198"/>
      <c r="R687" s="199"/>
      <c r="X687" s="257"/>
    </row>
    <row r="688" spans="1:24" s="12" customFormat="1" x14ac:dyDescent="0.2">
      <c r="A688" s="367" t="str">
        <f>IF(J688&lt;&gt;"",1+MAX($A$18:A687),"")</f>
        <v/>
      </c>
      <c r="B688" s="368"/>
      <c r="C688" s="368"/>
      <c r="D688" s="368"/>
      <c r="E688" s="394"/>
      <c r="F688" s="369" t="s">
        <v>207</v>
      </c>
      <c r="G688" s="366"/>
      <c r="H688" s="370"/>
      <c r="I688" s="371"/>
      <c r="J688" s="372"/>
      <c r="K688" s="208"/>
      <c r="L688" s="228"/>
      <c r="M688" s="194"/>
      <c r="N688" s="206"/>
      <c r="O688" s="234"/>
      <c r="P688" s="378"/>
      <c r="Q688" s="379"/>
      <c r="R688" s="199"/>
      <c r="X688" s="257"/>
    </row>
    <row r="689" spans="1:24" s="12" customFormat="1" x14ac:dyDescent="0.2">
      <c r="A689" s="367">
        <f>IF(J689&lt;&gt;"",1+MAX($A$18:A688),"")</f>
        <v>484</v>
      </c>
      <c r="B689" s="394" t="s">
        <v>684</v>
      </c>
      <c r="C689" s="394" t="s">
        <v>684</v>
      </c>
      <c r="D689" s="368" t="s">
        <v>53</v>
      </c>
      <c r="E689" s="255" t="s">
        <v>155</v>
      </c>
      <c r="F689" s="380" t="s">
        <v>685</v>
      </c>
      <c r="G689" s="366">
        <v>1</v>
      </c>
      <c r="H689" s="205">
        <f>IF(VLOOKUP(J689,'HOURLY RATES'!B$116:C$124,2,0)=0,$J$3,VLOOKUP(J689,'HOURLY RATES'!B$116:C$124,2,0))</f>
        <v>0</v>
      </c>
      <c r="I689" s="317">
        <f t="shared" ref="I689:I707" si="501">(G689*(1+H689))</f>
        <v>1</v>
      </c>
      <c r="J689" s="192" t="s">
        <v>16</v>
      </c>
      <c r="K689" s="382">
        <v>6.3250000000000002</v>
      </c>
      <c r="L689" s="228">
        <f t="shared" ref="L689:L707" si="502">K689*I689</f>
        <v>6.3250000000000002</v>
      </c>
      <c r="M689" s="194">
        <f>IF(VLOOKUP(E689,'HOURLY RATES'!C$6:D$105,2,0)=0,$E$3,VLOOKUP(E689,'HOURLY RATES'!C$6:D$105,2,0))</f>
        <v>69.559850000000012</v>
      </c>
      <c r="N689" s="206">
        <f t="shared" ref="N689:N707" si="503">M689*L689</f>
        <v>439.96605125000008</v>
      </c>
      <c r="O689" s="377">
        <f>1429*(8.17*7.5)/(4*8)</f>
        <v>2736.3117187499997</v>
      </c>
      <c r="P689" s="197">
        <f t="shared" ref="P689:P707" si="504">O689*I689</f>
        <v>2736.3117187499997</v>
      </c>
      <c r="Q689" s="198">
        <f t="shared" ref="Q689:Q707" si="505">P689+N689</f>
        <v>3176.2777699999997</v>
      </c>
      <c r="R689" s="199"/>
      <c r="X689" s="257"/>
    </row>
    <row r="690" spans="1:24" s="12" customFormat="1" x14ac:dyDescent="0.2">
      <c r="A690" s="367">
        <f>IF(J690&lt;&gt;"",1+MAX($A$18:A689),"")</f>
        <v>485</v>
      </c>
      <c r="B690" s="394" t="s">
        <v>686</v>
      </c>
      <c r="C690" s="394" t="s">
        <v>686</v>
      </c>
      <c r="D690" s="368" t="s">
        <v>53</v>
      </c>
      <c r="E690" s="255" t="s">
        <v>155</v>
      </c>
      <c r="F690" s="380" t="s">
        <v>687</v>
      </c>
      <c r="G690" s="366">
        <v>1</v>
      </c>
      <c r="H690" s="205">
        <f>IF(VLOOKUP(J690,'HOURLY RATES'!B$116:C$124,2,0)=0,$J$3,VLOOKUP(J690,'HOURLY RATES'!B$116:C$124,2,0))</f>
        <v>0</v>
      </c>
      <c r="I690" s="317">
        <f t="shared" si="501"/>
        <v>1</v>
      </c>
      <c r="J690" s="192" t="s">
        <v>16</v>
      </c>
      <c r="K690" s="382">
        <v>5.242</v>
      </c>
      <c r="L690" s="228">
        <f t="shared" si="502"/>
        <v>5.242</v>
      </c>
      <c r="M690" s="194">
        <f>IF(VLOOKUP(E690,'HOURLY RATES'!C$6:D$105,2,0)=0,$E$3,VLOOKUP(E690,'HOURLY RATES'!C$6:D$105,2,0))</f>
        <v>69.559850000000012</v>
      </c>
      <c r="N690" s="206">
        <f t="shared" si="503"/>
        <v>364.63273370000007</v>
      </c>
      <c r="O690" s="377">
        <f>1100*(78*84)/(48*84)</f>
        <v>1787.5</v>
      </c>
      <c r="P690" s="197">
        <f t="shared" si="504"/>
        <v>1787.5</v>
      </c>
      <c r="Q690" s="198">
        <f t="shared" si="505"/>
        <v>2152.1327337000002</v>
      </c>
      <c r="R690" s="199"/>
      <c r="X690" s="257"/>
    </row>
    <row r="691" spans="1:24" s="12" customFormat="1" x14ac:dyDescent="0.2">
      <c r="A691" s="367">
        <f>IF(J691&lt;&gt;"",1+MAX($A$18:A690),"")</f>
        <v>486</v>
      </c>
      <c r="B691" s="394" t="s">
        <v>686</v>
      </c>
      <c r="C691" s="394" t="s">
        <v>686</v>
      </c>
      <c r="D691" s="368" t="s">
        <v>53</v>
      </c>
      <c r="E691" s="255" t="s">
        <v>155</v>
      </c>
      <c r="F691" s="380" t="s">
        <v>688</v>
      </c>
      <c r="G691" s="366">
        <v>1</v>
      </c>
      <c r="H691" s="205">
        <f>IF(VLOOKUP(J691,'HOURLY RATES'!B$116:C$124,2,0)=0,$J$3,VLOOKUP(J691,'HOURLY RATES'!B$116:C$124,2,0))</f>
        <v>0</v>
      </c>
      <c r="I691" s="317">
        <f t="shared" si="501"/>
        <v>1</v>
      </c>
      <c r="J691" s="192" t="s">
        <v>16</v>
      </c>
      <c r="K691" s="382">
        <v>3.2410000000000001</v>
      </c>
      <c r="L691" s="228">
        <f t="shared" si="502"/>
        <v>3.2410000000000001</v>
      </c>
      <c r="M691" s="194">
        <f>IF(VLOOKUP(E691,'HOURLY RATES'!C$6:D$105,2,0)=0,$E$3,VLOOKUP(E691,'HOURLY RATES'!C$6:D$105,2,0))</f>
        <v>69.559850000000012</v>
      </c>
      <c r="N691" s="206">
        <f t="shared" si="503"/>
        <v>225.44347385000003</v>
      </c>
      <c r="O691" s="377">
        <f>1100*(84*26)/(48*84)</f>
        <v>595.83333333333337</v>
      </c>
      <c r="P691" s="197">
        <f t="shared" si="504"/>
        <v>595.83333333333337</v>
      </c>
      <c r="Q691" s="198">
        <f t="shared" si="505"/>
        <v>821.2768071833334</v>
      </c>
      <c r="R691" s="199"/>
      <c r="X691" s="257"/>
    </row>
    <row r="692" spans="1:24" s="12" customFormat="1" x14ac:dyDescent="0.2">
      <c r="A692" s="367">
        <f>IF(J692&lt;&gt;"",1+MAX($A$18:A691),"")</f>
        <v>487</v>
      </c>
      <c r="B692" s="394" t="s">
        <v>686</v>
      </c>
      <c r="C692" s="394" t="s">
        <v>686</v>
      </c>
      <c r="D692" s="368" t="s">
        <v>53</v>
      </c>
      <c r="E692" s="255" t="s">
        <v>155</v>
      </c>
      <c r="F692" s="256" t="s">
        <v>689</v>
      </c>
      <c r="G692" s="366">
        <v>1</v>
      </c>
      <c r="H692" s="205">
        <f>IF(VLOOKUP(J692,'HOURLY RATES'!B$116:C$124,2,0)=0,$J$3,VLOOKUP(J692,'HOURLY RATES'!B$116:C$124,2,0))</f>
        <v>0</v>
      </c>
      <c r="I692" s="317">
        <f t="shared" si="501"/>
        <v>1</v>
      </c>
      <c r="J692" s="192" t="s">
        <v>16</v>
      </c>
      <c r="K692" s="382">
        <v>3.5489999999999999</v>
      </c>
      <c r="L692" s="228">
        <f t="shared" si="502"/>
        <v>3.5489999999999999</v>
      </c>
      <c r="M692" s="194">
        <f>IF(VLOOKUP(E692,'HOURLY RATES'!C$6:D$105,2,0)=0,$E$3,VLOOKUP(E692,'HOURLY RATES'!C$6:D$105,2,0))</f>
        <v>69.559850000000012</v>
      </c>
      <c r="N692" s="206">
        <f t="shared" si="503"/>
        <v>246.86790765000003</v>
      </c>
      <c r="O692" s="377">
        <v>890.56</v>
      </c>
      <c r="P692" s="197">
        <f t="shared" si="504"/>
        <v>890.56</v>
      </c>
      <c r="Q692" s="198">
        <f t="shared" si="505"/>
        <v>1137.42790765</v>
      </c>
      <c r="R692" s="199"/>
      <c r="X692" s="257"/>
    </row>
    <row r="693" spans="1:24" s="12" customFormat="1" x14ac:dyDescent="0.2">
      <c r="A693" s="367">
        <f>IF(J693&lt;&gt;"",1+MAX($A$18:A692),"")</f>
        <v>488</v>
      </c>
      <c r="B693" s="394" t="s">
        <v>686</v>
      </c>
      <c r="C693" s="394" t="s">
        <v>686</v>
      </c>
      <c r="D693" s="368" t="s">
        <v>53</v>
      </c>
      <c r="E693" s="255" t="s">
        <v>155</v>
      </c>
      <c r="F693" s="256" t="s">
        <v>690</v>
      </c>
      <c r="G693" s="366">
        <v>1</v>
      </c>
      <c r="H693" s="205">
        <f>IF(VLOOKUP(J693,'HOURLY RATES'!B$116:C$124,2,0)=0,$J$3,VLOOKUP(J693,'HOURLY RATES'!B$116:C$124,2,0))</f>
        <v>0</v>
      </c>
      <c r="I693" s="317">
        <f t="shared" si="501"/>
        <v>1</v>
      </c>
      <c r="J693" s="192" t="s">
        <v>16</v>
      </c>
      <c r="K693" s="382">
        <v>5.3159999999999998</v>
      </c>
      <c r="L693" s="228">
        <f t="shared" si="502"/>
        <v>5.3159999999999998</v>
      </c>
      <c r="M693" s="194">
        <f>IF(VLOOKUP(E693,'HOURLY RATES'!C$6:D$105,2,0)=0,$E$3,VLOOKUP(E693,'HOURLY RATES'!C$6:D$105,2,0))</f>
        <v>69.559850000000012</v>
      </c>
      <c r="N693" s="206">
        <f t="shared" si="503"/>
        <v>369.78016260000004</v>
      </c>
      <c r="O693" s="377">
        <f>1205*(5.25*7.25)/(5*5)</f>
        <v>1834.6125</v>
      </c>
      <c r="P693" s="197">
        <f t="shared" si="504"/>
        <v>1834.6125</v>
      </c>
      <c r="Q693" s="198">
        <f t="shared" si="505"/>
        <v>2204.3926626000002</v>
      </c>
      <c r="R693" s="199"/>
      <c r="X693" s="257"/>
    </row>
    <row r="694" spans="1:24" s="12" customFormat="1" x14ac:dyDescent="0.2">
      <c r="A694" s="367">
        <f>IF(J694&lt;&gt;"",1+MAX($A$18:A693),"")</f>
        <v>489</v>
      </c>
      <c r="B694" s="394" t="s">
        <v>686</v>
      </c>
      <c r="C694" s="394" t="s">
        <v>686</v>
      </c>
      <c r="D694" s="368" t="s">
        <v>53</v>
      </c>
      <c r="E694" s="255" t="s">
        <v>155</v>
      </c>
      <c r="F694" s="256" t="s">
        <v>691</v>
      </c>
      <c r="G694" s="366">
        <v>1</v>
      </c>
      <c r="H694" s="205">
        <f>IF(VLOOKUP(J694,'HOURLY RATES'!B$116:C$124,2,0)=0,$J$3,VLOOKUP(J694,'HOURLY RATES'!B$116:C$124,2,0))</f>
        <v>0</v>
      </c>
      <c r="I694" s="317">
        <f t="shared" si="501"/>
        <v>1</v>
      </c>
      <c r="J694" s="192" t="s">
        <v>16</v>
      </c>
      <c r="K694" s="382">
        <v>8.2159999999999993</v>
      </c>
      <c r="L694" s="228">
        <f t="shared" si="502"/>
        <v>8.2159999999999993</v>
      </c>
      <c r="M694" s="194">
        <f>IF(VLOOKUP(E694,'HOURLY RATES'!C$6:D$105,2,0)=0,$E$3,VLOOKUP(E694,'HOURLY RATES'!C$6:D$105,2,0))</f>
        <v>69.559850000000012</v>
      </c>
      <c r="N694" s="206">
        <f t="shared" si="503"/>
        <v>571.50372760000005</v>
      </c>
      <c r="O694" s="377">
        <f>1205*(11.25*7.5)/(5*5)</f>
        <v>4066.875</v>
      </c>
      <c r="P694" s="197">
        <f t="shared" si="504"/>
        <v>4066.875</v>
      </c>
      <c r="Q694" s="198">
        <f t="shared" si="505"/>
        <v>4638.3787276000003</v>
      </c>
      <c r="R694" s="199"/>
      <c r="X694" s="257"/>
    </row>
    <row r="695" spans="1:24" s="12" customFormat="1" x14ac:dyDescent="0.2">
      <c r="A695" s="367">
        <f>IF(J695&lt;&gt;"",1+MAX($A$18:A694),"")</f>
        <v>490</v>
      </c>
      <c r="B695" s="394" t="s">
        <v>686</v>
      </c>
      <c r="C695" s="394" t="s">
        <v>686</v>
      </c>
      <c r="D695" s="368" t="s">
        <v>53</v>
      </c>
      <c r="E695" s="255" t="s">
        <v>155</v>
      </c>
      <c r="F695" s="256" t="s">
        <v>750</v>
      </c>
      <c r="G695" s="366">
        <v>1</v>
      </c>
      <c r="H695" s="205">
        <f>IF(VLOOKUP(J695,'HOURLY RATES'!B$116:C$124,2,0)=0,$J$3,VLOOKUP(J695,'HOURLY RATES'!B$116:C$124,2,0))</f>
        <v>0</v>
      </c>
      <c r="I695" s="317">
        <f t="shared" si="501"/>
        <v>1</v>
      </c>
      <c r="J695" s="192" t="s">
        <v>16</v>
      </c>
      <c r="K695" s="382">
        <v>2.988</v>
      </c>
      <c r="L695" s="228">
        <f t="shared" si="502"/>
        <v>2.988</v>
      </c>
      <c r="M695" s="194">
        <f>IF(VLOOKUP(E695,'HOURLY RATES'!C$6:D$105,2,0)=0,$E$3,VLOOKUP(E695,'HOURLY RATES'!C$6:D$105,2,0))</f>
        <v>69.559850000000012</v>
      </c>
      <c r="N695" s="206">
        <f t="shared" si="503"/>
        <v>207.84483180000004</v>
      </c>
      <c r="O695" s="377">
        <f>1205*(6.75*1.5)/(5*5)</f>
        <v>488.02499999999998</v>
      </c>
      <c r="P695" s="197">
        <f t="shared" si="504"/>
        <v>488.02499999999998</v>
      </c>
      <c r="Q695" s="198">
        <f t="shared" si="505"/>
        <v>695.86983180000004</v>
      </c>
      <c r="R695" s="199"/>
      <c r="X695" s="257"/>
    </row>
    <row r="696" spans="1:24" s="12" customFormat="1" x14ac:dyDescent="0.2">
      <c r="A696" s="367">
        <f>IF(J696&lt;&gt;"",1+MAX($A$18:A695),"")</f>
        <v>491</v>
      </c>
      <c r="B696" s="394" t="s">
        <v>686</v>
      </c>
      <c r="C696" s="394" t="s">
        <v>686</v>
      </c>
      <c r="D696" s="368" t="s">
        <v>53</v>
      </c>
      <c r="E696" s="255" t="s">
        <v>155</v>
      </c>
      <c r="F696" s="380" t="s">
        <v>692</v>
      </c>
      <c r="G696" s="366">
        <v>1</v>
      </c>
      <c r="H696" s="205">
        <f>IF(VLOOKUP(J696,'HOURLY RATES'!B$116:C$124,2,0)=0,$J$3,VLOOKUP(J696,'HOURLY RATES'!B$116:C$124,2,0))</f>
        <v>0</v>
      </c>
      <c r="I696" s="317">
        <f t="shared" si="501"/>
        <v>1</v>
      </c>
      <c r="J696" s="192" t="s">
        <v>16</v>
      </c>
      <c r="K696" s="382">
        <v>5.3280000000000003</v>
      </c>
      <c r="L696" s="228">
        <f t="shared" si="502"/>
        <v>5.3280000000000003</v>
      </c>
      <c r="M696" s="194">
        <f>IF(VLOOKUP(E696,'HOURLY RATES'!C$6:D$105,2,0)=0,$E$3,VLOOKUP(E696,'HOURLY RATES'!C$6:D$105,2,0))</f>
        <v>69.559850000000012</v>
      </c>
      <c r="N696" s="206">
        <f t="shared" si="503"/>
        <v>370.61488080000009</v>
      </c>
      <c r="O696" s="377">
        <v>1869.12</v>
      </c>
      <c r="P696" s="197">
        <f t="shared" si="504"/>
        <v>1869.12</v>
      </c>
      <c r="Q696" s="198">
        <f t="shared" si="505"/>
        <v>2239.7348808000002</v>
      </c>
      <c r="R696" s="199"/>
      <c r="X696" s="257"/>
    </row>
    <row r="697" spans="1:24" s="12" customFormat="1" x14ac:dyDescent="0.2">
      <c r="A697" s="367">
        <f>IF(J697&lt;&gt;"",1+MAX($A$18:A696),"")</f>
        <v>492</v>
      </c>
      <c r="B697" s="394" t="s">
        <v>686</v>
      </c>
      <c r="C697" s="394" t="s">
        <v>686</v>
      </c>
      <c r="D697" s="368" t="s">
        <v>53</v>
      </c>
      <c r="E697" s="255" t="s">
        <v>155</v>
      </c>
      <c r="F697" s="380" t="s">
        <v>762</v>
      </c>
      <c r="G697" s="366">
        <v>1</v>
      </c>
      <c r="H697" s="205">
        <f>IF(VLOOKUP(J697,'HOURLY RATES'!B$116:C$124,2,0)=0,$J$3,VLOOKUP(J697,'HOURLY RATES'!B$116:C$124,2,0))</f>
        <v>0</v>
      </c>
      <c r="I697" s="317">
        <f t="shared" si="501"/>
        <v>1</v>
      </c>
      <c r="J697" s="192" t="s">
        <v>16</v>
      </c>
      <c r="K697" s="382">
        <v>1.1080000000000001</v>
      </c>
      <c r="L697" s="228">
        <f t="shared" si="502"/>
        <v>1.1080000000000001</v>
      </c>
      <c r="M697" s="194">
        <f>IF(VLOOKUP(E697,'HOURLY RATES'!C$6:D$105,2,0)=0,$E$3,VLOOKUP(E697,'HOURLY RATES'!C$6:D$105,2,0))</f>
        <v>69.559850000000012</v>
      </c>
      <c r="N697" s="206">
        <f t="shared" si="503"/>
        <v>77.072313800000018</v>
      </c>
      <c r="O697" s="377">
        <f>25*(1.67*1.67)/(0.73*1.02)</f>
        <v>93.637523502551701</v>
      </c>
      <c r="P697" s="197">
        <f t="shared" si="504"/>
        <v>93.637523502551701</v>
      </c>
      <c r="Q697" s="198">
        <f t="shared" si="505"/>
        <v>170.7098373025517</v>
      </c>
      <c r="R697" s="199"/>
      <c r="X697" s="257"/>
    </row>
    <row r="698" spans="1:24" s="12" customFormat="1" x14ac:dyDescent="0.2">
      <c r="A698" s="367">
        <f>IF(J698&lt;&gt;"",1+MAX($A$18:A697),"")</f>
        <v>493</v>
      </c>
      <c r="B698" s="394" t="s">
        <v>686</v>
      </c>
      <c r="C698" s="394" t="s">
        <v>686</v>
      </c>
      <c r="D698" s="368" t="s">
        <v>53</v>
      </c>
      <c r="E698" s="255" t="s">
        <v>155</v>
      </c>
      <c r="F698" s="380" t="s">
        <v>763</v>
      </c>
      <c r="G698" s="366">
        <v>1</v>
      </c>
      <c r="H698" s="205">
        <f>IF(VLOOKUP(J698,'HOURLY RATES'!B$116:C$124,2,0)=0,$J$3,VLOOKUP(J698,'HOURLY RATES'!B$116:C$124,2,0))</f>
        <v>0</v>
      </c>
      <c r="I698" s="317">
        <f t="shared" si="501"/>
        <v>1</v>
      </c>
      <c r="J698" s="192" t="s">
        <v>16</v>
      </c>
      <c r="K698" s="382">
        <v>1.2130000000000001</v>
      </c>
      <c r="L698" s="228">
        <f t="shared" si="502"/>
        <v>1.2130000000000001</v>
      </c>
      <c r="M698" s="194">
        <f>IF(VLOOKUP(E698,'HOURLY RATES'!C$6:D$105,2,0)=0,$E$3,VLOOKUP(E698,'HOURLY RATES'!C$6:D$105,2,0))</f>
        <v>69.559850000000012</v>
      </c>
      <c r="N698" s="206">
        <f t="shared" si="503"/>
        <v>84.376098050000024</v>
      </c>
      <c r="O698" s="377">
        <f>1100*(45*12)/(48*84)</f>
        <v>147.32142857142858</v>
      </c>
      <c r="P698" s="197">
        <f t="shared" si="504"/>
        <v>147.32142857142858</v>
      </c>
      <c r="Q698" s="198">
        <f t="shared" si="505"/>
        <v>231.69752662142861</v>
      </c>
      <c r="R698" s="199"/>
      <c r="X698" s="257"/>
    </row>
    <row r="699" spans="1:24" s="12" customFormat="1" x14ac:dyDescent="0.2">
      <c r="A699" s="367">
        <f>IF(J699&lt;&gt;"",1+MAX($A$18:A698),"")</f>
        <v>494</v>
      </c>
      <c r="B699" s="394" t="s">
        <v>686</v>
      </c>
      <c r="C699" s="394" t="s">
        <v>686</v>
      </c>
      <c r="D699" s="368" t="s">
        <v>53</v>
      </c>
      <c r="E699" s="255" t="s">
        <v>155</v>
      </c>
      <c r="F699" s="256" t="s">
        <v>751</v>
      </c>
      <c r="G699" s="366">
        <v>1</v>
      </c>
      <c r="H699" s="205">
        <f>IF(VLOOKUP(J699,'HOURLY RATES'!B$116:C$124,2,0)=0,$J$3,VLOOKUP(J699,'HOURLY RATES'!B$116:C$124,2,0))</f>
        <v>0</v>
      </c>
      <c r="I699" s="317">
        <f t="shared" si="501"/>
        <v>1</v>
      </c>
      <c r="J699" s="192" t="s">
        <v>16</v>
      </c>
      <c r="K699" s="382">
        <v>5.4059999999999997</v>
      </c>
      <c r="L699" s="228">
        <f t="shared" si="502"/>
        <v>5.4059999999999997</v>
      </c>
      <c r="M699" s="194">
        <f>IF(VLOOKUP(E699,'HOURLY RATES'!C$6:D$105,2,0)=0,$E$3,VLOOKUP(E699,'HOURLY RATES'!C$6:D$105,2,0))</f>
        <v>69.559850000000012</v>
      </c>
      <c r="N699" s="206">
        <f t="shared" si="503"/>
        <v>376.04054910000002</v>
      </c>
      <c r="O699" s="377">
        <f>1100*(96*72)/(48*84)</f>
        <v>1885.7142857142858</v>
      </c>
      <c r="P699" s="197">
        <f t="shared" si="504"/>
        <v>1885.7142857142858</v>
      </c>
      <c r="Q699" s="198">
        <f t="shared" si="505"/>
        <v>2261.7548348142859</v>
      </c>
      <c r="R699" s="199"/>
      <c r="X699" s="257"/>
    </row>
    <row r="700" spans="1:24" s="12" customFormat="1" x14ac:dyDescent="0.2">
      <c r="A700" s="367">
        <f>IF(J700&lt;&gt;"",1+MAX($A$18:A699),"")</f>
        <v>495</v>
      </c>
      <c r="B700" s="394" t="s">
        <v>686</v>
      </c>
      <c r="C700" s="394" t="s">
        <v>686</v>
      </c>
      <c r="D700" s="368" t="s">
        <v>53</v>
      </c>
      <c r="E700" s="255" t="s">
        <v>155</v>
      </c>
      <c r="F700" s="256" t="s">
        <v>766</v>
      </c>
      <c r="G700" s="366">
        <v>1</v>
      </c>
      <c r="H700" s="205">
        <f>IF(VLOOKUP(J700,'HOURLY RATES'!B$116:C$124,2,0)=0,$J$3,VLOOKUP(J700,'HOURLY RATES'!B$116:C$124,2,0))</f>
        <v>0</v>
      </c>
      <c r="I700" s="317">
        <f t="shared" ref="I700:I701" si="506">(G700*(1+H700))</f>
        <v>1</v>
      </c>
      <c r="J700" s="192" t="s">
        <v>16</v>
      </c>
      <c r="K700" s="382">
        <v>3.42</v>
      </c>
      <c r="L700" s="228">
        <f t="shared" ref="L700:L701" si="507">K700*I700</f>
        <v>3.42</v>
      </c>
      <c r="M700" s="194">
        <f>IF(VLOOKUP(E700,'HOURLY RATES'!C$6:D$105,2,0)=0,$E$3,VLOOKUP(E700,'HOURLY RATES'!C$6:D$105,2,0))</f>
        <v>69.559850000000012</v>
      </c>
      <c r="N700" s="206">
        <f t="shared" ref="N700:N701" si="508">M700*L700</f>
        <v>237.89468700000003</v>
      </c>
      <c r="O700" s="377">
        <f>(6*1+11/12)*120.3</f>
        <v>832.07500000000005</v>
      </c>
      <c r="P700" s="197">
        <f t="shared" ref="P700:P701" si="509">O700*I700</f>
        <v>832.07500000000005</v>
      </c>
      <c r="Q700" s="198">
        <f t="shared" ref="Q700:Q701" si="510">P700+N700</f>
        <v>1069.969687</v>
      </c>
      <c r="R700" s="199"/>
      <c r="X700" s="257"/>
    </row>
    <row r="701" spans="1:24" s="12" customFormat="1" x14ac:dyDescent="0.2">
      <c r="A701" s="367">
        <f>IF(J701&lt;&gt;"",1+MAX($A$18:A700),"")</f>
        <v>496</v>
      </c>
      <c r="B701" s="394" t="s">
        <v>686</v>
      </c>
      <c r="C701" s="394" t="s">
        <v>686</v>
      </c>
      <c r="D701" s="368" t="s">
        <v>53</v>
      </c>
      <c r="E701" s="255" t="s">
        <v>155</v>
      </c>
      <c r="F701" s="256" t="s">
        <v>767</v>
      </c>
      <c r="G701" s="366">
        <v>1</v>
      </c>
      <c r="H701" s="205">
        <f>IF(VLOOKUP(J701,'HOURLY RATES'!B$116:C$124,2,0)=0,$J$3,VLOOKUP(J701,'HOURLY RATES'!B$116:C$124,2,0))</f>
        <v>0</v>
      </c>
      <c r="I701" s="317">
        <f t="shared" si="506"/>
        <v>1</v>
      </c>
      <c r="J701" s="192" t="s">
        <v>16</v>
      </c>
      <c r="K701" s="382">
        <v>3.31</v>
      </c>
      <c r="L701" s="228">
        <f t="shared" si="507"/>
        <v>3.31</v>
      </c>
      <c r="M701" s="194">
        <f>IF(VLOOKUP(E701,'HOURLY RATES'!C$6:D$105,2,0)=0,$E$3,VLOOKUP(E701,'HOURLY RATES'!C$6:D$105,2,0))</f>
        <v>69.559850000000012</v>
      </c>
      <c r="N701" s="206">
        <f t="shared" si="508"/>
        <v>230.24310350000005</v>
      </c>
      <c r="O701" s="377">
        <f>5.25*1.25*120.3</f>
        <v>789.46875</v>
      </c>
      <c r="P701" s="197">
        <f t="shared" si="509"/>
        <v>789.46875</v>
      </c>
      <c r="Q701" s="198">
        <f t="shared" si="510"/>
        <v>1019.7118535000001</v>
      </c>
      <c r="R701" s="199"/>
      <c r="X701" s="257"/>
    </row>
    <row r="702" spans="1:24" s="12" customFormat="1" x14ac:dyDescent="0.2">
      <c r="A702" s="367">
        <f>IF(J702&lt;&gt;"",1+MAX($A$18:A701),"")</f>
        <v>497</v>
      </c>
      <c r="B702" s="394" t="s">
        <v>686</v>
      </c>
      <c r="C702" s="394" t="s">
        <v>686</v>
      </c>
      <c r="D702" s="368" t="s">
        <v>53</v>
      </c>
      <c r="E702" s="255" t="s">
        <v>155</v>
      </c>
      <c r="F702" s="256" t="s">
        <v>693</v>
      </c>
      <c r="G702" s="366">
        <v>1</v>
      </c>
      <c r="H702" s="205">
        <f>IF(VLOOKUP(J702,'HOURLY RATES'!B$116:C$124,2,0)=0,$J$3,VLOOKUP(J702,'HOURLY RATES'!B$116:C$124,2,0))</f>
        <v>0</v>
      </c>
      <c r="I702" s="317">
        <f t="shared" si="501"/>
        <v>1</v>
      </c>
      <c r="J702" s="192" t="s">
        <v>16</v>
      </c>
      <c r="K702" s="382">
        <v>0.92500000000000004</v>
      </c>
      <c r="L702" s="228">
        <f t="shared" si="502"/>
        <v>0.92500000000000004</v>
      </c>
      <c r="M702" s="194">
        <f>IF(VLOOKUP(E702,'HOURLY RATES'!C$6:D$105,2,0)=0,$E$3,VLOOKUP(E702,'HOURLY RATES'!C$6:D$105,2,0))</f>
        <v>69.559850000000012</v>
      </c>
      <c r="N702" s="206">
        <f t="shared" si="503"/>
        <v>64.342861250000013</v>
      </c>
      <c r="O702" s="377">
        <v>80</v>
      </c>
      <c r="P702" s="197">
        <f t="shared" si="504"/>
        <v>80</v>
      </c>
      <c r="Q702" s="198">
        <f t="shared" si="505"/>
        <v>144.34286125</v>
      </c>
      <c r="R702" s="199"/>
      <c r="X702" s="257"/>
    </row>
    <row r="703" spans="1:24" s="12" customFormat="1" x14ac:dyDescent="0.2">
      <c r="A703" s="367">
        <f>IF(J703&lt;&gt;"",1+MAX($A$18:A702),"")</f>
        <v>498</v>
      </c>
      <c r="B703" s="394" t="s">
        <v>686</v>
      </c>
      <c r="C703" s="394" t="s">
        <v>686</v>
      </c>
      <c r="D703" s="368" t="s">
        <v>53</v>
      </c>
      <c r="E703" s="255" t="s">
        <v>155</v>
      </c>
      <c r="F703" s="256" t="s">
        <v>694</v>
      </c>
      <c r="G703" s="366">
        <v>1</v>
      </c>
      <c r="H703" s="205">
        <f>IF(VLOOKUP(J703,'HOURLY RATES'!B$116:C$124,2,0)=0,$J$3,VLOOKUP(J703,'HOURLY RATES'!B$116:C$124,2,0))</f>
        <v>0</v>
      </c>
      <c r="I703" s="317">
        <f t="shared" si="501"/>
        <v>1</v>
      </c>
      <c r="J703" s="192" t="s">
        <v>16</v>
      </c>
      <c r="K703" s="382">
        <v>0.92500000000000004</v>
      </c>
      <c r="L703" s="228">
        <f t="shared" si="502"/>
        <v>0.92500000000000004</v>
      </c>
      <c r="M703" s="194">
        <f>IF(VLOOKUP(E703,'HOURLY RATES'!C$6:D$105,2,0)=0,$E$3,VLOOKUP(E703,'HOURLY RATES'!C$6:D$105,2,0))</f>
        <v>69.559850000000012</v>
      </c>
      <c r="N703" s="206">
        <f t="shared" si="503"/>
        <v>64.342861250000013</v>
      </c>
      <c r="O703" s="377">
        <v>80</v>
      </c>
      <c r="P703" s="197">
        <f t="shared" si="504"/>
        <v>80</v>
      </c>
      <c r="Q703" s="198">
        <f t="shared" si="505"/>
        <v>144.34286125</v>
      </c>
      <c r="R703" s="199"/>
      <c r="X703" s="257"/>
    </row>
    <row r="704" spans="1:24" s="12" customFormat="1" x14ac:dyDescent="0.2">
      <c r="A704" s="367">
        <f>IF(J704&lt;&gt;"",1+MAX($A$18:A703),"")</f>
        <v>499</v>
      </c>
      <c r="B704" s="394" t="s">
        <v>686</v>
      </c>
      <c r="C704" s="394" t="s">
        <v>686</v>
      </c>
      <c r="D704" s="368" t="s">
        <v>53</v>
      </c>
      <c r="E704" s="255" t="s">
        <v>155</v>
      </c>
      <c r="F704" s="256" t="s">
        <v>695</v>
      </c>
      <c r="G704" s="366">
        <v>1</v>
      </c>
      <c r="H704" s="205">
        <f>IF(VLOOKUP(J704,'HOURLY RATES'!B$116:C$124,2,0)=0,$J$3,VLOOKUP(J704,'HOURLY RATES'!B$116:C$124,2,0))</f>
        <v>0</v>
      </c>
      <c r="I704" s="317">
        <f t="shared" si="501"/>
        <v>1</v>
      </c>
      <c r="J704" s="192" t="s">
        <v>16</v>
      </c>
      <c r="K704" s="382">
        <v>0.92500000000000004</v>
      </c>
      <c r="L704" s="228">
        <f t="shared" si="502"/>
        <v>0.92500000000000004</v>
      </c>
      <c r="M704" s="194">
        <f>IF(VLOOKUP(E704,'HOURLY RATES'!C$6:D$105,2,0)=0,$E$3,VLOOKUP(E704,'HOURLY RATES'!C$6:D$105,2,0))</f>
        <v>69.559850000000012</v>
      </c>
      <c r="N704" s="206">
        <f t="shared" si="503"/>
        <v>64.342861250000013</v>
      </c>
      <c r="O704" s="377">
        <v>80</v>
      </c>
      <c r="P704" s="197">
        <f t="shared" si="504"/>
        <v>80</v>
      </c>
      <c r="Q704" s="198">
        <f t="shared" si="505"/>
        <v>144.34286125</v>
      </c>
      <c r="R704" s="199"/>
      <c r="X704" s="257"/>
    </row>
    <row r="705" spans="1:24" s="12" customFormat="1" x14ac:dyDescent="0.2">
      <c r="A705" s="367">
        <f>IF(J705&lt;&gt;"",1+MAX($A$18:A704),"")</f>
        <v>500</v>
      </c>
      <c r="B705" s="394" t="s">
        <v>686</v>
      </c>
      <c r="C705" s="394" t="s">
        <v>686</v>
      </c>
      <c r="D705" s="368" t="s">
        <v>53</v>
      </c>
      <c r="E705" s="255" t="s">
        <v>155</v>
      </c>
      <c r="F705" s="256" t="s">
        <v>696</v>
      </c>
      <c r="G705" s="366">
        <v>1</v>
      </c>
      <c r="H705" s="205">
        <f>IF(VLOOKUP(J705,'HOURLY RATES'!B$116:C$124,2,0)=0,$J$3,VLOOKUP(J705,'HOURLY RATES'!B$116:C$124,2,0))</f>
        <v>0</v>
      </c>
      <c r="I705" s="317">
        <f t="shared" si="501"/>
        <v>1</v>
      </c>
      <c r="J705" s="192" t="s">
        <v>16</v>
      </c>
      <c r="K705" s="382">
        <v>0.92500000000000004</v>
      </c>
      <c r="L705" s="228">
        <f t="shared" si="502"/>
        <v>0.92500000000000004</v>
      </c>
      <c r="M705" s="194">
        <f>IF(VLOOKUP(E705,'HOURLY RATES'!C$6:D$105,2,0)=0,$E$3,VLOOKUP(E705,'HOURLY RATES'!C$6:D$105,2,0))</f>
        <v>69.559850000000012</v>
      </c>
      <c r="N705" s="206">
        <f t="shared" si="503"/>
        <v>64.342861250000013</v>
      </c>
      <c r="O705" s="377">
        <v>80</v>
      </c>
      <c r="P705" s="197">
        <f t="shared" si="504"/>
        <v>80</v>
      </c>
      <c r="Q705" s="198">
        <f t="shared" si="505"/>
        <v>144.34286125</v>
      </c>
      <c r="R705" s="199"/>
      <c r="X705" s="257"/>
    </row>
    <row r="706" spans="1:24" s="12" customFormat="1" x14ac:dyDescent="0.2">
      <c r="A706" s="367">
        <f>IF(J706&lt;&gt;"",1+MAX($A$18:A705),"")</f>
        <v>501</v>
      </c>
      <c r="B706" s="394" t="s">
        <v>686</v>
      </c>
      <c r="C706" s="394" t="s">
        <v>686</v>
      </c>
      <c r="D706" s="368" t="s">
        <v>53</v>
      </c>
      <c r="E706" s="255" t="s">
        <v>155</v>
      </c>
      <c r="F706" s="256" t="s">
        <v>697</v>
      </c>
      <c r="G706" s="366">
        <v>1</v>
      </c>
      <c r="H706" s="205">
        <f>IF(VLOOKUP(J706,'HOURLY RATES'!B$116:C$124,2,0)=0,$J$3,VLOOKUP(J706,'HOURLY RATES'!B$116:C$124,2,0))</f>
        <v>0</v>
      </c>
      <c r="I706" s="317">
        <f t="shared" si="501"/>
        <v>1</v>
      </c>
      <c r="J706" s="192" t="s">
        <v>16</v>
      </c>
      <c r="K706" s="382">
        <v>0.92500000000000004</v>
      </c>
      <c r="L706" s="228">
        <f t="shared" si="502"/>
        <v>0.92500000000000004</v>
      </c>
      <c r="M706" s="194">
        <f>IF(VLOOKUP(E706,'HOURLY RATES'!C$6:D$105,2,0)=0,$E$3,VLOOKUP(E706,'HOURLY RATES'!C$6:D$105,2,0))</f>
        <v>69.559850000000012</v>
      </c>
      <c r="N706" s="206">
        <f t="shared" si="503"/>
        <v>64.342861250000013</v>
      </c>
      <c r="O706" s="377">
        <v>80</v>
      </c>
      <c r="P706" s="197">
        <f t="shared" si="504"/>
        <v>80</v>
      </c>
      <c r="Q706" s="198">
        <f t="shared" si="505"/>
        <v>144.34286125</v>
      </c>
      <c r="R706" s="199"/>
      <c r="X706" s="257"/>
    </row>
    <row r="707" spans="1:24" s="12" customFormat="1" x14ac:dyDescent="0.2">
      <c r="A707" s="367">
        <f>IF(J707&lt;&gt;"",1+MAX($A$18:A706),"")</f>
        <v>502</v>
      </c>
      <c r="B707" s="394" t="s">
        <v>686</v>
      </c>
      <c r="C707" s="394" t="s">
        <v>686</v>
      </c>
      <c r="D707" s="368" t="s">
        <v>53</v>
      </c>
      <c r="E707" s="255" t="s">
        <v>155</v>
      </c>
      <c r="F707" s="256" t="s">
        <v>698</v>
      </c>
      <c r="G707" s="366">
        <v>1</v>
      </c>
      <c r="H707" s="205">
        <f>IF(VLOOKUP(J707,'HOURLY RATES'!B$116:C$124,2,0)=0,$J$3,VLOOKUP(J707,'HOURLY RATES'!B$116:C$124,2,0))</f>
        <v>0</v>
      </c>
      <c r="I707" s="317">
        <f t="shared" si="501"/>
        <v>1</v>
      </c>
      <c r="J707" s="192" t="s">
        <v>16</v>
      </c>
      <c r="K707" s="382">
        <v>0.92500000000000004</v>
      </c>
      <c r="L707" s="228">
        <f t="shared" si="502"/>
        <v>0.92500000000000004</v>
      </c>
      <c r="M707" s="194">
        <f>IF(VLOOKUP(E707,'HOURLY RATES'!C$6:D$105,2,0)=0,$E$3,VLOOKUP(E707,'HOURLY RATES'!C$6:D$105,2,0))</f>
        <v>69.559850000000012</v>
      </c>
      <c r="N707" s="206">
        <f t="shared" si="503"/>
        <v>64.342861250000013</v>
      </c>
      <c r="O707" s="377">
        <v>80</v>
      </c>
      <c r="P707" s="197">
        <f t="shared" si="504"/>
        <v>80</v>
      </c>
      <c r="Q707" s="198">
        <f t="shared" si="505"/>
        <v>144.34286125</v>
      </c>
      <c r="R707" s="199"/>
      <c r="X707" s="257"/>
    </row>
    <row r="708" spans="1:24" s="12" customFormat="1" x14ac:dyDescent="0.2">
      <c r="A708" s="367">
        <f>IF(J708&lt;&gt;"",1+MAX($A$18:A707),"")</f>
        <v>503</v>
      </c>
      <c r="B708" s="368" t="s">
        <v>600</v>
      </c>
      <c r="C708" s="368" t="s">
        <v>600</v>
      </c>
      <c r="D708" s="368" t="s">
        <v>53</v>
      </c>
      <c r="E708" s="255" t="s">
        <v>155</v>
      </c>
      <c r="F708" s="380" t="s">
        <v>616</v>
      </c>
      <c r="G708" s="366">
        <v>1</v>
      </c>
      <c r="H708" s="205">
        <f>IF(VLOOKUP(J708,'HOURLY RATES'!B$116:C$124,2,0)=0,$J$3,VLOOKUP(J708,'HOURLY RATES'!B$116:C$124,2,0))</f>
        <v>0</v>
      </c>
      <c r="I708" s="317">
        <f>(G708*(1+H708))</f>
        <v>1</v>
      </c>
      <c r="J708" s="192" t="s">
        <v>16</v>
      </c>
      <c r="K708" s="382">
        <v>1.458</v>
      </c>
      <c r="L708" s="228">
        <f>K708*I708</f>
        <v>1.458</v>
      </c>
      <c r="M708" s="194">
        <f>IF(VLOOKUP(E708,'HOURLY RATES'!C$6:D$105,2,0)=0,$E$3,VLOOKUP(E708,'HOURLY RATES'!C$6:D$105,2,0))</f>
        <v>69.559850000000012</v>
      </c>
      <c r="N708" s="206">
        <f>M708*L708</f>
        <v>101.41826130000001</v>
      </c>
      <c r="O708" s="377">
        <f>450.51*36/31</f>
        <v>523.17290322580652</v>
      </c>
      <c r="P708" s="197">
        <f>O708*I708</f>
        <v>523.17290322580652</v>
      </c>
      <c r="Q708" s="198">
        <f>P708+N708</f>
        <v>624.59116452580656</v>
      </c>
      <c r="R708" s="199"/>
      <c r="X708" s="257"/>
    </row>
    <row r="709" spans="1:24" s="12" customFormat="1" x14ac:dyDescent="0.2">
      <c r="A709" s="367">
        <f>IF(J709&lt;&gt;"",1+MAX($A$18:A708),"")</f>
        <v>504</v>
      </c>
      <c r="B709" s="394" t="s">
        <v>600</v>
      </c>
      <c r="C709" s="394" t="s">
        <v>600</v>
      </c>
      <c r="D709" s="368" t="s">
        <v>53</v>
      </c>
      <c r="E709" s="255" t="s">
        <v>155</v>
      </c>
      <c r="F709" s="256" t="s">
        <v>768</v>
      </c>
      <c r="G709" s="366">
        <v>53</v>
      </c>
      <c r="H709" s="205">
        <f>IF(VLOOKUP(J709,'HOURLY RATES'!B$116:C$124,2,0)=0,$J$3,VLOOKUP(J709,'HOURLY RATES'!B$116:C$124,2,0))</f>
        <v>0</v>
      </c>
      <c r="I709" s="317">
        <f>(G709*(1+H709))</f>
        <v>53</v>
      </c>
      <c r="J709" s="192" t="s">
        <v>16</v>
      </c>
      <c r="K709" s="382">
        <v>0.84</v>
      </c>
      <c r="L709" s="228">
        <f>K709*I709</f>
        <v>44.519999999999996</v>
      </c>
      <c r="M709" s="194">
        <f>IF(VLOOKUP(E709,'HOURLY RATES'!C$6:D$105,2,0)=0,$E$3,VLOOKUP(E709,'HOURLY RATES'!C$6:D$105,2,0))</f>
        <v>69.559850000000012</v>
      </c>
      <c r="N709" s="206">
        <f>M709*L709</f>
        <v>3096.8045220000004</v>
      </c>
      <c r="O709" s="377">
        <v>32.200000000000003</v>
      </c>
      <c r="P709" s="197">
        <f>O709*I709</f>
        <v>1706.6000000000001</v>
      </c>
      <c r="Q709" s="198">
        <f>P709+N709</f>
        <v>4803.4045220000007</v>
      </c>
      <c r="R709" s="199"/>
      <c r="X709" s="257"/>
    </row>
    <row r="710" spans="1:24" s="12" customFormat="1" x14ac:dyDescent="0.2">
      <c r="A710" s="367" t="str">
        <f>IF(J710&lt;&gt;"",1+MAX($A$18:A709),"")</f>
        <v/>
      </c>
      <c r="B710" s="394"/>
      <c r="C710" s="394"/>
      <c r="D710" s="368"/>
      <c r="E710" s="394"/>
      <c r="F710" s="256"/>
      <c r="G710" s="366"/>
      <c r="H710" s="381"/>
      <c r="I710" s="371"/>
      <c r="J710" s="372"/>
      <c r="K710" s="382"/>
      <c r="L710" s="383"/>
      <c r="M710" s="375"/>
      <c r="N710" s="384"/>
      <c r="O710" s="377"/>
      <c r="P710" s="378"/>
      <c r="Q710" s="379"/>
      <c r="R710" s="199"/>
      <c r="X710" s="257"/>
    </row>
    <row r="711" spans="1:24" s="12" customFormat="1" x14ac:dyDescent="0.2">
      <c r="A711" s="367" t="str">
        <f>IF(J711&lt;&gt;"",1+MAX($A$18:A710),"")</f>
        <v/>
      </c>
      <c r="B711" s="368"/>
      <c r="C711" s="368"/>
      <c r="D711" s="368"/>
      <c r="E711" s="394"/>
      <c r="F711" s="369" t="s">
        <v>177</v>
      </c>
      <c r="G711" s="366"/>
      <c r="H711" s="370"/>
      <c r="I711" s="371"/>
      <c r="J711" s="372"/>
      <c r="K711" s="382"/>
      <c r="L711" s="383"/>
      <c r="M711" s="375"/>
      <c r="N711" s="384"/>
      <c r="O711" s="377"/>
      <c r="P711" s="378"/>
      <c r="Q711" s="379"/>
      <c r="R711" s="199"/>
      <c r="X711" s="257"/>
    </row>
    <row r="712" spans="1:24" s="12" customFormat="1" ht="47.25" x14ac:dyDescent="0.2">
      <c r="A712" s="367">
        <f>IF(J712&lt;&gt;"",1+MAX($A$18:A711),"")</f>
        <v>505</v>
      </c>
      <c r="B712" s="394" t="s">
        <v>699</v>
      </c>
      <c r="C712" s="394" t="s">
        <v>699</v>
      </c>
      <c r="D712" s="368" t="s">
        <v>53</v>
      </c>
      <c r="E712" s="255" t="s">
        <v>299</v>
      </c>
      <c r="F712" s="252" t="s">
        <v>779</v>
      </c>
      <c r="G712" s="366">
        <v>7</v>
      </c>
      <c r="H712" s="205">
        <f>IF(VLOOKUP(J712,'HOURLY RATES'!B$116:C$124,2,0)=0,$J$3,VLOOKUP(J712,'HOURLY RATES'!B$116:C$124,2,0))</f>
        <v>0</v>
      </c>
      <c r="I712" s="317">
        <f t="shared" ref="I712:I723" si="511">(G712*(1+H712))</f>
        <v>7</v>
      </c>
      <c r="J712" s="192" t="s">
        <v>16</v>
      </c>
      <c r="K712" s="382">
        <v>0.81499999999999995</v>
      </c>
      <c r="L712" s="228">
        <f t="shared" ref="L712:L723" si="512">K712*I712</f>
        <v>5.7050000000000001</v>
      </c>
      <c r="M712" s="194">
        <f>IF(VLOOKUP(E712,'HOURLY RATES'!C$6:D$105,2,0)=0,$E$3,VLOOKUP(E712,'HOURLY RATES'!C$6:D$105,2,0))</f>
        <v>69.559850000000012</v>
      </c>
      <c r="N712" s="206">
        <f t="shared" ref="N712:N723" si="513">M712*L712</f>
        <v>396.83894425000005</v>
      </c>
      <c r="O712" s="377">
        <v>183.02</v>
      </c>
      <c r="P712" s="197">
        <f t="shared" ref="P712:P723" si="514">O712*I712</f>
        <v>1281.1400000000001</v>
      </c>
      <c r="Q712" s="198">
        <f t="shared" ref="Q712:Q723" si="515">P712+N712</f>
        <v>1677.97894425</v>
      </c>
      <c r="R712" s="199"/>
      <c r="X712" s="257"/>
    </row>
    <row r="713" spans="1:24" s="12" customFormat="1" ht="47.25" x14ac:dyDescent="0.2">
      <c r="A713" s="367">
        <f>IF(J713&lt;&gt;"",1+MAX($A$18:A712),"")</f>
        <v>506</v>
      </c>
      <c r="B713" s="394" t="s">
        <v>699</v>
      </c>
      <c r="C713" s="394" t="s">
        <v>699</v>
      </c>
      <c r="D713" s="368" t="s">
        <v>53</v>
      </c>
      <c r="E713" s="255" t="s">
        <v>299</v>
      </c>
      <c r="F713" s="252" t="s">
        <v>700</v>
      </c>
      <c r="G713" s="366">
        <v>7</v>
      </c>
      <c r="H713" s="205">
        <f>IF(VLOOKUP(J713,'HOURLY RATES'!B$116:C$124,2,0)=0,$J$3,VLOOKUP(J713,'HOURLY RATES'!B$116:C$124,2,0))</f>
        <v>0</v>
      </c>
      <c r="I713" s="317">
        <f t="shared" si="511"/>
        <v>7</v>
      </c>
      <c r="J713" s="192" t="s">
        <v>16</v>
      </c>
      <c r="K713" s="382">
        <v>1.129</v>
      </c>
      <c r="L713" s="228">
        <f t="shared" si="512"/>
        <v>7.9030000000000005</v>
      </c>
      <c r="M713" s="194">
        <f>IF(VLOOKUP(E713,'HOURLY RATES'!C$6:D$105,2,0)=0,$E$3,VLOOKUP(E713,'HOURLY RATES'!C$6:D$105,2,0))</f>
        <v>69.559850000000012</v>
      </c>
      <c r="N713" s="206">
        <f t="shared" si="513"/>
        <v>549.73149455000009</v>
      </c>
      <c r="O713" s="377">
        <v>423.14</v>
      </c>
      <c r="P713" s="197">
        <f t="shared" si="514"/>
        <v>2961.98</v>
      </c>
      <c r="Q713" s="198">
        <f t="shared" si="515"/>
        <v>3511.7114945500002</v>
      </c>
      <c r="R713" s="199"/>
      <c r="X713" s="257"/>
    </row>
    <row r="714" spans="1:24" s="12" customFormat="1" ht="47.25" x14ac:dyDescent="0.2">
      <c r="A714" s="367">
        <f>IF(J714&lt;&gt;"",1+MAX($A$18:A713),"")</f>
        <v>507</v>
      </c>
      <c r="B714" s="394" t="s">
        <v>699</v>
      </c>
      <c r="C714" s="394" t="s">
        <v>699</v>
      </c>
      <c r="D714" s="368" t="s">
        <v>53</v>
      </c>
      <c r="E714" s="255" t="s">
        <v>299</v>
      </c>
      <c r="F714" s="252" t="s">
        <v>701</v>
      </c>
      <c r="G714" s="366">
        <v>7</v>
      </c>
      <c r="H714" s="205">
        <f>IF(VLOOKUP(J714,'HOURLY RATES'!B$116:C$124,2,0)=0,$J$3,VLOOKUP(J714,'HOURLY RATES'!B$116:C$124,2,0))</f>
        <v>0</v>
      </c>
      <c r="I714" s="317">
        <f t="shared" si="511"/>
        <v>7</v>
      </c>
      <c r="J714" s="192" t="s">
        <v>16</v>
      </c>
      <c r="K714" s="382">
        <v>0.501</v>
      </c>
      <c r="L714" s="228">
        <f t="shared" si="512"/>
        <v>3.5070000000000001</v>
      </c>
      <c r="M714" s="194">
        <f>IF(VLOOKUP(E714,'HOURLY RATES'!C$6:D$105,2,0)=0,$E$3,VLOOKUP(E714,'HOURLY RATES'!C$6:D$105,2,0))</f>
        <v>69.559850000000012</v>
      </c>
      <c r="N714" s="206">
        <f t="shared" si="513"/>
        <v>243.94639395000004</v>
      </c>
      <c r="O714" s="377">
        <v>41.23</v>
      </c>
      <c r="P714" s="197">
        <f t="shared" si="514"/>
        <v>288.60999999999996</v>
      </c>
      <c r="Q714" s="198">
        <f t="shared" si="515"/>
        <v>532.55639395000003</v>
      </c>
      <c r="R714" s="199"/>
      <c r="X714" s="257"/>
    </row>
    <row r="715" spans="1:24" s="12" customFormat="1" ht="47.25" x14ac:dyDescent="0.2">
      <c r="A715" s="367">
        <f>IF(J715&lt;&gt;"",1+MAX($A$18:A714),"")</f>
        <v>508</v>
      </c>
      <c r="B715" s="394" t="s">
        <v>699</v>
      </c>
      <c r="C715" s="394" t="s">
        <v>699</v>
      </c>
      <c r="D715" s="368" t="s">
        <v>53</v>
      </c>
      <c r="E715" s="255" t="s">
        <v>299</v>
      </c>
      <c r="F715" s="252" t="s">
        <v>702</v>
      </c>
      <c r="G715" s="366">
        <v>5</v>
      </c>
      <c r="H715" s="205">
        <f>IF(VLOOKUP(J715,'HOURLY RATES'!B$116:C$124,2,0)=0,$J$3,VLOOKUP(J715,'HOURLY RATES'!B$116:C$124,2,0))</f>
        <v>0</v>
      </c>
      <c r="I715" s="317">
        <f t="shared" si="511"/>
        <v>5</v>
      </c>
      <c r="J715" s="192" t="s">
        <v>16</v>
      </c>
      <c r="K715" s="382">
        <v>0.627</v>
      </c>
      <c r="L715" s="228">
        <f t="shared" si="512"/>
        <v>3.1349999999999998</v>
      </c>
      <c r="M715" s="194">
        <f>IF(VLOOKUP(E715,'HOURLY RATES'!C$6:D$105,2,0)=0,$E$3,VLOOKUP(E715,'HOURLY RATES'!C$6:D$105,2,0))</f>
        <v>69.559850000000012</v>
      </c>
      <c r="N715" s="206">
        <f t="shared" si="513"/>
        <v>218.07012975000004</v>
      </c>
      <c r="O715" s="377">
        <v>64.680000000000007</v>
      </c>
      <c r="P715" s="197">
        <f t="shared" si="514"/>
        <v>323.40000000000003</v>
      </c>
      <c r="Q715" s="198">
        <f t="shared" si="515"/>
        <v>541.47012975000007</v>
      </c>
      <c r="R715" s="199"/>
      <c r="X715" s="257"/>
    </row>
    <row r="716" spans="1:24" s="12" customFormat="1" ht="47.25" x14ac:dyDescent="0.2">
      <c r="A716" s="367">
        <f>IF(J716&lt;&gt;"",1+MAX($A$18:A715),"")</f>
        <v>509</v>
      </c>
      <c r="B716" s="394" t="s">
        <v>699</v>
      </c>
      <c r="C716" s="394" t="s">
        <v>699</v>
      </c>
      <c r="D716" s="368" t="s">
        <v>53</v>
      </c>
      <c r="E716" s="255" t="s">
        <v>299</v>
      </c>
      <c r="F716" s="252" t="s">
        <v>703</v>
      </c>
      <c r="G716" s="366">
        <v>5</v>
      </c>
      <c r="H716" s="205">
        <f>IF(VLOOKUP(J716,'HOURLY RATES'!B$116:C$124,2,0)=0,$J$3,VLOOKUP(J716,'HOURLY RATES'!B$116:C$124,2,0))</f>
        <v>0</v>
      </c>
      <c r="I716" s="317">
        <f t="shared" si="511"/>
        <v>5</v>
      </c>
      <c r="J716" s="192" t="s">
        <v>16</v>
      </c>
      <c r="K716" s="382">
        <v>0.57299999999999995</v>
      </c>
      <c r="L716" s="228">
        <f t="shared" si="512"/>
        <v>2.8649999999999998</v>
      </c>
      <c r="M716" s="194">
        <f>IF(VLOOKUP(E716,'HOURLY RATES'!C$6:D$105,2,0)=0,$E$3,VLOOKUP(E716,'HOURLY RATES'!C$6:D$105,2,0))</f>
        <v>69.559850000000012</v>
      </c>
      <c r="N716" s="206">
        <f t="shared" si="513"/>
        <v>199.28897025000001</v>
      </c>
      <c r="O716" s="377">
        <v>51.53</v>
      </c>
      <c r="P716" s="197">
        <f t="shared" si="514"/>
        <v>257.64999999999998</v>
      </c>
      <c r="Q716" s="198">
        <f t="shared" si="515"/>
        <v>456.93897025000001</v>
      </c>
      <c r="R716" s="199"/>
      <c r="X716" s="257"/>
    </row>
    <row r="717" spans="1:24" s="12" customFormat="1" ht="47.25" x14ac:dyDescent="0.2">
      <c r="A717" s="367">
        <f>IF(J717&lt;&gt;"",1+MAX($A$18:A716),"")</f>
        <v>510</v>
      </c>
      <c r="B717" s="394" t="s">
        <v>699</v>
      </c>
      <c r="C717" s="394" t="s">
        <v>699</v>
      </c>
      <c r="D717" s="368" t="s">
        <v>53</v>
      </c>
      <c r="E717" s="255" t="s">
        <v>299</v>
      </c>
      <c r="F717" s="252" t="s">
        <v>704</v>
      </c>
      <c r="G717" s="366">
        <v>5</v>
      </c>
      <c r="H717" s="205">
        <f>IF(VLOOKUP(J717,'HOURLY RATES'!B$116:C$124,2,0)=0,$J$3,VLOOKUP(J717,'HOURLY RATES'!B$116:C$124,2,0))</f>
        <v>0</v>
      </c>
      <c r="I717" s="317">
        <f t="shared" si="511"/>
        <v>5</v>
      </c>
      <c r="J717" s="192" t="s">
        <v>16</v>
      </c>
      <c r="K717" s="382">
        <v>0.503</v>
      </c>
      <c r="L717" s="228">
        <f t="shared" si="512"/>
        <v>2.5150000000000001</v>
      </c>
      <c r="M717" s="194">
        <f>IF(VLOOKUP(E717,'HOURLY RATES'!C$6:D$105,2,0)=0,$E$3,VLOOKUP(E717,'HOURLY RATES'!C$6:D$105,2,0))</f>
        <v>69.559850000000012</v>
      </c>
      <c r="N717" s="206">
        <f t="shared" si="513"/>
        <v>174.94302275000004</v>
      </c>
      <c r="O717" s="377">
        <v>41.23</v>
      </c>
      <c r="P717" s="197">
        <f t="shared" si="514"/>
        <v>206.14999999999998</v>
      </c>
      <c r="Q717" s="198">
        <f t="shared" si="515"/>
        <v>381.09302275000005</v>
      </c>
      <c r="R717" s="199"/>
      <c r="X717" s="257"/>
    </row>
    <row r="718" spans="1:24" s="12" customFormat="1" ht="47.25" x14ac:dyDescent="0.2">
      <c r="A718" s="367">
        <f>IF(J718&lt;&gt;"",1+MAX($A$18:A717),"")</f>
        <v>511</v>
      </c>
      <c r="B718" s="394" t="s">
        <v>699</v>
      </c>
      <c r="C718" s="394" t="s">
        <v>699</v>
      </c>
      <c r="D718" s="368" t="s">
        <v>53</v>
      </c>
      <c r="E718" s="255" t="s">
        <v>299</v>
      </c>
      <c r="F718" s="252" t="s">
        <v>705</v>
      </c>
      <c r="G718" s="366">
        <v>7</v>
      </c>
      <c r="H718" s="205">
        <f>IF(VLOOKUP(J718,'HOURLY RATES'!B$116:C$124,2,0)=0,$J$3,VLOOKUP(J718,'HOURLY RATES'!B$116:C$124,2,0))</f>
        <v>0</v>
      </c>
      <c r="I718" s="317">
        <f t="shared" si="511"/>
        <v>7</v>
      </c>
      <c r="J718" s="192" t="s">
        <v>16</v>
      </c>
      <c r="K718" s="382">
        <v>1.458</v>
      </c>
      <c r="L718" s="228">
        <f t="shared" si="512"/>
        <v>10.206</v>
      </c>
      <c r="M718" s="194">
        <f>IF(VLOOKUP(E718,'HOURLY RATES'!C$6:D$105,2,0)=0,$E$3,VLOOKUP(E718,'HOURLY RATES'!C$6:D$105,2,0))</f>
        <v>69.559850000000012</v>
      </c>
      <c r="N718" s="206">
        <f t="shared" si="513"/>
        <v>709.92782910000005</v>
      </c>
      <c r="O718" s="377">
        <v>289</v>
      </c>
      <c r="P718" s="197">
        <f t="shared" si="514"/>
        <v>2023</v>
      </c>
      <c r="Q718" s="198">
        <f t="shared" si="515"/>
        <v>2732.9278291000001</v>
      </c>
      <c r="R718" s="199"/>
      <c r="X718" s="257"/>
    </row>
    <row r="719" spans="1:24" s="12" customFormat="1" ht="47.25" x14ac:dyDescent="0.2">
      <c r="A719" s="367">
        <f>IF(J719&lt;&gt;"",1+MAX($A$18:A718),"")</f>
        <v>512</v>
      </c>
      <c r="B719" s="394" t="s">
        <v>699</v>
      </c>
      <c r="C719" s="394" t="s">
        <v>699</v>
      </c>
      <c r="D719" s="368" t="s">
        <v>53</v>
      </c>
      <c r="E719" s="255" t="s">
        <v>299</v>
      </c>
      <c r="F719" s="252" t="s">
        <v>706</v>
      </c>
      <c r="G719" s="366">
        <v>5</v>
      </c>
      <c r="H719" s="205">
        <f>IF(VLOOKUP(J719,'HOURLY RATES'!B$116:C$124,2,0)=0,$J$3,VLOOKUP(J719,'HOURLY RATES'!B$116:C$124,2,0))</f>
        <v>0</v>
      </c>
      <c r="I719" s="317">
        <f t="shared" si="511"/>
        <v>5</v>
      </c>
      <c r="J719" s="192" t="s">
        <v>16</v>
      </c>
      <c r="K719" s="382">
        <v>0.878</v>
      </c>
      <c r="L719" s="228">
        <f t="shared" si="512"/>
        <v>4.3899999999999997</v>
      </c>
      <c r="M719" s="194">
        <f>IF(VLOOKUP(E719,'HOURLY RATES'!C$6:D$105,2,0)=0,$E$3,VLOOKUP(E719,'HOURLY RATES'!C$6:D$105,2,0))</f>
        <v>69.559850000000012</v>
      </c>
      <c r="N719" s="206">
        <f t="shared" si="513"/>
        <v>305.36774150000002</v>
      </c>
      <c r="O719" s="377">
        <v>22.3</v>
      </c>
      <c r="P719" s="197">
        <f t="shared" si="514"/>
        <v>111.5</v>
      </c>
      <c r="Q719" s="198">
        <f t="shared" si="515"/>
        <v>416.86774150000002</v>
      </c>
      <c r="R719" s="199"/>
      <c r="X719" s="257"/>
    </row>
    <row r="720" spans="1:24" s="12" customFormat="1" ht="47.25" x14ac:dyDescent="0.2">
      <c r="A720" s="367">
        <f>IF(J720&lt;&gt;"",1+MAX($A$18:A719),"")</f>
        <v>513</v>
      </c>
      <c r="B720" s="394" t="s">
        <v>699</v>
      </c>
      <c r="C720" s="394" t="s">
        <v>699</v>
      </c>
      <c r="D720" s="368" t="s">
        <v>53</v>
      </c>
      <c r="E720" s="255" t="s">
        <v>299</v>
      </c>
      <c r="F720" s="395" t="s">
        <v>707</v>
      </c>
      <c r="G720" s="366">
        <v>1</v>
      </c>
      <c r="H720" s="205">
        <f>IF(VLOOKUP(J720,'HOURLY RATES'!B$116:C$124,2,0)=0,$J$3,VLOOKUP(J720,'HOURLY RATES'!B$116:C$124,2,0))</f>
        <v>0</v>
      </c>
      <c r="I720" s="317">
        <f t="shared" si="511"/>
        <v>1</v>
      </c>
      <c r="J720" s="192" t="s">
        <v>16</v>
      </c>
      <c r="K720" s="208">
        <v>0.56899999999999995</v>
      </c>
      <c r="L720" s="228">
        <f t="shared" si="512"/>
        <v>0.56899999999999995</v>
      </c>
      <c r="M720" s="194">
        <f>IF(VLOOKUP(E720,'HOURLY RATES'!C$6:D$105,2,0)=0,$E$3,VLOOKUP(E720,'HOURLY RATES'!C$6:D$105,2,0))</f>
        <v>69.559850000000012</v>
      </c>
      <c r="N720" s="206">
        <f t="shared" si="513"/>
        <v>39.579554650000006</v>
      </c>
      <c r="O720" s="234">
        <v>50.7</v>
      </c>
      <c r="P720" s="197">
        <f t="shared" si="514"/>
        <v>50.7</v>
      </c>
      <c r="Q720" s="198">
        <f t="shared" si="515"/>
        <v>90.279554650000009</v>
      </c>
      <c r="R720" s="199"/>
      <c r="X720" s="257"/>
    </row>
    <row r="721" spans="1:24" s="12" customFormat="1" x14ac:dyDescent="0.2">
      <c r="A721" s="367" t="str">
        <f>IF(J721&lt;&gt;"",1+MAX($A$18:A720),"")</f>
        <v/>
      </c>
      <c r="B721" s="368"/>
      <c r="C721" s="368"/>
      <c r="D721" s="368"/>
      <c r="E721" s="255"/>
      <c r="F721" s="252"/>
      <c r="G721" s="366"/>
      <c r="H721" s="205"/>
      <c r="I721" s="317"/>
      <c r="J721" s="192"/>
      <c r="K721" s="208"/>
      <c r="L721" s="228"/>
      <c r="M721" s="194"/>
      <c r="N721" s="206"/>
      <c r="O721" s="234"/>
      <c r="P721" s="197"/>
      <c r="Q721" s="198"/>
      <c r="R721" s="199"/>
      <c r="X721" s="257"/>
    </row>
    <row r="722" spans="1:24" s="12" customFormat="1" x14ac:dyDescent="0.2">
      <c r="A722" s="367" t="str">
        <f>IF(J722&lt;&gt;"",1+MAX($A$18:A721),"")</f>
        <v/>
      </c>
      <c r="B722" s="368"/>
      <c r="C722" s="368"/>
      <c r="D722" s="368"/>
      <c r="E722" s="255"/>
      <c r="F722" s="369" t="s">
        <v>111</v>
      </c>
      <c r="G722" s="366"/>
      <c r="H722" s="205"/>
      <c r="I722" s="317"/>
      <c r="J722" s="192"/>
      <c r="K722" s="208"/>
      <c r="L722" s="228"/>
      <c r="M722" s="194"/>
      <c r="N722" s="206"/>
      <c r="O722" s="234"/>
      <c r="P722" s="197"/>
      <c r="Q722" s="198"/>
      <c r="R722" s="199"/>
      <c r="X722" s="257"/>
    </row>
    <row r="723" spans="1:24" s="12" customFormat="1" x14ac:dyDescent="0.2">
      <c r="A723" s="367">
        <f>IF(J723&lt;&gt;"",1+MAX($A$18:A722),"")</f>
        <v>514</v>
      </c>
      <c r="B723" s="368" t="s">
        <v>614</v>
      </c>
      <c r="C723" s="394" t="s">
        <v>614</v>
      </c>
      <c r="D723" s="368" t="s">
        <v>53</v>
      </c>
      <c r="E723" s="255" t="s">
        <v>299</v>
      </c>
      <c r="F723" s="252" t="s">
        <v>708</v>
      </c>
      <c r="G723" s="366">
        <v>1</v>
      </c>
      <c r="H723" s="205">
        <f>IF(VLOOKUP(J723,'HOURLY RATES'!B$116:C$124,2,0)=0,$J$3,VLOOKUP(J723,'HOURLY RATES'!B$116:C$124,2,0))</f>
        <v>0</v>
      </c>
      <c r="I723" s="317">
        <f t="shared" si="511"/>
        <v>1</v>
      </c>
      <c r="J723" s="192" t="s">
        <v>16</v>
      </c>
      <c r="K723" s="208">
        <v>2.1269999999999998</v>
      </c>
      <c r="L723" s="228">
        <f t="shared" si="512"/>
        <v>2.1269999999999998</v>
      </c>
      <c r="M723" s="194">
        <f>IF(VLOOKUP(E723,'HOURLY RATES'!C$6:D$105,2,0)=0,$E$3,VLOOKUP(E723,'HOURLY RATES'!C$6:D$105,2,0))</f>
        <v>69.559850000000012</v>
      </c>
      <c r="N723" s="206">
        <f t="shared" si="513"/>
        <v>147.95380095000002</v>
      </c>
      <c r="O723" s="234">
        <v>499.99</v>
      </c>
      <c r="P723" s="197">
        <f t="shared" si="514"/>
        <v>499.99</v>
      </c>
      <c r="Q723" s="198">
        <f t="shared" si="515"/>
        <v>647.94380094999997</v>
      </c>
      <c r="R723" s="199"/>
      <c r="X723" s="257"/>
    </row>
    <row r="724" spans="1:24" s="12" customFormat="1" x14ac:dyDescent="0.2">
      <c r="A724" s="204" t="str">
        <f>IF(J724&lt;&gt;"",1+MAX($A$18:A723),"")</f>
        <v/>
      </c>
      <c r="B724" s="201"/>
      <c r="C724" s="201"/>
      <c r="D724" s="201"/>
      <c r="E724" s="255"/>
      <c r="F724" s="252"/>
      <c r="G724" s="310"/>
      <c r="H724" s="205"/>
      <c r="I724" s="317"/>
      <c r="J724" s="192"/>
      <c r="K724" s="208"/>
      <c r="L724" s="228"/>
      <c r="M724" s="194"/>
      <c r="N724" s="206"/>
      <c r="O724" s="234"/>
      <c r="P724" s="197"/>
      <c r="Q724" s="198"/>
      <c r="R724" s="199"/>
      <c r="X724" s="257"/>
    </row>
    <row r="725" spans="1:24" s="12" customFormat="1" x14ac:dyDescent="0.2">
      <c r="A725" s="204" t="str">
        <f>IF(J725&lt;&gt;"",1+MAX($A$18:A724),"")</f>
        <v/>
      </c>
      <c r="B725" s="201"/>
      <c r="C725" s="201"/>
      <c r="D725" s="201"/>
      <c r="E725" s="255"/>
      <c r="F725" s="202" t="s">
        <v>335</v>
      </c>
      <c r="G725" s="310"/>
      <c r="H725" s="205"/>
      <c r="I725" s="317"/>
      <c r="J725" s="192"/>
      <c r="K725" s="208"/>
      <c r="L725" s="228"/>
      <c r="M725" s="194"/>
      <c r="N725" s="206"/>
      <c r="O725" s="234"/>
      <c r="P725" s="197"/>
      <c r="Q725" s="198"/>
      <c r="R725" s="199"/>
      <c r="X725" s="257"/>
    </row>
    <row r="726" spans="1:24" s="12" customFormat="1" ht="63" x14ac:dyDescent="0.2">
      <c r="A726" s="204">
        <f>IF(J726&lt;&gt;"",1+MAX($A$18:A725),"")</f>
        <v>515</v>
      </c>
      <c r="B726" s="201"/>
      <c r="C726" s="255"/>
      <c r="D726" s="201" t="s">
        <v>53</v>
      </c>
      <c r="E726" s="255" t="s">
        <v>299</v>
      </c>
      <c r="F726" s="252" t="s">
        <v>682</v>
      </c>
      <c r="G726" s="310">
        <v>47.99</v>
      </c>
      <c r="H726" s="205">
        <f>IF(VLOOKUP(J726,'HOURLY RATES'!B$116:C$124,2,0)=0,$J$3,VLOOKUP(J726,'HOURLY RATES'!B$116:C$124,2,0))</f>
        <v>0.05</v>
      </c>
      <c r="I726" s="317">
        <f t="shared" ref="I726" si="516">(G726*(1+H726))</f>
        <v>50.389500000000005</v>
      </c>
      <c r="J726" s="192" t="s">
        <v>19</v>
      </c>
      <c r="K726" s="208">
        <v>1.35</v>
      </c>
      <c r="L726" s="228">
        <f t="shared" ref="L726" si="517">K726*I726</f>
        <v>68.025825000000012</v>
      </c>
      <c r="M726" s="194">
        <f>IF(VLOOKUP(E726,'HOURLY RATES'!C$6:D$105,2,0)=0,$E$3,VLOOKUP(E726,'HOURLY RATES'!C$6:D$105,2,0))</f>
        <v>69.559850000000012</v>
      </c>
      <c r="N726" s="206">
        <f t="shared" ref="N726" si="518">M726*L726</f>
        <v>4731.8661831262516</v>
      </c>
      <c r="O726" s="234">
        <f>204*12*16*88/12/15/66</f>
        <v>290.13333333333333</v>
      </c>
      <c r="P726" s="197">
        <f t="shared" ref="P726" si="519">O726*I726</f>
        <v>14619.673600000002</v>
      </c>
      <c r="Q726" s="198">
        <f>P726+N726</f>
        <v>19351.539783126253</v>
      </c>
      <c r="R726" s="199"/>
      <c r="X726" s="257"/>
    </row>
    <row r="727" spans="1:24" s="12" customFormat="1" ht="16.5" thickBot="1" x14ac:dyDescent="0.25">
      <c r="A727" s="263" t="str">
        <f>IF(J727&lt;&gt;"",1+MAX($A$18:A726),"")</f>
        <v/>
      </c>
      <c r="B727" s="264"/>
      <c r="C727" s="264"/>
      <c r="D727" s="264"/>
      <c r="E727" s="404"/>
      <c r="F727" s="265"/>
      <c r="G727" s="313"/>
      <c r="H727" s="267"/>
      <c r="I727" s="319"/>
      <c r="J727" s="359"/>
      <c r="K727" s="291"/>
      <c r="L727" s="269"/>
      <c r="M727" s="272"/>
      <c r="N727" s="273"/>
      <c r="O727" s="292"/>
      <c r="P727" s="275"/>
      <c r="Q727" s="276"/>
      <c r="R727" s="277"/>
      <c r="X727" s="257"/>
    </row>
    <row r="728" spans="1:24" s="12" customFormat="1" ht="20.100000000000001" customHeight="1" x14ac:dyDescent="0.2">
      <c r="A728" s="185" t="str">
        <f>IF(J728&lt;&gt;"",1+MAX($A$18:A727),"")</f>
        <v/>
      </c>
      <c r="B728" s="178"/>
      <c r="C728" s="178"/>
      <c r="D728" s="178" t="s">
        <v>38</v>
      </c>
      <c r="E728" s="405"/>
      <c r="F728" s="179" t="s">
        <v>217</v>
      </c>
      <c r="G728" s="314"/>
      <c r="H728" s="180"/>
      <c r="I728" s="320"/>
      <c r="J728" s="320"/>
      <c r="K728" s="180"/>
      <c r="L728" s="180"/>
      <c r="M728" s="180"/>
      <c r="N728" s="180"/>
      <c r="O728" s="180"/>
      <c r="P728" s="180"/>
      <c r="Q728" s="180"/>
      <c r="R728" s="186">
        <f>SUM(Q729:Q738)</f>
        <v>3469.2975187500001</v>
      </c>
      <c r="X728" s="257"/>
    </row>
    <row r="729" spans="1:24" s="12" customFormat="1" x14ac:dyDescent="0.2">
      <c r="A729" s="204" t="str">
        <f>IF(J729&lt;&gt;"",1+MAX($A$18:A728),"")</f>
        <v/>
      </c>
      <c r="B729" s="201"/>
      <c r="C729" s="201"/>
      <c r="D729" s="201"/>
      <c r="E729" s="255"/>
      <c r="F729" s="188" t="s">
        <v>28</v>
      </c>
      <c r="G729" s="310"/>
      <c r="H729" s="190"/>
      <c r="I729" s="317"/>
      <c r="J729" s="192"/>
      <c r="K729" s="243"/>
      <c r="L729" s="13"/>
      <c r="M729" s="194"/>
      <c r="N729" s="206"/>
      <c r="O729" s="234"/>
      <c r="P729" s="197"/>
      <c r="Q729" s="198"/>
      <c r="R729" s="199"/>
      <c r="X729" s="257"/>
    </row>
    <row r="730" spans="1:24" s="12" customFormat="1" x14ac:dyDescent="0.2">
      <c r="A730" s="204" t="str">
        <f>IF(J730&lt;&gt;"",1+MAX($A$18:A729),"")</f>
        <v/>
      </c>
      <c r="B730" s="201"/>
      <c r="C730" s="201"/>
      <c r="D730" s="201"/>
      <c r="E730" s="255"/>
      <c r="F730" s="202" t="s">
        <v>135</v>
      </c>
      <c r="G730" s="310"/>
      <c r="H730" s="190"/>
      <c r="I730" s="317"/>
      <c r="J730" s="192"/>
      <c r="K730" s="243"/>
      <c r="L730" s="228"/>
      <c r="M730" s="194"/>
      <c r="N730" s="206"/>
      <c r="O730" s="234"/>
      <c r="P730" s="197"/>
      <c r="Q730" s="198"/>
      <c r="R730" s="199"/>
      <c r="X730" s="257"/>
    </row>
    <row r="731" spans="1:24" s="12" customFormat="1" x14ac:dyDescent="0.2">
      <c r="A731" s="204">
        <f>IF(J731&lt;&gt;"",1+MAX($A$18:A730),"")</f>
        <v>516</v>
      </c>
      <c r="B731" s="201" t="s">
        <v>471</v>
      </c>
      <c r="C731" s="201" t="s">
        <v>471</v>
      </c>
      <c r="D731" s="201" t="s">
        <v>38</v>
      </c>
      <c r="E731" s="255" t="s">
        <v>135</v>
      </c>
      <c r="F731" s="252" t="s">
        <v>715</v>
      </c>
      <c r="G731" s="310">
        <v>1</v>
      </c>
      <c r="H731" s="205">
        <f>IF(VLOOKUP(J731,'HOURLY RATES'!B$116:C$124,2,0)=0,$J$3,VLOOKUP(J731,'HOURLY RATES'!B$116:C$124,2,0))</f>
        <v>0</v>
      </c>
      <c r="I731" s="317">
        <f t="shared" ref="I731:I733" si="520">(G731*(1+H731))</f>
        <v>1</v>
      </c>
      <c r="J731" s="192" t="s">
        <v>16</v>
      </c>
      <c r="K731" s="243">
        <v>2.8450000000000002</v>
      </c>
      <c r="L731" s="228">
        <f t="shared" ref="L731:L733" si="521">K731*I731</f>
        <v>2.8450000000000002</v>
      </c>
      <c r="M731" s="194">
        <f>IF(VLOOKUP(E731,'HOURLY RATES'!C$6:D$105,2,0)=0,$E$3,VLOOKUP(E731,'HOURLY RATES'!C$6:D$105,2,0))</f>
        <v>48.691895000000002</v>
      </c>
      <c r="N731" s="206">
        <f t="shared" ref="N731:N733" si="522">M731*L731</f>
        <v>138.52844127500001</v>
      </c>
      <c r="O731" s="234"/>
      <c r="P731" s="197">
        <f t="shared" ref="P731:P733" si="523">O731*I731</f>
        <v>0</v>
      </c>
      <c r="Q731" s="198">
        <f t="shared" ref="Q731:Q733" si="524">P731+N731</f>
        <v>138.52844127500001</v>
      </c>
      <c r="R731" s="199"/>
      <c r="X731" s="257"/>
    </row>
    <row r="732" spans="1:24" s="12" customFormat="1" x14ac:dyDescent="0.2">
      <c r="A732" s="204">
        <f>IF(J732&lt;&gt;"",1+MAX($A$18:A731),"")</f>
        <v>517</v>
      </c>
      <c r="B732" s="201" t="s">
        <v>471</v>
      </c>
      <c r="C732" s="201" t="s">
        <v>471</v>
      </c>
      <c r="D732" s="201" t="s">
        <v>38</v>
      </c>
      <c r="E732" s="255" t="s">
        <v>135</v>
      </c>
      <c r="F732" s="252" t="s">
        <v>185</v>
      </c>
      <c r="G732" s="310">
        <v>4</v>
      </c>
      <c r="H732" s="205">
        <f>IF(VLOOKUP(J732,'HOURLY RATES'!B$116:C$124,2,0)=0,$J$3,VLOOKUP(J732,'HOURLY RATES'!B$116:C$124,2,0))</f>
        <v>0</v>
      </c>
      <c r="I732" s="317">
        <f t="shared" si="520"/>
        <v>4</v>
      </c>
      <c r="J732" s="192" t="s">
        <v>16</v>
      </c>
      <c r="K732" s="243">
        <v>2.367</v>
      </c>
      <c r="L732" s="228">
        <f t="shared" si="521"/>
        <v>9.468</v>
      </c>
      <c r="M732" s="194">
        <f>IF(VLOOKUP(E732,'HOURLY RATES'!C$6:D$105,2,0)=0,$E$3,VLOOKUP(E732,'HOURLY RATES'!C$6:D$105,2,0))</f>
        <v>48.691895000000002</v>
      </c>
      <c r="N732" s="206">
        <f t="shared" si="522"/>
        <v>461.01486186</v>
      </c>
      <c r="O732" s="234"/>
      <c r="P732" s="197">
        <f t="shared" si="523"/>
        <v>0</v>
      </c>
      <c r="Q732" s="198">
        <f>P732+N732</f>
        <v>461.01486186</v>
      </c>
      <c r="R732" s="199"/>
      <c r="X732" s="257"/>
    </row>
    <row r="733" spans="1:24" s="12" customFormat="1" x14ac:dyDescent="0.2">
      <c r="A733" s="204">
        <f>IF(J733&lt;&gt;"",1+MAX($A$18:A732),"")</f>
        <v>518</v>
      </c>
      <c r="B733" s="201" t="s">
        <v>471</v>
      </c>
      <c r="C733" s="201" t="s">
        <v>471</v>
      </c>
      <c r="D733" s="201" t="s">
        <v>38</v>
      </c>
      <c r="E733" s="255" t="s">
        <v>135</v>
      </c>
      <c r="F733" s="252" t="s">
        <v>473</v>
      </c>
      <c r="G733" s="310">
        <v>1</v>
      </c>
      <c r="H733" s="205">
        <f>IF(VLOOKUP(J733,'HOURLY RATES'!B$116:C$124,2,0)=0,$J$3,VLOOKUP(J733,'HOURLY RATES'!B$116:C$124,2,0))</f>
        <v>0</v>
      </c>
      <c r="I733" s="317">
        <f t="shared" si="520"/>
        <v>1</v>
      </c>
      <c r="J733" s="192" t="s">
        <v>16</v>
      </c>
      <c r="K733" s="243">
        <v>2.859</v>
      </c>
      <c r="L733" s="228">
        <f t="shared" si="521"/>
        <v>2.859</v>
      </c>
      <c r="M733" s="194">
        <f>IF(VLOOKUP(E733,'HOURLY RATES'!C$6:D$105,2,0)=0,$E$3,VLOOKUP(E733,'HOURLY RATES'!C$6:D$105,2,0))</f>
        <v>48.691895000000002</v>
      </c>
      <c r="N733" s="206">
        <f t="shared" si="522"/>
        <v>139.21012780500001</v>
      </c>
      <c r="O733" s="234"/>
      <c r="P733" s="197">
        <f t="shared" si="523"/>
        <v>0</v>
      </c>
      <c r="Q733" s="198">
        <f t="shared" si="524"/>
        <v>139.21012780500001</v>
      </c>
      <c r="R733" s="199"/>
      <c r="X733" s="257"/>
    </row>
    <row r="734" spans="1:24" s="12" customFormat="1" x14ac:dyDescent="0.2">
      <c r="A734" s="204">
        <f>IF(J734&lt;&gt;"",1+MAX($A$18:A733),"")</f>
        <v>519</v>
      </c>
      <c r="B734" s="201" t="s">
        <v>471</v>
      </c>
      <c r="C734" s="201" t="s">
        <v>471</v>
      </c>
      <c r="D734" s="201" t="s">
        <v>38</v>
      </c>
      <c r="E734" s="255" t="s">
        <v>135</v>
      </c>
      <c r="F734" s="252" t="s">
        <v>474</v>
      </c>
      <c r="G734" s="310">
        <v>4</v>
      </c>
      <c r="H734" s="205">
        <f>IF(VLOOKUP(J734,'HOURLY RATES'!B$116:C$124,2,0)=0,$J$3,VLOOKUP(J734,'HOURLY RATES'!B$116:C$124,2,0))</f>
        <v>0</v>
      </c>
      <c r="I734" s="317">
        <f t="shared" ref="I734:I735" si="525">(G734*(1+H734))</f>
        <v>4</v>
      </c>
      <c r="J734" s="192" t="s">
        <v>16</v>
      </c>
      <c r="K734" s="243">
        <v>2.3460000000000001</v>
      </c>
      <c r="L734" s="228">
        <f t="shared" ref="L734:L735" si="526">K734*I734</f>
        <v>9.3840000000000003</v>
      </c>
      <c r="M734" s="194">
        <f>IF(VLOOKUP(E734,'HOURLY RATES'!C$6:D$105,2,0)=0,$E$3,VLOOKUP(E734,'HOURLY RATES'!C$6:D$105,2,0))</f>
        <v>48.691895000000002</v>
      </c>
      <c r="N734" s="206">
        <f t="shared" ref="N734:N735" si="527">M734*L734</f>
        <v>456.92474268000007</v>
      </c>
      <c r="O734" s="234"/>
      <c r="P734" s="197">
        <f t="shared" ref="P734:P735" si="528">O734*I734</f>
        <v>0</v>
      </c>
      <c r="Q734" s="198">
        <f t="shared" ref="Q734:Q735" si="529">P734+N734</f>
        <v>456.92474268000007</v>
      </c>
      <c r="R734" s="199"/>
      <c r="X734" s="257"/>
    </row>
    <row r="735" spans="1:24" s="12" customFormat="1" x14ac:dyDescent="0.2">
      <c r="A735" s="204">
        <f>IF(J735&lt;&gt;"",1+MAX($A$18:A734),"")</f>
        <v>520</v>
      </c>
      <c r="B735" s="201" t="s">
        <v>471</v>
      </c>
      <c r="C735" s="201" t="s">
        <v>471</v>
      </c>
      <c r="D735" s="201" t="s">
        <v>38</v>
      </c>
      <c r="E735" s="255" t="s">
        <v>135</v>
      </c>
      <c r="F735" s="252" t="s">
        <v>716</v>
      </c>
      <c r="G735" s="310">
        <v>1</v>
      </c>
      <c r="H735" s="205">
        <f>IF(VLOOKUP(J735,'HOURLY RATES'!B$116:C$124,2,0)=0,$J$3,VLOOKUP(J735,'HOURLY RATES'!B$116:C$124,2,0))</f>
        <v>0</v>
      </c>
      <c r="I735" s="317">
        <f t="shared" si="525"/>
        <v>1</v>
      </c>
      <c r="J735" s="192" t="s">
        <v>16</v>
      </c>
      <c r="K735" s="243">
        <v>3.8450000000000002</v>
      </c>
      <c r="L735" s="228">
        <f t="shared" si="526"/>
        <v>3.8450000000000002</v>
      </c>
      <c r="M735" s="194">
        <f>IF(VLOOKUP(E735,'HOURLY RATES'!C$6:D$105,2,0)=0,$E$3,VLOOKUP(E735,'HOURLY RATES'!C$6:D$105,2,0))</f>
        <v>48.691895000000002</v>
      </c>
      <c r="N735" s="206">
        <f t="shared" si="527"/>
        <v>187.22033627500002</v>
      </c>
      <c r="O735" s="234"/>
      <c r="P735" s="197">
        <f t="shared" si="528"/>
        <v>0</v>
      </c>
      <c r="Q735" s="198">
        <f t="shared" si="529"/>
        <v>187.22033627500002</v>
      </c>
      <c r="R735" s="199"/>
      <c r="X735" s="257"/>
    </row>
    <row r="736" spans="1:24" s="12" customFormat="1" x14ac:dyDescent="0.2">
      <c r="A736" s="204">
        <f>IF(J736&lt;&gt;"",1+MAX($A$18:A735),"")</f>
        <v>521</v>
      </c>
      <c r="B736" s="201" t="s">
        <v>471</v>
      </c>
      <c r="C736" s="201" t="s">
        <v>471</v>
      </c>
      <c r="D736" s="201" t="s">
        <v>38</v>
      </c>
      <c r="E736" s="255" t="s">
        <v>135</v>
      </c>
      <c r="F736" s="252" t="s">
        <v>758</v>
      </c>
      <c r="G736" s="310">
        <v>27</v>
      </c>
      <c r="H736" s="205">
        <f>IF(VLOOKUP(J736,'HOURLY RATES'!B$116:C$124,2,0)=0,$J$3,VLOOKUP(J736,'HOURLY RATES'!B$116:C$124,2,0))</f>
        <v>0</v>
      </c>
      <c r="I736" s="317">
        <f t="shared" ref="I736" si="530">(G736*(1+H736))</f>
        <v>27</v>
      </c>
      <c r="J736" s="192" t="s">
        <v>16</v>
      </c>
      <c r="K736" s="243">
        <v>1.587</v>
      </c>
      <c r="L736" s="228">
        <f t="shared" ref="L736" si="531">K736*I736</f>
        <v>42.848999999999997</v>
      </c>
      <c r="M736" s="194">
        <f>IF(VLOOKUP(E736,'HOURLY RATES'!C$6:D$105,2,0)=0,$E$3,VLOOKUP(E736,'HOURLY RATES'!C$6:D$105,2,0))</f>
        <v>48.691895000000002</v>
      </c>
      <c r="N736" s="206">
        <f t="shared" ref="N736" si="532">M736*L736</f>
        <v>2086.3990088549999</v>
      </c>
      <c r="O736" s="234"/>
      <c r="P736" s="197">
        <f t="shared" ref="P736" si="533">O736*I736</f>
        <v>0</v>
      </c>
      <c r="Q736" s="198">
        <f t="shared" ref="Q736" si="534">P736+N736</f>
        <v>2086.3990088549999</v>
      </c>
      <c r="R736" s="199"/>
      <c r="X736" s="257"/>
    </row>
    <row r="737" spans="1:24" s="12" customFormat="1" x14ac:dyDescent="0.2">
      <c r="A737" s="260" t="str">
        <f>IF(J737&lt;&gt;"",1+MAX($A$18:A736),"")</f>
        <v/>
      </c>
      <c r="B737" s="261"/>
      <c r="C737" s="261"/>
      <c r="D737" s="261"/>
      <c r="E737" s="407"/>
      <c r="F737" s="397" t="s">
        <v>759</v>
      </c>
      <c r="G737" s="312"/>
      <c r="H737" s="296"/>
      <c r="I737" s="318"/>
      <c r="J737" s="192"/>
      <c r="K737" s="259"/>
      <c r="L737" s="249"/>
      <c r="M737" s="297"/>
      <c r="N737" s="298"/>
      <c r="O737" s="299"/>
      <c r="P737" s="300"/>
      <c r="Q737" s="301"/>
      <c r="R737" s="199"/>
      <c r="X737" s="257"/>
    </row>
    <row r="738" spans="1:24" s="12" customFormat="1" ht="16.5" thickBot="1" x14ac:dyDescent="0.25">
      <c r="A738" s="263" t="str">
        <f>IF(J738&lt;&gt;"",1+MAX($A$18:A737),"")</f>
        <v/>
      </c>
      <c r="B738" s="264"/>
      <c r="C738" s="264"/>
      <c r="D738" s="264"/>
      <c r="E738" s="404"/>
      <c r="F738" s="265"/>
      <c r="G738" s="313"/>
      <c r="H738" s="267"/>
      <c r="I738" s="319"/>
      <c r="J738" s="359"/>
      <c r="K738" s="291"/>
      <c r="L738" s="269"/>
      <c r="M738" s="272"/>
      <c r="N738" s="273"/>
      <c r="O738" s="292"/>
      <c r="P738" s="275"/>
      <c r="Q738" s="276"/>
      <c r="R738" s="277"/>
      <c r="X738" s="257"/>
    </row>
    <row r="739" spans="1:24" s="12" customFormat="1" ht="20.100000000000001" customHeight="1" x14ac:dyDescent="0.2">
      <c r="A739" s="475" t="str">
        <f>IF(J739&lt;&gt;"",1+MAX($A$18:A738),"")</f>
        <v/>
      </c>
      <c r="B739" s="476"/>
      <c r="C739" s="476"/>
      <c r="D739" s="476" t="s">
        <v>39</v>
      </c>
      <c r="E739" s="481"/>
      <c r="F739" s="477" t="s">
        <v>40</v>
      </c>
      <c r="G739" s="482"/>
      <c r="H739" s="479"/>
      <c r="I739" s="483"/>
      <c r="J739" s="483"/>
      <c r="K739" s="479"/>
      <c r="L739" s="479"/>
      <c r="M739" s="479"/>
      <c r="N739" s="479"/>
      <c r="O739" s="479"/>
      <c r="P739" s="479"/>
      <c r="Q739" s="479"/>
      <c r="R739" s="480">
        <f>SUM(Q740:Q801)</f>
        <v>221559.33165953582</v>
      </c>
      <c r="X739" s="257"/>
    </row>
    <row r="740" spans="1:24" s="12" customFormat="1" x14ac:dyDescent="0.2">
      <c r="A740" s="204" t="str">
        <f>IF(J740&lt;&gt;"",1+MAX($A$18:A739),"")</f>
        <v/>
      </c>
      <c r="B740" s="201"/>
      <c r="C740" s="201"/>
      <c r="D740" s="201"/>
      <c r="E740" s="255"/>
      <c r="F740" s="188" t="s">
        <v>28</v>
      </c>
      <c r="G740" s="310"/>
      <c r="H740" s="190"/>
      <c r="I740" s="317"/>
      <c r="J740" s="192"/>
      <c r="K740" s="243"/>
      <c r="L740" s="13"/>
      <c r="M740" s="194"/>
      <c r="N740" s="206"/>
      <c r="O740" s="234"/>
      <c r="P740" s="197"/>
      <c r="Q740" s="198"/>
      <c r="R740" s="199"/>
      <c r="X740" s="257"/>
    </row>
    <row r="741" spans="1:24" s="12" customFormat="1" x14ac:dyDescent="0.2">
      <c r="A741" s="204" t="str">
        <f>IF(J741&lt;&gt;"",1+MAX($A$18:A740),"")</f>
        <v/>
      </c>
      <c r="B741" s="201"/>
      <c r="C741" s="201"/>
      <c r="D741" s="201"/>
      <c r="E741" s="255"/>
      <c r="F741" s="202" t="s">
        <v>475</v>
      </c>
      <c r="G741" s="310"/>
      <c r="H741" s="190"/>
      <c r="I741" s="317"/>
      <c r="J741" s="192"/>
      <c r="K741" s="243"/>
      <c r="L741" s="228"/>
      <c r="M741" s="194"/>
      <c r="N741" s="206"/>
      <c r="O741" s="234"/>
      <c r="P741" s="197"/>
      <c r="Q741" s="198"/>
      <c r="R741" s="199"/>
      <c r="X741" s="257"/>
    </row>
    <row r="742" spans="1:24" s="12" customFormat="1" ht="63" x14ac:dyDescent="0.2">
      <c r="A742" s="204">
        <f>IF(J742&lt;&gt;"",1+MAX($A$18:A741),"")</f>
        <v>522</v>
      </c>
      <c r="B742" s="201" t="s">
        <v>471</v>
      </c>
      <c r="C742" s="201" t="s">
        <v>524</v>
      </c>
      <c r="D742" s="201" t="s">
        <v>39</v>
      </c>
      <c r="E742" s="255" t="s">
        <v>152</v>
      </c>
      <c r="F742" s="252" t="s">
        <v>492</v>
      </c>
      <c r="G742" s="310">
        <v>117.95</v>
      </c>
      <c r="H742" s="205">
        <f>IF(VLOOKUP(J742,'HOURLY RATES'!B$116:C$124,2,0)=0,$J$3,VLOOKUP(J742,'HOURLY RATES'!B$116:C$124,2,0))</f>
        <v>0.05</v>
      </c>
      <c r="I742" s="317">
        <f t="shared" ref="I742" si="535">(G742*(1+H742))</f>
        <v>123.84750000000001</v>
      </c>
      <c r="J742" s="192" t="s">
        <v>17</v>
      </c>
      <c r="K742" s="382">
        <v>0.14699999999999999</v>
      </c>
      <c r="L742" s="228">
        <f t="shared" ref="L742" si="536">K742*I742</f>
        <v>18.205582500000002</v>
      </c>
      <c r="M742" s="194">
        <f>IF(VLOOKUP(E742,'HOURLY RATES'!C$6:D$105,2,0)=0,$E$3,VLOOKUP(E742,'HOURLY RATES'!C$6:D$105,2,0))</f>
        <v>73.757326499999991</v>
      </c>
      <c r="N742" s="206">
        <f t="shared" ref="N742" si="537">M742*L742</f>
        <v>1342.7950925751861</v>
      </c>
      <c r="O742" s="377">
        <v>45.5</v>
      </c>
      <c r="P742" s="197">
        <f t="shared" ref="P742" si="538">O742*I742</f>
        <v>5635.0612500000007</v>
      </c>
      <c r="Q742" s="198">
        <f t="shared" ref="Q742" si="539">P742+N742</f>
        <v>6977.8563425751872</v>
      </c>
      <c r="R742" s="199"/>
      <c r="X742" s="257"/>
    </row>
    <row r="743" spans="1:24" s="12" customFormat="1" ht="63" x14ac:dyDescent="0.2">
      <c r="A743" s="204">
        <f>IF(J743&lt;&gt;"",1+MAX($A$18:A742),"")</f>
        <v>523</v>
      </c>
      <c r="B743" s="201" t="s">
        <v>471</v>
      </c>
      <c r="C743" s="201" t="s">
        <v>524</v>
      </c>
      <c r="D743" s="201" t="s">
        <v>39</v>
      </c>
      <c r="E743" s="255" t="s">
        <v>152</v>
      </c>
      <c r="F743" s="252" t="s">
        <v>493</v>
      </c>
      <c r="G743" s="310">
        <v>30.23</v>
      </c>
      <c r="H743" s="205">
        <f>IF(VLOOKUP(J743,'HOURLY RATES'!B$116:C$124,2,0)=0,$J$3,VLOOKUP(J743,'HOURLY RATES'!B$116:C$124,2,0))</f>
        <v>0.05</v>
      </c>
      <c r="I743" s="317">
        <f t="shared" ref="I743:I745" si="540">(G743*(1+H743))</f>
        <v>31.741500000000002</v>
      </c>
      <c r="J743" s="192" t="s">
        <v>19</v>
      </c>
      <c r="K743" s="382">
        <v>0.23</v>
      </c>
      <c r="L743" s="228">
        <f t="shared" ref="L743:L745" si="541">K743*I743</f>
        <v>7.3005450000000005</v>
      </c>
      <c r="M743" s="194">
        <f>IF(VLOOKUP(E743,'HOURLY RATES'!C$6:D$105,2,0)=0,$E$3,VLOOKUP(E743,'HOURLY RATES'!C$6:D$105,2,0))</f>
        <v>73.757326499999991</v>
      </c>
      <c r="N743" s="206">
        <f t="shared" ref="N743:N745" si="542">M743*L743</f>
        <v>538.46868119294243</v>
      </c>
      <c r="O743" s="377">
        <v>19.8</v>
      </c>
      <c r="P743" s="197">
        <f t="shared" ref="P743:P745" si="543">O743*I743</f>
        <v>628.48170000000005</v>
      </c>
      <c r="Q743" s="198">
        <f t="shared" ref="Q743:Q745" si="544">P743+N743</f>
        <v>1166.9503811929426</v>
      </c>
      <c r="R743" s="199"/>
      <c r="X743" s="257"/>
    </row>
    <row r="744" spans="1:24" s="12" customFormat="1" ht="63" x14ac:dyDescent="0.2">
      <c r="A744" s="204">
        <f>IF(J744&lt;&gt;"",1+MAX($A$18:A743),"")</f>
        <v>524</v>
      </c>
      <c r="B744" s="201" t="s">
        <v>471</v>
      </c>
      <c r="C744" s="201" t="s">
        <v>524</v>
      </c>
      <c r="D744" s="201" t="s">
        <v>39</v>
      </c>
      <c r="E744" s="255" t="s">
        <v>152</v>
      </c>
      <c r="F744" s="252" t="s">
        <v>494</v>
      </c>
      <c r="G744" s="310">
        <v>25.97</v>
      </c>
      <c r="H744" s="205">
        <f>IF(VLOOKUP(J744,'HOURLY RATES'!B$116:C$124,2,0)=0,$J$3,VLOOKUP(J744,'HOURLY RATES'!B$116:C$124,2,0))</f>
        <v>0.05</v>
      </c>
      <c r="I744" s="317">
        <f t="shared" si="540"/>
        <v>27.2685</v>
      </c>
      <c r="J744" s="192" t="s">
        <v>17</v>
      </c>
      <c r="K744" s="382">
        <v>0.14699999999999999</v>
      </c>
      <c r="L744" s="228">
        <f t="shared" si="541"/>
        <v>4.0084694999999995</v>
      </c>
      <c r="M744" s="194">
        <f>IF(VLOOKUP(E744,'HOURLY RATES'!C$6:D$105,2,0)=0,$E$3,VLOOKUP(E744,'HOURLY RATES'!C$6:D$105,2,0))</f>
        <v>73.757326499999991</v>
      </c>
      <c r="N744" s="206">
        <f t="shared" si="542"/>
        <v>295.65399367679169</v>
      </c>
      <c r="O744" s="377">
        <v>45.5</v>
      </c>
      <c r="P744" s="197">
        <f t="shared" si="543"/>
        <v>1240.71675</v>
      </c>
      <c r="Q744" s="198">
        <f t="shared" si="544"/>
        <v>1536.3707436767918</v>
      </c>
      <c r="R744" s="199"/>
      <c r="X744" s="257"/>
    </row>
    <row r="745" spans="1:24" s="12" customFormat="1" ht="63" x14ac:dyDescent="0.2">
      <c r="A745" s="204">
        <f>IF(J745&lt;&gt;"",1+MAX($A$18:A744),"")</f>
        <v>525</v>
      </c>
      <c r="B745" s="201" t="s">
        <v>471</v>
      </c>
      <c r="C745" s="201" t="s">
        <v>524</v>
      </c>
      <c r="D745" s="201" t="s">
        <v>39</v>
      </c>
      <c r="E745" s="255" t="s">
        <v>152</v>
      </c>
      <c r="F745" s="252" t="s">
        <v>495</v>
      </c>
      <c r="G745" s="310">
        <v>273.3</v>
      </c>
      <c r="H745" s="205">
        <f>IF(VLOOKUP(J745,'HOURLY RATES'!B$116:C$124,2,0)=0,$J$3,VLOOKUP(J745,'HOURLY RATES'!B$116:C$124,2,0))</f>
        <v>0.05</v>
      </c>
      <c r="I745" s="317">
        <f t="shared" si="540"/>
        <v>286.96500000000003</v>
      </c>
      <c r="J745" s="192" t="s">
        <v>17</v>
      </c>
      <c r="K745" s="382">
        <v>0.35899999999999999</v>
      </c>
      <c r="L745" s="228">
        <f t="shared" si="541"/>
        <v>103.02043500000001</v>
      </c>
      <c r="M745" s="194">
        <f>IF(VLOOKUP(E745,'HOURLY RATES'!C$6:D$105,2,0)=0,$E$3,VLOOKUP(E745,'HOURLY RATES'!C$6:D$105,2,0))</f>
        <v>73.757326499999991</v>
      </c>
      <c r="N745" s="206">
        <f t="shared" si="542"/>
        <v>7598.511860467027</v>
      </c>
      <c r="O745" s="377">
        <v>85.5</v>
      </c>
      <c r="P745" s="197">
        <f t="shared" si="543"/>
        <v>24535.507500000003</v>
      </c>
      <c r="Q745" s="198">
        <f t="shared" si="544"/>
        <v>32134.019360467031</v>
      </c>
      <c r="R745" s="199"/>
      <c r="X745" s="257"/>
    </row>
    <row r="746" spans="1:24" s="12" customFormat="1" ht="63" x14ac:dyDescent="0.2">
      <c r="A746" s="204">
        <f>IF(J746&lt;&gt;"",1+MAX($A$18:A745),"")</f>
        <v>526</v>
      </c>
      <c r="B746" s="201" t="s">
        <v>471</v>
      </c>
      <c r="C746" s="201" t="s">
        <v>524</v>
      </c>
      <c r="D746" s="201" t="s">
        <v>39</v>
      </c>
      <c r="E746" s="255" t="s">
        <v>152</v>
      </c>
      <c r="F746" s="188" t="s">
        <v>496</v>
      </c>
      <c r="G746" s="310">
        <v>188.55</v>
      </c>
      <c r="H746" s="205">
        <f>IF(VLOOKUP(J746,'HOURLY RATES'!B$116:C$124,2,0)=0,$J$3,VLOOKUP(J746,'HOURLY RATES'!B$116:C$124,2,0))</f>
        <v>0.05</v>
      </c>
      <c r="I746" s="317">
        <f t="shared" ref="I746:I747" si="545">(G746*(1+H746))</f>
        <v>197.97750000000002</v>
      </c>
      <c r="J746" s="192" t="s">
        <v>19</v>
      </c>
      <c r="K746" s="382">
        <v>0.23</v>
      </c>
      <c r="L746" s="228">
        <f t="shared" ref="L746:L747" si="546">K746*I746</f>
        <v>45.534825000000005</v>
      </c>
      <c r="M746" s="194">
        <f>IF(VLOOKUP(E746,'HOURLY RATES'!C$6:D$105,2,0)=0,$E$3,VLOOKUP(E746,'HOURLY RATES'!C$6:D$105,2,0))</f>
        <v>73.757326499999991</v>
      </c>
      <c r="N746" s="206">
        <f t="shared" ref="N746:N747" si="547">M746*L746</f>
        <v>3358.5269546453624</v>
      </c>
      <c r="O746" s="377">
        <v>37.5</v>
      </c>
      <c r="P746" s="197">
        <f t="shared" ref="P746:P747" si="548">O746*I746</f>
        <v>7424.1562500000009</v>
      </c>
      <c r="Q746" s="198">
        <f>P746+N746</f>
        <v>10782.683204645364</v>
      </c>
      <c r="R746" s="199"/>
      <c r="X746" s="257"/>
    </row>
    <row r="747" spans="1:24" s="12" customFormat="1" ht="63" x14ac:dyDescent="0.2">
      <c r="A747" s="204">
        <f>IF(J747&lt;&gt;"",1+MAX($A$18:A746),"")</f>
        <v>527</v>
      </c>
      <c r="B747" s="201" t="s">
        <v>471</v>
      </c>
      <c r="C747" s="201" t="s">
        <v>524</v>
      </c>
      <c r="D747" s="201" t="s">
        <v>39</v>
      </c>
      <c r="E747" s="255" t="s">
        <v>152</v>
      </c>
      <c r="F747" s="188" t="s">
        <v>497</v>
      </c>
      <c r="G747" s="310">
        <v>124.7</v>
      </c>
      <c r="H747" s="205">
        <f>IF(VLOOKUP(J747,'HOURLY RATES'!B$116:C$124,2,0)=0,$J$3,VLOOKUP(J747,'HOURLY RATES'!B$116:C$124,2,0))</f>
        <v>0.05</v>
      </c>
      <c r="I747" s="317">
        <f t="shared" si="545"/>
        <v>130.935</v>
      </c>
      <c r="J747" s="192" t="s">
        <v>17</v>
      </c>
      <c r="K747" s="382">
        <v>0.27200000000000002</v>
      </c>
      <c r="L747" s="228">
        <f t="shared" si="546"/>
        <v>35.614320000000006</v>
      </c>
      <c r="M747" s="194">
        <f>IF(VLOOKUP(E747,'HOURLY RATES'!C$6:D$105,2,0)=0,$E$3,VLOOKUP(E747,'HOURLY RATES'!C$6:D$105,2,0))</f>
        <v>73.757326499999991</v>
      </c>
      <c r="N747" s="206">
        <f t="shared" si="547"/>
        <v>2626.81702831548</v>
      </c>
      <c r="O747" s="377">
        <v>135.5</v>
      </c>
      <c r="P747" s="197">
        <f t="shared" si="548"/>
        <v>17741.692500000001</v>
      </c>
      <c r="Q747" s="198">
        <f t="shared" ref="Q747" si="549">P747+N747</f>
        <v>20368.509528315481</v>
      </c>
      <c r="R747" s="199"/>
      <c r="X747" s="257"/>
    </row>
    <row r="748" spans="1:24" s="12" customFormat="1" ht="63" x14ac:dyDescent="0.2">
      <c r="A748" s="204">
        <f>IF(J748&lt;&gt;"",1+MAX($A$18:A747),"")</f>
        <v>528</v>
      </c>
      <c r="B748" s="201" t="s">
        <v>471</v>
      </c>
      <c r="C748" s="201" t="s">
        <v>524</v>
      </c>
      <c r="D748" s="201" t="s">
        <v>39</v>
      </c>
      <c r="E748" s="255" t="s">
        <v>152</v>
      </c>
      <c r="F748" s="188" t="s">
        <v>498</v>
      </c>
      <c r="G748" s="310">
        <v>12.45</v>
      </c>
      <c r="H748" s="205">
        <f>IF(VLOOKUP(J748,'HOURLY RATES'!B$116:C$124,2,0)=0,$J$3,VLOOKUP(J748,'HOURLY RATES'!B$116:C$124,2,0))</f>
        <v>0.05</v>
      </c>
      <c r="I748" s="317">
        <f t="shared" ref="I748:I756" si="550">(G748*(1+H748))</f>
        <v>13.0725</v>
      </c>
      <c r="J748" s="192" t="s">
        <v>19</v>
      </c>
      <c r="K748" s="382">
        <v>0.23</v>
      </c>
      <c r="L748" s="228">
        <f t="shared" ref="L748:L756" si="551">K748*I748</f>
        <v>3.006675</v>
      </c>
      <c r="M748" s="194">
        <f>IF(VLOOKUP(E748,'HOURLY RATES'!C$6:D$105,2,0)=0,$E$3,VLOOKUP(E748,'HOURLY RATES'!C$6:D$105,2,0))</f>
        <v>73.757326499999991</v>
      </c>
      <c r="N748" s="206">
        <f t="shared" ref="N748:N756" si="552">M748*L748</f>
        <v>221.76430965438746</v>
      </c>
      <c r="O748" s="377">
        <v>37.5</v>
      </c>
      <c r="P748" s="197">
        <f t="shared" ref="P748:P756" si="553">O748*I748</f>
        <v>490.21875</v>
      </c>
      <c r="Q748" s="198">
        <f t="shared" ref="Q748:Q756" si="554">P748+N748</f>
        <v>711.98305965438749</v>
      </c>
      <c r="R748" s="199"/>
      <c r="X748" s="257"/>
    </row>
    <row r="749" spans="1:24" s="12" customFormat="1" ht="63" x14ac:dyDescent="0.2">
      <c r="A749" s="204">
        <f>IF(J749&lt;&gt;"",1+MAX($A$18:A748),"")</f>
        <v>529</v>
      </c>
      <c r="B749" s="201" t="s">
        <v>471</v>
      </c>
      <c r="C749" s="201" t="s">
        <v>524</v>
      </c>
      <c r="D749" s="201" t="s">
        <v>39</v>
      </c>
      <c r="E749" s="255" t="s">
        <v>152</v>
      </c>
      <c r="F749" s="188" t="s">
        <v>499</v>
      </c>
      <c r="G749" s="310">
        <f>76.63+(19*0.5)</f>
        <v>86.13</v>
      </c>
      <c r="H749" s="205">
        <f>IF(VLOOKUP(J749,'HOURLY RATES'!B$116:C$124,2,0)=0,$J$3,VLOOKUP(J749,'HOURLY RATES'!B$116:C$124,2,0))</f>
        <v>0.05</v>
      </c>
      <c r="I749" s="317">
        <f t="shared" si="550"/>
        <v>90.436499999999995</v>
      </c>
      <c r="J749" s="192" t="s">
        <v>17</v>
      </c>
      <c r="K749" s="382">
        <v>0.27200000000000002</v>
      </c>
      <c r="L749" s="228">
        <f t="shared" si="551"/>
        <v>24.598728000000001</v>
      </c>
      <c r="M749" s="194">
        <f>IF(VLOOKUP(E749,'HOURLY RATES'!C$6:D$105,2,0)=0,$E$3,VLOOKUP(E749,'HOURLY RATES'!C$6:D$105,2,0))</f>
        <v>73.757326499999991</v>
      </c>
      <c r="N749" s="206">
        <f t="shared" si="552"/>
        <v>1814.3364125806918</v>
      </c>
      <c r="O749" s="377">
        <v>135.5</v>
      </c>
      <c r="P749" s="197">
        <f t="shared" si="553"/>
        <v>12254.14575</v>
      </c>
      <c r="Q749" s="198">
        <f t="shared" si="554"/>
        <v>14068.482162580691</v>
      </c>
      <c r="R749" s="199"/>
      <c r="X749" s="257"/>
    </row>
    <row r="750" spans="1:24" s="12" customFormat="1" ht="63" x14ac:dyDescent="0.2">
      <c r="A750" s="204">
        <f>IF(J750&lt;&gt;"",1+MAX($A$18:A749),"")</f>
        <v>530</v>
      </c>
      <c r="B750" s="201" t="s">
        <v>471</v>
      </c>
      <c r="C750" s="201" t="s">
        <v>524</v>
      </c>
      <c r="D750" s="201" t="s">
        <v>39</v>
      </c>
      <c r="E750" s="255" t="s">
        <v>152</v>
      </c>
      <c r="F750" s="188" t="s">
        <v>500</v>
      </c>
      <c r="G750" s="310">
        <v>9.3699999999999992</v>
      </c>
      <c r="H750" s="205">
        <f>IF(VLOOKUP(J750,'HOURLY RATES'!B$116:C$124,2,0)=0,$J$3,VLOOKUP(J750,'HOURLY RATES'!B$116:C$124,2,0))</f>
        <v>0.05</v>
      </c>
      <c r="I750" s="317">
        <f t="shared" si="550"/>
        <v>9.8384999999999998</v>
      </c>
      <c r="J750" s="192" t="s">
        <v>19</v>
      </c>
      <c r="K750" s="382">
        <v>0.23</v>
      </c>
      <c r="L750" s="228">
        <f t="shared" si="551"/>
        <v>2.2628550000000001</v>
      </c>
      <c r="M750" s="194">
        <f>IF(VLOOKUP(E750,'HOURLY RATES'!C$6:D$105,2,0)=0,$E$3,VLOOKUP(E750,'HOURLY RATES'!C$6:D$105,2,0))</f>
        <v>73.757326499999991</v>
      </c>
      <c r="N750" s="206">
        <f t="shared" si="552"/>
        <v>166.90213505715749</v>
      </c>
      <c r="O750" s="377">
        <v>37.5</v>
      </c>
      <c r="P750" s="197">
        <f t="shared" si="553"/>
        <v>368.94374999999997</v>
      </c>
      <c r="Q750" s="198">
        <f t="shared" si="554"/>
        <v>535.84588505715749</v>
      </c>
      <c r="R750" s="199"/>
      <c r="X750" s="257"/>
    </row>
    <row r="751" spans="1:24" s="12" customFormat="1" ht="63" x14ac:dyDescent="0.2">
      <c r="A751" s="204">
        <f>IF(J751&lt;&gt;"",1+MAX($A$18:A750),"")</f>
        <v>531</v>
      </c>
      <c r="B751" s="201" t="s">
        <v>471</v>
      </c>
      <c r="C751" s="201" t="s">
        <v>524</v>
      </c>
      <c r="D751" s="201" t="s">
        <v>39</v>
      </c>
      <c r="E751" s="255" t="s">
        <v>152</v>
      </c>
      <c r="F751" s="188" t="s">
        <v>501</v>
      </c>
      <c r="G751" s="310">
        <v>37.46</v>
      </c>
      <c r="H751" s="205">
        <f>IF(VLOOKUP(J751,'HOURLY RATES'!B$116:C$124,2,0)=0,$J$3,VLOOKUP(J751,'HOURLY RATES'!B$116:C$124,2,0))</f>
        <v>0.05</v>
      </c>
      <c r="I751" s="317">
        <f t="shared" si="550"/>
        <v>39.333000000000006</v>
      </c>
      <c r="J751" s="192" t="s">
        <v>19</v>
      </c>
      <c r="K751" s="382">
        <v>0.23</v>
      </c>
      <c r="L751" s="228">
        <f t="shared" si="551"/>
        <v>9.0465900000000019</v>
      </c>
      <c r="M751" s="194">
        <f>IF(VLOOKUP(E751,'HOURLY RATES'!C$6:D$105,2,0)=0,$E$3,VLOOKUP(E751,'HOURLY RATES'!C$6:D$105,2,0))</f>
        <v>73.757326499999991</v>
      </c>
      <c r="N751" s="206">
        <f t="shared" si="552"/>
        <v>667.2522923416351</v>
      </c>
      <c r="O751" s="377">
        <v>37.5</v>
      </c>
      <c r="P751" s="197">
        <f t="shared" si="553"/>
        <v>1474.9875000000002</v>
      </c>
      <c r="Q751" s="198">
        <f t="shared" si="554"/>
        <v>2142.2397923416352</v>
      </c>
      <c r="R751" s="199"/>
      <c r="X751" s="257"/>
    </row>
    <row r="752" spans="1:24" s="12" customFormat="1" ht="63" x14ac:dyDescent="0.2">
      <c r="A752" s="204">
        <f>IF(J752&lt;&gt;"",1+MAX($A$18:A751),"")</f>
        <v>532</v>
      </c>
      <c r="B752" s="201" t="s">
        <v>471</v>
      </c>
      <c r="C752" s="201" t="s">
        <v>524</v>
      </c>
      <c r="D752" s="201" t="s">
        <v>39</v>
      </c>
      <c r="E752" s="255" t="s">
        <v>152</v>
      </c>
      <c r="F752" s="188" t="s">
        <v>502</v>
      </c>
      <c r="G752" s="310">
        <v>61.62</v>
      </c>
      <c r="H752" s="205">
        <f>IF(VLOOKUP(J752,'HOURLY RATES'!B$116:C$124,2,0)=0,$J$3,VLOOKUP(J752,'HOURLY RATES'!B$116:C$124,2,0))</f>
        <v>0.05</v>
      </c>
      <c r="I752" s="317">
        <f t="shared" si="550"/>
        <v>64.700999999999993</v>
      </c>
      <c r="J752" s="192" t="s">
        <v>17</v>
      </c>
      <c r="K752" s="382">
        <v>0.35899999999999999</v>
      </c>
      <c r="L752" s="228">
        <f t="shared" si="551"/>
        <v>23.227658999999996</v>
      </c>
      <c r="M752" s="194">
        <f>IF(VLOOKUP(E752,'HOURLY RATES'!C$6:D$105,2,0)=0,$E$3,VLOOKUP(E752,'HOURLY RATES'!C$6:D$105,2,0))</f>
        <v>73.757326499999991</v>
      </c>
      <c r="N752" s="206">
        <f t="shared" si="552"/>
        <v>1713.2100286936629</v>
      </c>
      <c r="O752" s="377">
        <v>85.5</v>
      </c>
      <c r="P752" s="197">
        <f t="shared" si="553"/>
        <v>5531.9354999999996</v>
      </c>
      <c r="Q752" s="198">
        <f t="shared" si="554"/>
        <v>7245.1455286936625</v>
      </c>
      <c r="R752" s="199"/>
      <c r="X752" s="257"/>
    </row>
    <row r="753" spans="1:24" s="12" customFormat="1" ht="63" x14ac:dyDescent="0.2">
      <c r="A753" s="204">
        <f>IF(J753&lt;&gt;"",1+MAX($A$18:A752),"")</f>
        <v>533</v>
      </c>
      <c r="B753" s="201" t="s">
        <v>471</v>
      </c>
      <c r="C753" s="201" t="s">
        <v>524</v>
      </c>
      <c r="D753" s="201" t="s">
        <v>39</v>
      </c>
      <c r="E753" s="255" t="s">
        <v>152</v>
      </c>
      <c r="F753" s="188" t="s">
        <v>503</v>
      </c>
      <c r="G753" s="310">
        <v>82.15</v>
      </c>
      <c r="H753" s="205">
        <f>IF(VLOOKUP(J753,'HOURLY RATES'!B$116:C$124,2,0)=0,$J$3,VLOOKUP(J753,'HOURLY RATES'!B$116:C$124,2,0))</f>
        <v>0.05</v>
      </c>
      <c r="I753" s="317">
        <f t="shared" si="550"/>
        <v>86.257500000000007</v>
      </c>
      <c r="J753" s="192" t="s">
        <v>17</v>
      </c>
      <c r="K753" s="382">
        <v>0.35899999999999999</v>
      </c>
      <c r="L753" s="228">
        <f t="shared" si="551"/>
        <v>30.966442500000003</v>
      </c>
      <c r="M753" s="194">
        <f>IF(VLOOKUP(E753,'HOURLY RATES'!C$6:D$105,2,0)=0,$E$3,VLOOKUP(E753,'HOURLY RATES'!C$6:D$105,2,0))</f>
        <v>73.757326499999991</v>
      </c>
      <c r="N753" s="206">
        <f t="shared" si="552"/>
        <v>2284.0020100159763</v>
      </c>
      <c r="O753" s="377">
        <v>85.5</v>
      </c>
      <c r="P753" s="197">
        <f t="shared" si="553"/>
        <v>7375.0162500000006</v>
      </c>
      <c r="Q753" s="198">
        <f t="shared" si="554"/>
        <v>9659.0182600159769</v>
      </c>
      <c r="R753" s="199"/>
      <c r="X753" s="257"/>
    </row>
    <row r="754" spans="1:24" s="12" customFormat="1" ht="63" x14ac:dyDescent="0.2">
      <c r="A754" s="204">
        <f>IF(J754&lt;&gt;"",1+MAX($A$18:A753),"")</f>
        <v>534</v>
      </c>
      <c r="B754" s="201" t="s">
        <v>471</v>
      </c>
      <c r="C754" s="201" t="s">
        <v>524</v>
      </c>
      <c r="D754" s="201" t="s">
        <v>39</v>
      </c>
      <c r="E754" s="255" t="s">
        <v>152</v>
      </c>
      <c r="F754" s="188" t="s">
        <v>504</v>
      </c>
      <c r="G754" s="310">
        <v>54.04</v>
      </c>
      <c r="H754" s="205">
        <f>IF(VLOOKUP(J754,'HOURLY RATES'!B$116:C$124,2,0)=0,$J$3,VLOOKUP(J754,'HOURLY RATES'!B$116:C$124,2,0))</f>
        <v>0.05</v>
      </c>
      <c r="I754" s="317">
        <f t="shared" si="550"/>
        <v>56.742000000000004</v>
      </c>
      <c r="J754" s="192" t="s">
        <v>19</v>
      </c>
      <c r="K754" s="382">
        <v>0.23</v>
      </c>
      <c r="L754" s="228">
        <f t="shared" si="551"/>
        <v>13.050660000000002</v>
      </c>
      <c r="M754" s="194">
        <f>IF(VLOOKUP(E754,'HOURLY RATES'!C$6:D$105,2,0)=0,$E$3,VLOOKUP(E754,'HOURLY RATES'!C$6:D$105,2,0))</f>
        <v>73.757326499999991</v>
      </c>
      <c r="N754" s="206">
        <f t="shared" si="552"/>
        <v>962.58179066049001</v>
      </c>
      <c r="O754" s="377">
        <v>37.5</v>
      </c>
      <c r="P754" s="197">
        <f t="shared" si="553"/>
        <v>2127.8250000000003</v>
      </c>
      <c r="Q754" s="198">
        <f t="shared" si="554"/>
        <v>3090.4067906604905</v>
      </c>
      <c r="R754" s="199"/>
      <c r="X754" s="257"/>
    </row>
    <row r="755" spans="1:24" s="12" customFormat="1" ht="63" x14ac:dyDescent="0.2">
      <c r="A755" s="204">
        <f>IF(J755&lt;&gt;"",1+MAX($A$18:A754),"")</f>
        <v>535</v>
      </c>
      <c r="B755" s="201" t="s">
        <v>471</v>
      </c>
      <c r="C755" s="201" t="s">
        <v>524</v>
      </c>
      <c r="D755" s="201" t="s">
        <v>39</v>
      </c>
      <c r="E755" s="255" t="s">
        <v>152</v>
      </c>
      <c r="F755" s="188" t="s">
        <v>505</v>
      </c>
      <c r="G755" s="310">
        <v>84.18</v>
      </c>
      <c r="H755" s="205">
        <f>IF(VLOOKUP(J755,'HOURLY RATES'!B$116:C$124,2,0)=0,$J$3,VLOOKUP(J755,'HOURLY RATES'!B$116:C$124,2,0))</f>
        <v>0.05</v>
      </c>
      <c r="I755" s="317">
        <f t="shared" si="550"/>
        <v>88.38900000000001</v>
      </c>
      <c r="J755" s="192" t="s">
        <v>17</v>
      </c>
      <c r="K755" s="382">
        <v>0.35899999999999999</v>
      </c>
      <c r="L755" s="228">
        <f t="shared" si="551"/>
        <v>31.731651000000003</v>
      </c>
      <c r="M755" s="194">
        <f>IF(VLOOKUP(E755,'HOURLY RATES'!C$6:D$105,2,0)=0,$E$3,VLOOKUP(E755,'HOURLY RATES'!C$6:D$105,2,0))</f>
        <v>73.757326499999991</v>
      </c>
      <c r="N755" s="206">
        <f t="shared" si="552"/>
        <v>2340.4417431910515</v>
      </c>
      <c r="O755" s="377">
        <v>85.5</v>
      </c>
      <c r="P755" s="197">
        <f t="shared" si="553"/>
        <v>7557.259500000001</v>
      </c>
      <c r="Q755" s="198">
        <f t="shared" si="554"/>
        <v>9897.7012431910516</v>
      </c>
      <c r="R755" s="199"/>
      <c r="X755" s="257"/>
    </row>
    <row r="756" spans="1:24" s="12" customFormat="1" ht="63" x14ac:dyDescent="0.2">
      <c r="A756" s="204">
        <f>IF(J756&lt;&gt;"",1+MAX($A$18:A755),"")</f>
        <v>536</v>
      </c>
      <c r="B756" s="201" t="s">
        <v>471</v>
      </c>
      <c r="C756" s="201" t="s">
        <v>524</v>
      </c>
      <c r="D756" s="201" t="s">
        <v>39</v>
      </c>
      <c r="E756" s="255" t="s">
        <v>152</v>
      </c>
      <c r="F756" s="188" t="s">
        <v>506</v>
      </c>
      <c r="G756" s="310">
        <v>50.78</v>
      </c>
      <c r="H756" s="205">
        <f>IF(VLOOKUP(J756,'HOURLY RATES'!B$116:C$124,2,0)=0,$J$3,VLOOKUP(J756,'HOURLY RATES'!B$116:C$124,2,0))</f>
        <v>0.05</v>
      </c>
      <c r="I756" s="317">
        <f t="shared" si="550"/>
        <v>53.319000000000003</v>
      </c>
      <c r="J756" s="192" t="s">
        <v>19</v>
      </c>
      <c r="K756" s="382">
        <v>0.23</v>
      </c>
      <c r="L756" s="228">
        <f t="shared" si="551"/>
        <v>12.263370000000002</v>
      </c>
      <c r="M756" s="194">
        <f>IF(VLOOKUP(E756,'HOURLY RATES'!C$6:D$105,2,0)=0,$E$3,VLOOKUP(E756,'HOURLY RATES'!C$6:D$105,2,0))</f>
        <v>73.757326499999991</v>
      </c>
      <c r="N756" s="206">
        <f t="shared" si="552"/>
        <v>904.51338508030506</v>
      </c>
      <c r="O756" s="377">
        <v>37.5</v>
      </c>
      <c r="P756" s="197">
        <f t="shared" si="553"/>
        <v>1999.4625000000001</v>
      </c>
      <c r="Q756" s="198">
        <f t="shared" si="554"/>
        <v>2903.975885080305</v>
      </c>
      <c r="R756" s="199"/>
      <c r="X756" s="257"/>
    </row>
    <row r="757" spans="1:24" s="12" customFormat="1" x14ac:dyDescent="0.2">
      <c r="A757" s="204" t="str">
        <f>IF(J757&lt;&gt;"",1+MAX($A$18:A756),"")</f>
        <v/>
      </c>
      <c r="B757" s="201"/>
      <c r="C757" s="201"/>
      <c r="D757" s="201"/>
      <c r="E757" s="255"/>
      <c r="F757" s="254"/>
      <c r="G757" s="310"/>
      <c r="H757" s="205"/>
      <c r="I757" s="317"/>
      <c r="J757" s="192"/>
      <c r="K757" s="382"/>
      <c r="L757" s="228"/>
      <c r="M757" s="194"/>
      <c r="N757" s="206"/>
      <c r="O757" s="377"/>
      <c r="P757" s="197"/>
      <c r="Q757" s="198"/>
      <c r="R757" s="199"/>
      <c r="X757" s="257"/>
    </row>
    <row r="758" spans="1:24" s="12" customFormat="1" x14ac:dyDescent="0.2">
      <c r="A758" s="204" t="str">
        <f>IF(J758&lt;&gt;"",1+MAX($A$18:A757),"")</f>
        <v/>
      </c>
      <c r="B758" s="201"/>
      <c r="C758" s="201"/>
      <c r="D758" s="201"/>
      <c r="E758" s="255"/>
      <c r="F758" s="202" t="s">
        <v>752</v>
      </c>
      <c r="G758" s="310"/>
      <c r="H758" s="205"/>
      <c r="I758" s="317"/>
      <c r="J758" s="192"/>
      <c r="K758" s="382"/>
      <c r="L758" s="228"/>
      <c r="M758" s="194"/>
      <c r="N758" s="206"/>
      <c r="O758" s="377"/>
      <c r="P758" s="197"/>
      <c r="Q758" s="198"/>
      <c r="R758" s="199"/>
      <c r="X758" s="257"/>
    </row>
    <row r="759" spans="1:24" s="12" customFormat="1" x14ac:dyDescent="0.2">
      <c r="A759" s="204">
        <f>IF(J759&lt;&gt;"",1+MAX($A$18:A758),"")</f>
        <v>537</v>
      </c>
      <c r="B759" s="201" t="s">
        <v>471</v>
      </c>
      <c r="C759" s="201" t="s">
        <v>524</v>
      </c>
      <c r="D759" s="201" t="s">
        <v>39</v>
      </c>
      <c r="E759" s="255" t="s">
        <v>67</v>
      </c>
      <c r="F759" s="252" t="s">
        <v>476</v>
      </c>
      <c r="G759" s="310">
        <v>4.0199999999999996</v>
      </c>
      <c r="H759" s="205">
        <f>IF(VLOOKUP(J759,'HOURLY RATES'!B$116:C$124,2,0)=0,$J$3,VLOOKUP(J759,'HOURLY RATES'!B$116:C$124,2,0))</f>
        <v>0.05</v>
      </c>
      <c r="I759" s="317">
        <f t="shared" ref="I759:I760" si="555">(G759*(1+H759))</f>
        <v>4.2210000000000001</v>
      </c>
      <c r="J759" s="192" t="s">
        <v>19</v>
      </c>
      <c r="K759" s="382">
        <f>2*0.475</f>
        <v>0.95</v>
      </c>
      <c r="L759" s="228">
        <f t="shared" ref="L759:L760" si="556">K759*I759</f>
        <v>4.0099499999999999</v>
      </c>
      <c r="M759" s="194">
        <f>IF(VLOOKUP(E759,'HOURLY RATES'!C$6:D$105,2,0)=0,$E$3,VLOOKUP(E759,'HOURLY RATES'!C$6:D$105,2,0))</f>
        <v>69.559850000000012</v>
      </c>
      <c r="N759" s="206">
        <f t="shared" ref="N759:N760" si="557">M759*L759</f>
        <v>278.93152050750007</v>
      </c>
      <c r="O759" s="377">
        <f>138.5*(2.5/2)*(0.5/3)</f>
        <v>28.854166666666664</v>
      </c>
      <c r="P759" s="197">
        <f t="shared" ref="P759:P760" si="558">O759*I759</f>
        <v>121.7934375</v>
      </c>
      <c r="Q759" s="198">
        <f t="shared" ref="Q759:Q760" si="559">P759+N759</f>
        <v>400.72495800750005</v>
      </c>
      <c r="R759" s="199"/>
      <c r="X759" s="257"/>
    </row>
    <row r="760" spans="1:24" s="12" customFormat="1" x14ac:dyDescent="0.2">
      <c r="A760" s="204">
        <f>IF(J760&lt;&gt;"",1+MAX($A$18:A759),"")</f>
        <v>538</v>
      </c>
      <c r="B760" s="201" t="s">
        <v>471</v>
      </c>
      <c r="C760" s="201" t="s">
        <v>524</v>
      </c>
      <c r="D760" s="201" t="s">
        <v>39</v>
      </c>
      <c r="E760" s="255" t="s">
        <v>67</v>
      </c>
      <c r="F760" s="252" t="s">
        <v>507</v>
      </c>
      <c r="G760" s="310">
        <v>56.64</v>
      </c>
      <c r="H760" s="205">
        <f>IF(VLOOKUP(J760,'HOURLY RATES'!B$116:C$124,2,0)=0,$J$3,VLOOKUP(J760,'HOURLY RATES'!B$116:C$124,2,0))</f>
        <v>0.05</v>
      </c>
      <c r="I760" s="317">
        <f t="shared" si="555"/>
        <v>59.472000000000001</v>
      </c>
      <c r="J760" s="192" t="s">
        <v>19</v>
      </c>
      <c r="K760" s="382">
        <v>1.1000000000000001</v>
      </c>
      <c r="L760" s="228">
        <f t="shared" si="556"/>
        <v>65.419200000000004</v>
      </c>
      <c r="M760" s="194">
        <f>IF(VLOOKUP(E760,'HOURLY RATES'!C$6:D$105,2,0)=0,$E$3,VLOOKUP(E760,'HOURLY RATES'!C$6:D$105,2,0))</f>
        <v>69.559850000000012</v>
      </c>
      <c r="N760" s="206">
        <f t="shared" si="557"/>
        <v>4550.5497391200006</v>
      </c>
      <c r="O760" s="377">
        <f>138.5*2.5/3</f>
        <v>115.41666666666667</v>
      </c>
      <c r="P760" s="197">
        <f t="shared" si="558"/>
        <v>6864.06</v>
      </c>
      <c r="Q760" s="198">
        <f t="shared" si="559"/>
        <v>11414.609739120002</v>
      </c>
      <c r="R760" s="199"/>
      <c r="X760" s="257"/>
    </row>
    <row r="761" spans="1:24" s="12" customFormat="1" x14ac:dyDescent="0.2">
      <c r="A761" s="204">
        <f>IF(J761&lt;&gt;"",1+MAX($A$18:A760),"")</f>
        <v>539</v>
      </c>
      <c r="B761" s="201" t="s">
        <v>471</v>
      </c>
      <c r="C761" s="201" t="s">
        <v>524</v>
      </c>
      <c r="D761" s="201" t="s">
        <v>39</v>
      </c>
      <c r="E761" s="255" t="s">
        <v>67</v>
      </c>
      <c r="F761" s="252" t="s">
        <v>508</v>
      </c>
      <c r="G761" s="310">
        <v>84.23</v>
      </c>
      <c r="H761" s="205">
        <f>IF(VLOOKUP(J761,'HOURLY RATES'!B$116:C$124,2,0)=0,$J$3,VLOOKUP(J761,'HOURLY RATES'!B$116:C$124,2,0))</f>
        <v>0.05</v>
      </c>
      <c r="I761" s="317">
        <f t="shared" ref="I761:I799" si="560">(G761*(1+H761))</f>
        <v>88.441500000000005</v>
      </c>
      <c r="J761" s="192" t="s">
        <v>19</v>
      </c>
      <c r="K761" s="382">
        <v>1.1000000000000001</v>
      </c>
      <c r="L761" s="228">
        <f t="shared" ref="L761:L799" si="561">K761*I761</f>
        <v>97.285650000000018</v>
      </c>
      <c r="M761" s="194">
        <f>IF(VLOOKUP(E761,'HOURLY RATES'!C$6:D$105,2,0)=0,$E$3,VLOOKUP(E761,'HOURLY RATES'!C$6:D$105,2,0))</f>
        <v>69.559850000000012</v>
      </c>
      <c r="N761" s="206">
        <f t="shared" ref="N761:N799" si="562">M761*L761</f>
        <v>6767.1752211525027</v>
      </c>
      <c r="O761" s="377">
        <f>138.5*2.33/3</f>
        <v>107.56833333333333</v>
      </c>
      <c r="P761" s="197">
        <f t="shared" ref="P761:P799" si="563">O761*I761</f>
        <v>9513.5047525000009</v>
      </c>
      <c r="Q761" s="198">
        <f t="shared" ref="Q761:Q799" si="564">P761+N761</f>
        <v>16280.679973652503</v>
      </c>
      <c r="R761" s="199"/>
      <c r="X761" s="257"/>
    </row>
    <row r="762" spans="1:24" s="12" customFormat="1" x14ac:dyDescent="0.2">
      <c r="A762" s="204">
        <f>IF(J762&lt;&gt;"",1+MAX($A$18:A761),"")</f>
        <v>540</v>
      </c>
      <c r="B762" s="201" t="s">
        <v>471</v>
      </c>
      <c r="C762" s="201" t="s">
        <v>524</v>
      </c>
      <c r="D762" s="201" t="s">
        <v>39</v>
      </c>
      <c r="E762" s="255" t="s">
        <v>67</v>
      </c>
      <c r="F762" s="252" t="s">
        <v>509</v>
      </c>
      <c r="G762" s="310">
        <v>19.440000000000001</v>
      </c>
      <c r="H762" s="205">
        <f>IF(VLOOKUP(J762,'HOURLY RATES'!B$116:C$124,2,0)=0,$J$3,VLOOKUP(J762,'HOURLY RATES'!B$116:C$124,2,0))</f>
        <v>0.05</v>
      </c>
      <c r="I762" s="317">
        <f t="shared" si="560"/>
        <v>20.412000000000003</v>
      </c>
      <c r="J762" s="192" t="s">
        <v>19</v>
      </c>
      <c r="K762" s="382">
        <v>1.1000000000000001</v>
      </c>
      <c r="L762" s="228">
        <f t="shared" si="561"/>
        <v>22.453200000000006</v>
      </c>
      <c r="M762" s="194">
        <f>IF(VLOOKUP(E762,'HOURLY RATES'!C$6:D$105,2,0)=0,$E$3,VLOOKUP(E762,'HOURLY RATES'!C$6:D$105,2,0))</f>
        <v>69.559850000000012</v>
      </c>
      <c r="N762" s="206">
        <f t="shared" si="562"/>
        <v>1561.8412240200007</v>
      </c>
      <c r="O762" s="377">
        <f>138.5*2.17/3</f>
        <v>100.18166666666667</v>
      </c>
      <c r="P762" s="197">
        <f t="shared" si="563"/>
        <v>2044.9081800000004</v>
      </c>
      <c r="Q762" s="198">
        <f t="shared" si="564"/>
        <v>3606.7494040200008</v>
      </c>
      <c r="R762" s="199"/>
      <c r="X762" s="257"/>
    </row>
    <row r="763" spans="1:24" s="12" customFormat="1" x14ac:dyDescent="0.2">
      <c r="A763" s="204">
        <f>IF(J763&lt;&gt;"",1+MAX($A$18:A762),"")</f>
        <v>541</v>
      </c>
      <c r="B763" s="201" t="s">
        <v>471</v>
      </c>
      <c r="C763" s="201" t="s">
        <v>524</v>
      </c>
      <c r="D763" s="201" t="s">
        <v>39</v>
      </c>
      <c r="E763" s="255" t="s">
        <v>67</v>
      </c>
      <c r="F763" s="252" t="s">
        <v>510</v>
      </c>
      <c r="G763" s="310">
        <v>6.41</v>
      </c>
      <c r="H763" s="205">
        <f>IF(VLOOKUP(J763,'HOURLY RATES'!B$116:C$124,2,0)=0,$J$3,VLOOKUP(J763,'HOURLY RATES'!B$116:C$124,2,0))</f>
        <v>0.05</v>
      </c>
      <c r="I763" s="317">
        <f t="shared" si="560"/>
        <v>6.7305000000000001</v>
      </c>
      <c r="J763" s="192" t="s">
        <v>19</v>
      </c>
      <c r="K763" s="382">
        <f>2*1.1</f>
        <v>2.2000000000000002</v>
      </c>
      <c r="L763" s="228">
        <f t="shared" si="561"/>
        <v>14.807100000000002</v>
      </c>
      <c r="M763" s="194">
        <f>IF(VLOOKUP(E763,'HOURLY RATES'!C$6:D$105,2,0)=0,$E$3,VLOOKUP(E763,'HOURLY RATES'!C$6:D$105,2,0))</f>
        <v>69.559850000000012</v>
      </c>
      <c r="N763" s="206">
        <f t="shared" si="562"/>
        <v>1029.9796549350003</v>
      </c>
      <c r="O763" s="377">
        <f>138.5*2/3</f>
        <v>92.333333333333329</v>
      </c>
      <c r="P763" s="197">
        <f t="shared" si="563"/>
        <v>621.44949999999994</v>
      </c>
      <c r="Q763" s="198">
        <f t="shared" si="564"/>
        <v>1651.4291549350003</v>
      </c>
      <c r="R763" s="199"/>
      <c r="X763" s="257"/>
    </row>
    <row r="764" spans="1:24" s="12" customFormat="1" x14ac:dyDescent="0.2">
      <c r="A764" s="204">
        <f>IF(J764&lt;&gt;"",1+MAX($A$18:A763),"")</f>
        <v>542</v>
      </c>
      <c r="B764" s="201" t="s">
        <v>471</v>
      </c>
      <c r="C764" s="201" t="s">
        <v>524</v>
      </c>
      <c r="D764" s="201" t="s">
        <v>39</v>
      </c>
      <c r="E764" s="255" t="s">
        <v>67</v>
      </c>
      <c r="F764" s="252" t="s">
        <v>511</v>
      </c>
      <c r="G764" s="310">
        <v>25.76</v>
      </c>
      <c r="H764" s="205">
        <f>IF(VLOOKUP(J764,'HOURLY RATES'!B$116:C$124,2,0)=0,$J$3,VLOOKUP(J764,'HOURLY RATES'!B$116:C$124,2,0))</f>
        <v>0.05</v>
      </c>
      <c r="I764" s="317">
        <f t="shared" si="560"/>
        <v>27.048000000000002</v>
      </c>
      <c r="J764" s="192" t="s">
        <v>19</v>
      </c>
      <c r="K764" s="382">
        <v>1.1000000000000001</v>
      </c>
      <c r="L764" s="228">
        <f t="shared" si="561"/>
        <v>29.752800000000004</v>
      </c>
      <c r="M764" s="194">
        <f>IF(VLOOKUP(E764,'HOURLY RATES'!C$6:D$105,2,0)=0,$E$3,VLOOKUP(E764,'HOURLY RATES'!C$6:D$105,2,0))</f>
        <v>69.559850000000012</v>
      </c>
      <c r="N764" s="206">
        <f t="shared" si="562"/>
        <v>2069.6003050800005</v>
      </c>
      <c r="O764" s="377">
        <f>138.5*2/3</f>
        <v>92.333333333333329</v>
      </c>
      <c r="P764" s="197">
        <f t="shared" si="563"/>
        <v>2497.4320000000002</v>
      </c>
      <c r="Q764" s="198">
        <f t="shared" si="564"/>
        <v>4567.0323050800007</v>
      </c>
      <c r="R764" s="199"/>
      <c r="X764" s="257"/>
    </row>
    <row r="765" spans="1:24" s="12" customFormat="1" x14ac:dyDescent="0.2">
      <c r="A765" s="204">
        <f>IF(J765&lt;&gt;"",1+MAX($A$18:A764),"")</f>
        <v>543</v>
      </c>
      <c r="B765" s="201" t="s">
        <v>471</v>
      </c>
      <c r="C765" s="201" t="s">
        <v>524</v>
      </c>
      <c r="D765" s="201" t="s">
        <v>39</v>
      </c>
      <c r="E765" s="255" t="s">
        <v>67</v>
      </c>
      <c r="F765" s="252" t="s">
        <v>512</v>
      </c>
      <c r="G765" s="310">
        <v>13.71</v>
      </c>
      <c r="H765" s="205">
        <f>IF(VLOOKUP(J765,'HOURLY RATES'!B$116:C$124,2,0)=0,$J$3,VLOOKUP(J765,'HOURLY RATES'!B$116:C$124,2,0))</f>
        <v>0.05</v>
      </c>
      <c r="I765" s="317">
        <f t="shared" si="560"/>
        <v>14.395500000000002</v>
      </c>
      <c r="J765" s="192" t="s">
        <v>19</v>
      </c>
      <c r="K765" s="382">
        <f>1.5*1.1</f>
        <v>1.6500000000000001</v>
      </c>
      <c r="L765" s="228">
        <f t="shared" si="561"/>
        <v>23.752575000000004</v>
      </c>
      <c r="M765" s="194">
        <f>IF(VLOOKUP(E765,'HOURLY RATES'!C$6:D$105,2,0)=0,$E$3,VLOOKUP(E765,'HOURLY RATES'!C$6:D$105,2,0))</f>
        <v>69.559850000000012</v>
      </c>
      <c r="N765" s="206">
        <f t="shared" si="562"/>
        <v>1652.2255541137506</v>
      </c>
      <c r="O765" s="377">
        <f>138.5*2.5/3</f>
        <v>115.41666666666667</v>
      </c>
      <c r="P765" s="197">
        <f t="shared" si="563"/>
        <v>1661.4806250000004</v>
      </c>
      <c r="Q765" s="198">
        <f t="shared" si="564"/>
        <v>3313.7061791137512</v>
      </c>
      <c r="R765" s="199"/>
      <c r="X765" s="257"/>
    </row>
    <row r="766" spans="1:24" s="12" customFormat="1" x14ac:dyDescent="0.2">
      <c r="A766" s="204">
        <f>IF(J766&lt;&gt;"",1+MAX($A$18:A765),"")</f>
        <v>544</v>
      </c>
      <c r="B766" s="201" t="s">
        <v>471</v>
      </c>
      <c r="C766" s="201" t="s">
        <v>524</v>
      </c>
      <c r="D766" s="201" t="s">
        <v>39</v>
      </c>
      <c r="E766" s="255" t="s">
        <v>67</v>
      </c>
      <c r="F766" s="252" t="s">
        <v>513</v>
      </c>
      <c r="G766" s="310">
        <v>11.99</v>
      </c>
      <c r="H766" s="205">
        <f>IF(VLOOKUP(J766,'HOURLY RATES'!B$116:C$124,2,0)=0,$J$3,VLOOKUP(J766,'HOURLY RATES'!B$116:C$124,2,0))</f>
        <v>0.05</v>
      </c>
      <c r="I766" s="317">
        <f t="shared" si="560"/>
        <v>12.589500000000001</v>
      </c>
      <c r="J766" s="192" t="s">
        <v>19</v>
      </c>
      <c r="K766" s="382">
        <f>1.5*0.8</f>
        <v>1.2000000000000002</v>
      </c>
      <c r="L766" s="228">
        <f t="shared" si="561"/>
        <v>15.107400000000004</v>
      </c>
      <c r="M766" s="194">
        <f>IF(VLOOKUP(E766,'HOURLY RATES'!C$6:D$105,2,0)=0,$E$3,VLOOKUP(E766,'HOURLY RATES'!C$6:D$105,2,0))</f>
        <v>69.559850000000012</v>
      </c>
      <c r="N766" s="206">
        <f t="shared" si="562"/>
        <v>1050.8684778900003</v>
      </c>
      <c r="O766" s="377">
        <f>82.5*1.5/3</f>
        <v>41.25</v>
      </c>
      <c r="P766" s="197">
        <f t="shared" si="563"/>
        <v>519.3168750000001</v>
      </c>
      <c r="Q766" s="198">
        <f t="shared" si="564"/>
        <v>1570.1853528900006</v>
      </c>
      <c r="R766" s="199"/>
      <c r="X766" s="257"/>
    </row>
    <row r="767" spans="1:24" s="12" customFormat="1" x14ac:dyDescent="0.2">
      <c r="A767" s="204">
        <f>IF(J767&lt;&gt;"",1+MAX($A$18:A766),"")</f>
        <v>545</v>
      </c>
      <c r="B767" s="201" t="s">
        <v>471</v>
      </c>
      <c r="C767" s="201" t="s">
        <v>524</v>
      </c>
      <c r="D767" s="201" t="s">
        <v>39</v>
      </c>
      <c r="E767" s="255" t="s">
        <v>67</v>
      </c>
      <c r="F767" s="252" t="s">
        <v>514</v>
      </c>
      <c r="G767" s="310">
        <v>23.17</v>
      </c>
      <c r="H767" s="205">
        <f>IF(VLOOKUP(J767,'HOURLY RATES'!B$116:C$124,2,0)=0,$J$3,VLOOKUP(J767,'HOURLY RATES'!B$116:C$124,2,0))</f>
        <v>0.05</v>
      </c>
      <c r="I767" s="317">
        <f t="shared" si="560"/>
        <v>24.328500000000002</v>
      </c>
      <c r="J767" s="192" t="s">
        <v>19</v>
      </c>
      <c r="K767" s="382">
        <f>1.5*0.8</f>
        <v>1.2000000000000002</v>
      </c>
      <c r="L767" s="228">
        <f t="shared" si="561"/>
        <v>29.194200000000006</v>
      </c>
      <c r="M767" s="194">
        <f>IF(VLOOKUP(E767,'HOURLY RATES'!C$6:D$105,2,0)=0,$E$3,VLOOKUP(E767,'HOURLY RATES'!C$6:D$105,2,0))</f>
        <v>69.559850000000012</v>
      </c>
      <c r="N767" s="206">
        <f t="shared" si="562"/>
        <v>2030.7441728700007</v>
      </c>
      <c r="O767" s="377">
        <f>82.5*2/3</f>
        <v>55</v>
      </c>
      <c r="P767" s="197">
        <f t="shared" si="563"/>
        <v>1338.0675000000001</v>
      </c>
      <c r="Q767" s="198">
        <f t="shared" si="564"/>
        <v>3368.8116728700006</v>
      </c>
      <c r="R767" s="199"/>
      <c r="X767" s="257"/>
    </row>
    <row r="768" spans="1:24" s="12" customFormat="1" x14ac:dyDescent="0.2">
      <c r="A768" s="204">
        <f>IF(J768&lt;&gt;"",1+MAX($A$18:A767),"")</f>
        <v>546</v>
      </c>
      <c r="B768" s="201" t="s">
        <v>471</v>
      </c>
      <c r="C768" s="201" t="s">
        <v>524</v>
      </c>
      <c r="D768" s="201" t="s">
        <v>39</v>
      </c>
      <c r="E768" s="255" t="s">
        <v>67</v>
      </c>
      <c r="F768" s="252" t="s">
        <v>515</v>
      </c>
      <c r="G768" s="310">
        <v>99.21</v>
      </c>
      <c r="H768" s="205">
        <f>IF(VLOOKUP(J768,'HOURLY RATES'!B$116:C$124,2,0)=0,$J$3,VLOOKUP(J768,'HOURLY RATES'!B$116:C$124,2,0))</f>
        <v>0.05</v>
      </c>
      <c r="I768" s="317">
        <f t="shared" si="560"/>
        <v>104.1705</v>
      </c>
      <c r="J768" s="192" t="s">
        <v>19</v>
      </c>
      <c r="K768" s="382">
        <v>0.8</v>
      </c>
      <c r="L768" s="228">
        <f t="shared" si="561"/>
        <v>83.336400000000012</v>
      </c>
      <c r="M768" s="194">
        <f>IF(VLOOKUP(E768,'HOURLY RATES'!C$6:D$105,2,0)=0,$E$3,VLOOKUP(E768,'HOURLY RATES'!C$6:D$105,2,0))</f>
        <v>69.559850000000012</v>
      </c>
      <c r="N768" s="206">
        <f t="shared" si="562"/>
        <v>5796.8674835400016</v>
      </c>
      <c r="O768" s="377">
        <f>82.5*2.5/3</f>
        <v>68.75</v>
      </c>
      <c r="P768" s="197">
        <f t="shared" si="563"/>
        <v>7161.7218750000002</v>
      </c>
      <c r="Q768" s="198">
        <f t="shared" si="564"/>
        <v>12958.589358540001</v>
      </c>
      <c r="R768" s="199"/>
      <c r="X768" s="257"/>
    </row>
    <row r="769" spans="1:24" s="12" customFormat="1" x14ac:dyDescent="0.2">
      <c r="A769" s="204">
        <f>IF(J769&lt;&gt;"",1+MAX($A$18:A768),"")</f>
        <v>547</v>
      </c>
      <c r="B769" s="201" t="s">
        <v>471</v>
      </c>
      <c r="C769" s="201" t="s">
        <v>524</v>
      </c>
      <c r="D769" s="201" t="s">
        <v>39</v>
      </c>
      <c r="E769" s="255" t="s">
        <v>67</v>
      </c>
      <c r="F769" s="252" t="s">
        <v>477</v>
      </c>
      <c r="G769" s="310">
        <v>2.94</v>
      </c>
      <c r="H769" s="205">
        <f>IF(VLOOKUP(J769,'HOURLY RATES'!B$116:C$124,2,0)=0,$J$3,VLOOKUP(J769,'HOURLY RATES'!B$116:C$124,2,0))</f>
        <v>0.05</v>
      </c>
      <c r="I769" s="317">
        <f t="shared" si="560"/>
        <v>3.0870000000000002</v>
      </c>
      <c r="J769" s="192" t="s">
        <v>19</v>
      </c>
      <c r="K769" s="382">
        <f t="shared" ref="K769:K774" si="565">2*1.1</f>
        <v>2.2000000000000002</v>
      </c>
      <c r="L769" s="228">
        <f t="shared" si="561"/>
        <v>6.7914000000000012</v>
      </c>
      <c r="M769" s="194">
        <f>IF(VLOOKUP(E769,'HOURLY RATES'!C$6:D$105,2,0)=0,$E$3,VLOOKUP(E769,'HOURLY RATES'!C$6:D$105,2,0))</f>
        <v>69.559850000000012</v>
      </c>
      <c r="N769" s="206">
        <f t="shared" si="562"/>
        <v>472.40876529000019</v>
      </c>
      <c r="O769" s="377">
        <v>96</v>
      </c>
      <c r="P769" s="197">
        <f t="shared" si="563"/>
        <v>296.35200000000003</v>
      </c>
      <c r="Q769" s="198">
        <f t="shared" si="564"/>
        <v>768.76076529000022</v>
      </c>
      <c r="R769" s="199"/>
      <c r="X769" s="257"/>
    </row>
    <row r="770" spans="1:24" s="12" customFormat="1" x14ac:dyDescent="0.2">
      <c r="A770" s="204">
        <f>IF(J770&lt;&gt;"",1+MAX($A$18:A769),"")</f>
        <v>548</v>
      </c>
      <c r="B770" s="201" t="s">
        <v>471</v>
      </c>
      <c r="C770" s="201" t="s">
        <v>524</v>
      </c>
      <c r="D770" s="201" t="s">
        <v>39</v>
      </c>
      <c r="E770" s="255" t="s">
        <v>67</v>
      </c>
      <c r="F770" s="252" t="s">
        <v>478</v>
      </c>
      <c r="G770" s="310">
        <v>2.4900000000000002</v>
      </c>
      <c r="H770" s="205">
        <f>IF(VLOOKUP(J770,'HOURLY RATES'!B$116:C$124,2,0)=0,$J$3,VLOOKUP(J770,'HOURLY RATES'!B$116:C$124,2,0))</f>
        <v>0.05</v>
      </c>
      <c r="I770" s="317">
        <f t="shared" si="560"/>
        <v>2.6145000000000005</v>
      </c>
      <c r="J770" s="192" t="s">
        <v>19</v>
      </c>
      <c r="K770" s="382">
        <f t="shared" si="565"/>
        <v>2.2000000000000002</v>
      </c>
      <c r="L770" s="228">
        <f t="shared" si="561"/>
        <v>5.7519000000000018</v>
      </c>
      <c r="M770" s="194">
        <f>IF(VLOOKUP(E770,'HOURLY RATES'!C$6:D$105,2,0)=0,$E$3,VLOOKUP(E770,'HOURLY RATES'!C$6:D$105,2,0))</f>
        <v>69.559850000000012</v>
      </c>
      <c r="N770" s="206">
        <f t="shared" si="562"/>
        <v>400.10130121500021</v>
      </c>
      <c r="O770" s="377">
        <v>96</v>
      </c>
      <c r="P770" s="197">
        <f t="shared" si="563"/>
        <v>250.99200000000005</v>
      </c>
      <c r="Q770" s="198">
        <f t="shared" si="564"/>
        <v>651.09330121500022</v>
      </c>
      <c r="R770" s="199"/>
      <c r="X770" s="257"/>
    </row>
    <row r="771" spans="1:24" s="12" customFormat="1" x14ac:dyDescent="0.2">
      <c r="A771" s="204">
        <f>IF(J771&lt;&gt;"",1+MAX($A$18:A770),"")</f>
        <v>549</v>
      </c>
      <c r="B771" s="201" t="s">
        <v>471</v>
      </c>
      <c r="C771" s="201" t="s">
        <v>524</v>
      </c>
      <c r="D771" s="201" t="s">
        <v>39</v>
      </c>
      <c r="E771" s="255" t="s">
        <v>67</v>
      </c>
      <c r="F771" s="252" t="s">
        <v>516</v>
      </c>
      <c r="G771" s="310">
        <v>7.54</v>
      </c>
      <c r="H771" s="205">
        <f>IF(VLOOKUP(J771,'HOURLY RATES'!B$116:C$124,2,0)=0,$J$3,VLOOKUP(J771,'HOURLY RATES'!B$116:C$124,2,0))</f>
        <v>0.05</v>
      </c>
      <c r="I771" s="317">
        <f t="shared" si="560"/>
        <v>7.9170000000000007</v>
      </c>
      <c r="J771" s="192" t="s">
        <v>19</v>
      </c>
      <c r="K771" s="382">
        <f t="shared" si="565"/>
        <v>2.2000000000000002</v>
      </c>
      <c r="L771" s="228">
        <f t="shared" si="561"/>
        <v>17.417400000000004</v>
      </c>
      <c r="M771" s="194">
        <f>IF(VLOOKUP(E771,'HOURLY RATES'!C$6:D$105,2,0)=0,$E$3,VLOOKUP(E771,'HOURLY RATES'!C$6:D$105,2,0))</f>
        <v>69.559850000000012</v>
      </c>
      <c r="N771" s="206">
        <f t="shared" si="562"/>
        <v>1211.5517313900004</v>
      </c>
      <c r="O771" s="377">
        <f>138.5*2.33/3</f>
        <v>107.56833333333333</v>
      </c>
      <c r="P771" s="197">
        <f t="shared" si="563"/>
        <v>851.61849500000005</v>
      </c>
      <c r="Q771" s="198">
        <f t="shared" si="564"/>
        <v>2063.1702263900006</v>
      </c>
      <c r="R771" s="199"/>
      <c r="X771" s="257"/>
    </row>
    <row r="772" spans="1:24" s="12" customFormat="1" x14ac:dyDescent="0.2">
      <c r="A772" s="204">
        <f>IF(J772&lt;&gt;"",1+MAX($A$18:A771),"")</f>
        <v>550</v>
      </c>
      <c r="B772" s="201" t="s">
        <v>471</v>
      </c>
      <c r="C772" s="201" t="s">
        <v>524</v>
      </c>
      <c r="D772" s="201" t="s">
        <v>39</v>
      </c>
      <c r="E772" s="255" t="s">
        <v>67</v>
      </c>
      <c r="F772" s="252" t="s">
        <v>517</v>
      </c>
      <c r="G772" s="310">
        <v>8.66</v>
      </c>
      <c r="H772" s="205">
        <f>IF(VLOOKUP(J772,'HOURLY RATES'!B$116:C$124,2,0)=0,$J$3,VLOOKUP(J772,'HOURLY RATES'!B$116:C$124,2,0))</f>
        <v>0.05</v>
      </c>
      <c r="I772" s="317">
        <f t="shared" si="560"/>
        <v>9.093</v>
      </c>
      <c r="J772" s="192" t="s">
        <v>19</v>
      </c>
      <c r="K772" s="382">
        <f t="shared" si="565"/>
        <v>2.2000000000000002</v>
      </c>
      <c r="L772" s="228">
        <f t="shared" si="561"/>
        <v>20.0046</v>
      </c>
      <c r="M772" s="194">
        <f>IF(VLOOKUP(E772,'HOURLY RATES'!C$6:D$105,2,0)=0,$E$3,VLOOKUP(E772,'HOURLY RATES'!C$6:D$105,2,0))</f>
        <v>69.559850000000012</v>
      </c>
      <c r="N772" s="206">
        <f t="shared" si="562"/>
        <v>1391.5169753100001</v>
      </c>
      <c r="O772" s="377">
        <f>138.5*6.67/3</f>
        <v>307.93166666666667</v>
      </c>
      <c r="P772" s="197">
        <f t="shared" si="563"/>
        <v>2800.022645</v>
      </c>
      <c r="Q772" s="198">
        <f t="shared" si="564"/>
        <v>4191.5396203099999</v>
      </c>
      <c r="R772" s="199"/>
      <c r="X772" s="257"/>
    </row>
    <row r="773" spans="1:24" s="12" customFormat="1" x14ac:dyDescent="0.2">
      <c r="A773" s="204">
        <f>IF(J773&lt;&gt;"",1+MAX($A$18:A772),"")</f>
        <v>551</v>
      </c>
      <c r="B773" s="201" t="s">
        <v>471</v>
      </c>
      <c r="C773" s="201" t="s">
        <v>524</v>
      </c>
      <c r="D773" s="201" t="s">
        <v>39</v>
      </c>
      <c r="E773" s="255" t="s">
        <v>67</v>
      </c>
      <c r="F773" s="252" t="s">
        <v>770</v>
      </c>
      <c r="G773" s="310">
        <v>5.5</v>
      </c>
      <c r="H773" s="205">
        <f>IF(VLOOKUP(J773,'HOURLY RATES'!B$116:C$124,2,0)=0,$J$3,VLOOKUP(J773,'HOURLY RATES'!B$116:C$124,2,0))</f>
        <v>0.05</v>
      </c>
      <c r="I773" s="317">
        <f t="shared" si="560"/>
        <v>5.7750000000000004</v>
      </c>
      <c r="J773" s="192" t="s">
        <v>19</v>
      </c>
      <c r="K773" s="382">
        <f t="shared" si="565"/>
        <v>2.2000000000000002</v>
      </c>
      <c r="L773" s="228">
        <f t="shared" si="561"/>
        <v>12.705000000000002</v>
      </c>
      <c r="M773" s="194">
        <f>IF(VLOOKUP(E773,'HOURLY RATES'!C$6:D$105,2,0)=0,$E$3,VLOOKUP(E773,'HOURLY RATES'!C$6:D$105,2,0))</f>
        <v>69.559850000000012</v>
      </c>
      <c r="N773" s="206">
        <f t="shared" si="562"/>
        <v>883.75789425000028</v>
      </c>
      <c r="O773" s="377">
        <f>138.5*1.5/2</f>
        <v>103.875</v>
      </c>
      <c r="P773" s="197">
        <f t="shared" si="563"/>
        <v>599.87812500000007</v>
      </c>
      <c r="Q773" s="198">
        <f t="shared" si="564"/>
        <v>1483.6360192500003</v>
      </c>
      <c r="R773" s="199"/>
      <c r="X773" s="257"/>
    </row>
    <row r="774" spans="1:24" s="12" customFormat="1" x14ac:dyDescent="0.2">
      <c r="A774" s="204">
        <f>IF(J774&lt;&gt;"",1+MAX($A$18:A773),"")</f>
        <v>552</v>
      </c>
      <c r="B774" s="201" t="s">
        <v>471</v>
      </c>
      <c r="C774" s="201" t="s">
        <v>524</v>
      </c>
      <c r="D774" s="201" t="s">
        <v>39</v>
      </c>
      <c r="E774" s="255" t="s">
        <v>67</v>
      </c>
      <c r="F774" s="252" t="s">
        <v>479</v>
      </c>
      <c r="G774" s="310">
        <v>1.97</v>
      </c>
      <c r="H774" s="205">
        <f>IF(VLOOKUP(J774,'HOURLY RATES'!B$116:C$124,2,0)=0,$J$3,VLOOKUP(J774,'HOURLY RATES'!B$116:C$124,2,0))</f>
        <v>0.05</v>
      </c>
      <c r="I774" s="317">
        <f t="shared" si="560"/>
        <v>2.0685000000000002</v>
      </c>
      <c r="J774" s="192" t="s">
        <v>19</v>
      </c>
      <c r="K774" s="382">
        <f t="shared" si="565"/>
        <v>2.2000000000000002</v>
      </c>
      <c r="L774" s="228">
        <f t="shared" si="561"/>
        <v>4.5507000000000009</v>
      </c>
      <c r="M774" s="194">
        <f>IF(VLOOKUP(E774,'HOURLY RATES'!C$6:D$105,2,0)=0,$E$3,VLOOKUP(E774,'HOURLY RATES'!C$6:D$105,2,0))</f>
        <v>69.559850000000012</v>
      </c>
      <c r="N774" s="206">
        <f t="shared" si="562"/>
        <v>316.54600939500011</v>
      </c>
      <c r="O774" s="377">
        <f t="shared" ref="O774" si="566">138.5*2/3</f>
        <v>92.333333333333329</v>
      </c>
      <c r="P774" s="197">
        <f t="shared" si="563"/>
        <v>190.9915</v>
      </c>
      <c r="Q774" s="198">
        <f t="shared" si="564"/>
        <v>507.53750939500014</v>
      </c>
      <c r="R774" s="199"/>
      <c r="X774" s="257"/>
    </row>
    <row r="775" spans="1:24" s="12" customFormat="1" x14ac:dyDescent="0.2">
      <c r="A775" s="204">
        <f>IF(J775&lt;&gt;"",1+MAX($A$18:A774),"")</f>
        <v>553</v>
      </c>
      <c r="B775" s="201" t="s">
        <v>471</v>
      </c>
      <c r="C775" s="201" t="s">
        <v>524</v>
      </c>
      <c r="D775" s="201" t="s">
        <v>39</v>
      </c>
      <c r="E775" s="255" t="s">
        <v>67</v>
      </c>
      <c r="F775" s="252" t="s">
        <v>480</v>
      </c>
      <c r="G775" s="310">
        <v>2.93</v>
      </c>
      <c r="H775" s="205">
        <f>IF(VLOOKUP(J775,'HOURLY RATES'!B$116:C$124,2,0)=0,$J$3,VLOOKUP(J775,'HOURLY RATES'!B$116:C$124,2,0))</f>
        <v>0.05</v>
      </c>
      <c r="I775" s="317">
        <f t="shared" si="560"/>
        <v>3.0765000000000002</v>
      </c>
      <c r="J775" s="192" t="s">
        <v>19</v>
      </c>
      <c r="K775" s="382">
        <f>1.1*1.83/2*2</f>
        <v>2.0130000000000003</v>
      </c>
      <c r="L775" s="228">
        <f t="shared" si="561"/>
        <v>6.192994500000002</v>
      </c>
      <c r="M775" s="194">
        <f>IF(VLOOKUP(E775,'HOURLY RATES'!C$6:D$105,2,0)=0,$E$3,VLOOKUP(E775,'HOURLY RATES'!C$6:D$105,2,0))</f>
        <v>69.559850000000012</v>
      </c>
      <c r="N775" s="206">
        <f t="shared" si="562"/>
        <v>430.78376847082518</v>
      </c>
      <c r="O775" s="377">
        <f>138.5*(1.83/2)*(2/3)</f>
        <v>84.484999999999999</v>
      </c>
      <c r="P775" s="197">
        <f t="shared" si="563"/>
        <v>259.91810250000003</v>
      </c>
      <c r="Q775" s="198">
        <f t="shared" si="564"/>
        <v>690.70187097082521</v>
      </c>
      <c r="R775" s="199"/>
      <c r="X775" s="257"/>
    </row>
    <row r="776" spans="1:24" s="12" customFormat="1" x14ac:dyDescent="0.2">
      <c r="A776" s="204">
        <f>IF(J776&lt;&gt;"",1+MAX($A$18:A775),"")</f>
        <v>554</v>
      </c>
      <c r="B776" s="201" t="s">
        <v>471</v>
      </c>
      <c r="C776" s="201" t="s">
        <v>524</v>
      </c>
      <c r="D776" s="201" t="s">
        <v>39</v>
      </c>
      <c r="E776" s="255" t="s">
        <v>67</v>
      </c>
      <c r="F776" s="252" t="s">
        <v>481</v>
      </c>
      <c r="G776" s="310">
        <v>3.97</v>
      </c>
      <c r="H776" s="205">
        <f>IF(VLOOKUP(J776,'HOURLY RATES'!B$116:C$124,2,0)=0,$J$3,VLOOKUP(J776,'HOURLY RATES'!B$116:C$124,2,0))</f>
        <v>0.05</v>
      </c>
      <c r="I776" s="317">
        <f t="shared" si="560"/>
        <v>4.1685000000000008</v>
      </c>
      <c r="J776" s="192" t="s">
        <v>19</v>
      </c>
      <c r="K776" s="382">
        <f>2*0.8</f>
        <v>1.6</v>
      </c>
      <c r="L776" s="228">
        <f t="shared" si="561"/>
        <v>6.6696000000000017</v>
      </c>
      <c r="M776" s="194">
        <f>IF(VLOOKUP(E776,'HOURLY RATES'!C$6:D$105,2,0)=0,$E$3,VLOOKUP(E776,'HOURLY RATES'!C$6:D$105,2,0))</f>
        <v>69.559850000000012</v>
      </c>
      <c r="N776" s="206">
        <f t="shared" si="562"/>
        <v>463.93637556000022</v>
      </c>
      <c r="O776" s="377">
        <v>34.5</v>
      </c>
      <c r="P776" s="197">
        <f t="shared" si="563"/>
        <v>143.81325000000004</v>
      </c>
      <c r="Q776" s="198">
        <f t="shared" si="564"/>
        <v>607.74962556000025</v>
      </c>
      <c r="R776" s="199"/>
      <c r="X776" s="257"/>
    </row>
    <row r="777" spans="1:24" s="12" customFormat="1" x14ac:dyDescent="0.2">
      <c r="A777" s="204">
        <f>IF(J777&lt;&gt;"",1+MAX($A$18:A776),"")</f>
        <v>555</v>
      </c>
      <c r="B777" s="201" t="s">
        <v>471</v>
      </c>
      <c r="C777" s="201" t="s">
        <v>524</v>
      </c>
      <c r="D777" s="201" t="s">
        <v>39</v>
      </c>
      <c r="E777" s="255" t="s">
        <v>67</v>
      </c>
      <c r="F777" s="252" t="s">
        <v>518</v>
      </c>
      <c r="G777" s="310">
        <v>27.82</v>
      </c>
      <c r="H777" s="205">
        <f>IF(VLOOKUP(J777,'HOURLY RATES'!B$116:C$124,2,0)=0,$J$3,VLOOKUP(J777,'HOURLY RATES'!B$116:C$124,2,0))</f>
        <v>0.05</v>
      </c>
      <c r="I777" s="317">
        <f t="shared" si="560"/>
        <v>29.211000000000002</v>
      </c>
      <c r="J777" s="192" t="s">
        <v>19</v>
      </c>
      <c r="K777" s="382">
        <f>1.1*1.83/2*1.5</f>
        <v>1.5097500000000004</v>
      </c>
      <c r="L777" s="228">
        <f t="shared" si="561"/>
        <v>44.101307250000012</v>
      </c>
      <c r="M777" s="194">
        <f>IF(VLOOKUP(E777,'HOURLY RATES'!C$6:D$105,2,0)=0,$E$3,VLOOKUP(E777,'HOURLY RATES'!C$6:D$105,2,0))</f>
        <v>69.559850000000012</v>
      </c>
      <c r="N777" s="206">
        <f t="shared" si="562"/>
        <v>3067.680317113914</v>
      </c>
      <c r="O777" s="377">
        <f>138.5*(1.83/2)*(2.5/3)</f>
        <v>105.60625</v>
      </c>
      <c r="P777" s="197">
        <f t="shared" si="563"/>
        <v>3084.8641687500003</v>
      </c>
      <c r="Q777" s="198">
        <f t="shared" si="564"/>
        <v>6152.5444858639148</v>
      </c>
      <c r="R777" s="199"/>
      <c r="X777" s="257"/>
    </row>
    <row r="778" spans="1:24" s="12" customFormat="1" x14ac:dyDescent="0.2">
      <c r="A778" s="204">
        <f>IF(J778&lt;&gt;"",1+MAX($A$18:A777),"")</f>
        <v>556</v>
      </c>
      <c r="B778" s="201" t="s">
        <v>471</v>
      </c>
      <c r="C778" s="201" t="s">
        <v>524</v>
      </c>
      <c r="D778" s="201" t="s">
        <v>39</v>
      </c>
      <c r="E778" s="255" t="s">
        <v>67</v>
      </c>
      <c r="F778" s="252" t="s">
        <v>519</v>
      </c>
      <c r="G778" s="310">
        <v>3.81</v>
      </c>
      <c r="H778" s="205">
        <f>IF(VLOOKUP(J778,'HOURLY RATES'!B$116:C$124,2,0)=0,$J$3,VLOOKUP(J778,'HOURLY RATES'!B$116:C$124,2,0))</f>
        <v>0.05</v>
      </c>
      <c r="I778" s="317">
        <f t="shared" si="560"/>
        <v>4.0005000000000006</v>
      </c>
      <c r="J778" s="192" t="s">
        <v>19</v>
      </c>
      <c r="K778" s="382">
        <f>2*1.1</f>
        <v>2.2000000000000002</v>
      </c>
      <c r="L778" s="228">
        <f t="shared" si="561"/>
        <v>8.8011000000000017</v>
      </c>
      <c r="M778" s="194">
        <f>IF(VLOOKUP(E778,'HOURLY RATES'!C$6:D$105,2,0)=0,$E$3,VLOOKUP(E778,'HOURLY RATES'!C$6:D$105,2,0))</f>
        <v>69.559850000000012</v>
      </c>
      <c r="N778" s="206">
        <f t="shared" si="562"/>
        <v>612.2031958350002</v>
      </c>
      <c r="O778" s="377">
        <f>138.5*2.5/3</f>
        <v>115.41666666666667</v>
      </c>
      <c r="P778" s="197">
        <f t="shared" si="563"/>
        <v>461.72437500000007</v>
      </c>
      <c r="Q778" s="198">
        <f t="shared" si="564"/>
        <v>1073.9275708350003</v>
      </c>
      <c r="R778" s="199"/>
      <c r="X778" s="257"/>
    </row>
    <row r="779" spans="1:24" s="12" customFormat="1" x14ac:dyDescent="0.2">
      <c r="A779" s="204">
        <f>IF(J779&lt;&gt;"",1+MAX($A$18:A778),"")</f>
        <v>557</v>
      </c>
      <c r="B779" s="201" t="s">
        <v>471</v>
      </c>
      <c r="C779" s="201" t="s">
        <v>524</v>
      </c>
      <c r="D779" s="201" t="s">
        <v>39</v>
      </c>
      <c r="E779" s="255" t="s">
        <v>67</v>
      </c>
      <c r="F779" s="252" t="s">
        <v>520</v>
      </c>
      <c r="G779" s="310">
        <v>36.090000000000003</v>
      </c>
      <c r="H779" s="205">
        <f>IF(VLOOKUP(J779,'HOURLY RATES'!B$116:C$124,2,0)=0,$J$3,VLOOKUP(J779,'HOURLY RATES'!B$116:C$124,2,0))</f>
        <v>0.05</v>
      </c>
      <c r="I779" s="317">
        <f t="shared" si="560"/>
        <v>37.894500000000008</v>
      </c>
      <c r="J779" s="192" t="s">
        <v>19</v>
      </c>
      <c r="K779" s="382">
        <v>1.1000000000000001</v>
      </c>
      <c r="L779" s="228">
        <f t="shared" si="561"/>
        <v>41.68395000000001</v>
      </c>
      <c r="M779" s="194">
        <f>IF(VLOOKUP(E779,'HOURLY RATES'!C$6:D$105,2,0)=0,$E$3,VLOOKUP(E779,'HOURLY RATES'!C$6:D$105,2,0))</f>
        <v>69.559850000000012</v>
      </c>
      <c r="N779" s="206">
        <f t="shared" si="562"/>
        <v>2899.5293094075014</v>
      </c>
      <c r="O779" s="377">
        <f>138.5*2.33/3</f>
        <v>107.56833333333333</v>
      </c>
      <c r="P779" s="197">
        <f t="shared" si="563"/>
        <v>4076.2482075000007</v>
      </c>
      <c r="Q779" s="198">
        <f t="shared" si="564"/>
        <v>6975.7775169075021</v>
      </c>
      <c r="R779" s="199"/>
      <c r="X779" s="257"/>
    </row>
    <row r="780" spans="1:24" s="12" customFormat="1" x14ac:dyDescent="0.2">
      <c r="A780" s="204">
        <f>IF(J780&lt;&gt;"",1+MAX($A$18:A779),"")</f>
        <v>558</v>
      </c>
      <c r="B780" s="201" t="s">
        <v>471</v>
      </c>
      <c r="C780" s="201" t="s">
        <v>524</v>
      </c>
      <c r="D780" s="201" t="s">
        <v>39</v>
      </c>
      <c r="E780" s="255" t="s">
        <v>67</v>
      </c>
      <c r="F780" s="252" t="s">
        <v>521</v>
      </c>
      <c r="G780" s="310">
        <v>17.7</v>
      </c>
      <c r="H780" s="205">
        <f>IF(VLOOKUP(J780,'HOURLY RATES'!B$116:C$124,2,0)=0,$J$3,VLOOKUP(J780,'HOURLY RATES'!B$116:C$124,2,0))</f>
        <v>0.05</v>
      </c>
      <c r="I780" s="317">
        <f t="shared" si="560"/>
        <v>18.585000000000001</v>
      </c>
      <c r="J780" s="192" t="s">
        <v>19</v>
      </c>
      <c r="K780" s="382">
        <f>1.5*0.8</f>
        <v>1.2000000000000002</v>
      </c>
      <c r="L780" s="228">
        <f t="shared" si="561"/>
        <v>22.302000000000003</v>
      </c>
      <c r="M780" s="194">
        <f>IF(VLOOKUP(E780,'HOURLY RATES'!C$6:D$105,2,0)=0,$E$3,VLOOKUP(E780,'HOURLY RATES'!C$6:D$105,2,0))</f>
        <v>69.559850000000012</v>
      </c>
      <c r="N780" s="206">
        <f t="shared" si="562"/>
        <v>1551.3237747000005</v>
      </c>
      <c r="O780" s="377">
        <f>82.5*2.5/3</f>
        <v>68.75</v>
      </c>
      <c r="P780" s="197">
        <f t="shared" si="563"/>
        <v>1277.71875</v>
      </c>
      <c r="Q780" s="198">
        <f t="shared" si="564"/>
        <v>2829.0425247000003</v>
      </c>
      <c r="R780" s="199"/>
      <c r="X780" s="257"/>
    </row>
    <row r="781" spans="1:24" s="12" customFormat="1" x14ac:dyDescent="0.2">
      <c r="A781" s="204">
        <f>IF(J781&lt;&gt;"",1+MAX($A$18:A780),"")</f>
        <v>559</v>
      </c>
      <c r="B781" s="201" t="s">
        <v>471</v>
      </c>
      <c r="C781" s="201" t="s">
        <v>524</v>
      </c>
      <c r="D781" s="201" t="s">
        <v>39</v>
      </c>
      <c r="E781" s="255" t="s">
        <v>67</v>
      </c>
      <c r="F781" s="252" t="s">
        <v>522</v>
      </c>
      <c r="G781" s="310">
        <v>4.7699999999999996</v>
      </c>
      <c r="H781" s="205">
        <f>IF(VLOOKUP(J781,'HOURLY RATES'!B$116:C$124,2,0)=0,$J$3,VLOOKUP(J781,'HOURLY RATES'!B$116:C$124,2,0))</f>
        <v>0.05</v>
      </c>
      <c r="I781" s="317">
        <f t="shared" si="560"/>
        <v>5.0084999999999997</v>
      </c>
      <c r="J781" s="192" t="s">
        <v>19</v>
      </c>
      <c r="K781" s="382">
        <f>1.1*2</f>
        <v>2.2000000000000002</v>
      </c>
      <c r="L781" s="228">
        <f t="shared" si="561"/>
        <v>11.018700000000001</v>
      </c>
      <c r="M781" s="194">
        <f>IF(VLOOKUP(E781,'HOURLY RATES'!C$6:D$105,2,0)=0,$E$3,VLOOKUP(E781,'HOURLY RATES'!C$6:D$105,2,0))</f>
        <v>69.559850000000012</v>
      </c>
      <c r="N781" s="206">
        <f t="shared" si="562"/>
        <v>766.4591191950002</v>
      </c>
      <c r="O781" s="377">
        <f>138.5*6.67/3</f>
        <v>307.93166666666667</v>
      </c>
      <c r="P781" s="197">
        <f t="shared" si="563"/>
        <v>1542.2757525</v>
      </c>
      <c r="Q781" s="198">
        <f t="shared" si="564"/>
        <v>2308.734871695</v>
      </c>
      <c r="R781" s="199"/>
      <c r="X781" s="257"/>
    </row>
    <row r="782" spans="1:24" s="12" customFormat="1" x14ac:dyDescent="0.2">
      <c r="A782" s="204" t="str">
        <f>IF(J782&lt;&gt;"",1+MAX($A$18:A781),"")</f>
        <v/>
      </c>
      <c r="B782" s="201"/>
      <c r="C782" s="201"/>
      <c r="D782" s="201"/>
      <c r="E782" s="255"/>
      <c r="F782" s="252"/>
      <c r="G782" s="310"/>
      <c r="H782" s="205"/>
      <c r="I782" s="317"/>
      <c r="J782" s="192"/>
      <c r="K782" s="382"/>
      <c r="L782" s="228"/>
      <c r="M782" s="194"/>
      <c r="N782" s="206"/>
      <c r="O782" s="377"/>
      <c r="P782" s="197"/>
      <c r="Q782" s="198"/>
      <c r="R782" s="199"/>
      <c r="X782" s="257"/>
    </row>
    <row r="783" spans="1:24" s="12" customFormat="1" x14ac:dyDescent="0.2">
      <c r="A783" s="204" t="str">
        <f>IF(J783&lt;&gt;"",1+MAX($A$18:A782),"")</f>
        <v/>
      </c>
      <c r="B783" s="201"/>
      <c r="C783" s="201"/>
      <c r="D783" s="201"/>
      <c r="E783" s="255"/>
      <c r="F783" s="202" t="s">
        <v>482</v>
      </c>
      <c r="G783" s="310"/>
      <c r="H783" s="205"/>
      <c r="I783" s="317"/>
      <c r="J783" s="192"/>
      <c r="K783" s="382"/>
      <c r="L783" s="228"/>
      <c r="M783" s="194"/>
      <c r="N783" s="206"/>
      <c r="O783" s="377"/>
      <c r="P783" s="197"/>
      <c r="Q783" s="198"/>
      <c r="R783" s="199"/>
      <c r="X783" s="257"/>
    </row>
    <row r="784" spans="1:24" s="12" customFormat="1" x14ac:dyDescent="0.2">
      <c r="A784" s="204">
        <f>IF(J784&lt;&gt;"",1+MAX($A$18:A783),"")</f>
        <v>560</v>
      </c>
      <c r="B784" s="201" t="s">
        <v>471</v>
      </c>
      <c r="C784" s="201" t="s">
        <v>524</v>
      </c>
      <c r="D784" s="201" t="s">
        <v>39</v>
      </c>
      <c r="E784" s="255" t="s">
        <v>67</v>
      </c>
      <c r="F784" s="252" t="s">
        <v>483</v>
      </c>
      <c r="G784" s="310">
        <v>18.03</v>
      </c>
      <c r="H784" s="205">
        <f>IF(VLOOKUP(J784,'HOURLY RATES'!B$116:C$124,2,0)=0,$J$3,VLOOKUP(J784,'HOURLY RATES'!B$116:C$124,2,0))</f>
        <v>0.05</v>
      </c>
      <c r="I784" s="317">
        <f t="shared" si="560"/>
        <v>18.931500000000003</v>
      </c>
      <c r="J784" s="192" t="s">
        <v>19</v>
      </c>
      <c r="K784" s="382">
        <v>0.35</v>
      </c>
      <c r="L784" s="228">
        <f t="shared" si="561"/>
        <v>6.6260250000000012</v>
      </c>
      <c r="M784" s="194">
        <f>IF(VLOOKUP(E784,'HOURLY RATES'!C$6:D$105,2,0)=0,$E$3,VLOOKUP(E784,'HOURLY RATES'!C$6:D$105,2,0))</f>
        <v>69.559850000000012</v>
      </c>
      <c r="N784" s="206">
        <f t="shared" si="562"/>
        <v>460.90530509625017</v>
      </c>
      <c r="O784" s="377">
        <v>18.5</v>
      </c>
      <c r="P784" s="197">
        <f t="shared" si="563"/>
        <v>350.23275000000007</v>
      </c>
      <c r="Q784" s="198">
        <f t="shared" si="564"/>
        <v>811.13805509625024</v>
      </c>
      <c r="R784" s="199"/>
      <c r="X784" s="257"/>
    </row>
    <row r="785" spans="1:24" s="12" customFormat="1" x14ac:dyDescent="0.2">
      <c r="A785" s="204">
        <f>IF(J785&lt;&gt;"",1+MAX($A$18:A784),"")</f>
        <v>561</v>
      </c>
      <c r="B785" s="201" t="s">
        <v>471</v>
      </c>
      <c r="C785" s="201" t="s">
        <v>524</v>
      </c>
      <c r="D785" s="201" t="s">
        <v>39</v>
      </c>
      <c r="E785" s="255" t="s">
        <v>67</v>
      </c>
      <c r="F785" s="252" t="s">
        <v>484</v>
      </c>
      <c r="G785" s="310">
        <v>15.01</v>
      </c>
      <c r="H785" s="205">
        <f>IF(VLOOKUP(J785,'HOURLY RATES'!B$116:C$124,2,0)=0,$J$3,VLOOKUP(J785,'HOURLY RATES'!B$116:C$124,2,0))</f>
        <v>0.05</v>
      </c>
      <c r="I785" s="317">
        <f t="shared" si="560"/>
        <v>15.7605</v>
      </c>
      <c r="J785" s="192" t="s">
        <v>19</v>
      </c>
      <c r="K785" s="382">
        <v>0.35</v>
      </c>
      <c r="L785" s="228">
        <f t="shared" si="561"/>
        <v>5.5161749999999996</v>
      </c>
      <c r="M785" s="194">
        <f>IF(VLOOKUP(E785,'HOURLY RATES'!C$6:D$105,2,0)=0,$E$3,VLOOKUP(E785,'HOURLY RATES'!C$6:D$105,2,0))</f>
        <v>69.559850000000012</v>
      </c>
      <c r="N785" s="206">
        <f t="shared" si="562"/>
        <v>383.70430557375005</v>
      </c>
      <c r="O785" s="377">
        <v>22.3</v>
      </c>
      <c r="P785" s="197">
        <f t="shared" si="563"/>
        <v>351.45915000000002</v>
      </c>
      <c r="Q785" s="198">
        <f t="shared" si="564"/>
        <v>735.16345557375007</v>
      </c>
      <c r="R785" s="199"/>
      <c r="X785" s="257"/>
    </row>
    <row r="786" spans="1:24" s="12" customFormat="1" x14ac:dyDescent="0.2">
      <c r="A786" s="204">
        <f>IF(J786&lt;&gt;"",1+MAX($A$18:A785),"")</f>
        <v>562</v>
      </c>
      <c r="B786" s="201" t="s">
        <v>471</v>
      </c>
      <c r="C786" s="201" t="s">
        <v>524</v>
      </c>
      <c r="D786" s="201" t="s">
        <v>39</v>
      </c>
      <c r="E786" s="255" t="s">
        <v>67</v>
      </c>
      <c r="F786" s="252" t="s">
        <v>771</v>
      </c>
      <c r="G786" s="310">
        <v>6.01</v>
      </c>
      <c r="H786" s="205">
        <f>IF(VLOOKUP(J786,'HOURLY RATES'!B$116:C$124,2,0)=0,$J$3,VLOOKUP(J786,'HOURLY RATES'!B$116:C$124,2,0))</f>
        <v>0.05</v>
      </c>
      <c r="I786" s="317">
        <f t="shared" si="560"/>
        <v>6.3105000000000002</v>
      </c>
      <c r="J786" s="192" t="s">
        <v>19</v>
      </c>
      <c r="K786" s="382">
        <v>0.35</v>
      </c>
      <c r="L786" s="228">
        <f t="shared" si="561"/>
        <v>2.2086749999999999</v>
      </c>
      <c r="M786" s="194">
        <f>IF(VLOOKUP(E786,'HOURLY RATES'!C$6:D$105,2,0)=0,$E$3,VLOOKUP(E786,'HOURLY RATES'!C$6:D$105,2,0))</f>
        <v>69.559850000000012</v>
      </c>
      <c r="N786" s="206">
        <f t="shared" si="562"/>
        <v>153.63510169875002</v>
      </c>
      <c r="O786" s="377">
        <v>28</v>
      </c>
      <c r="P786" s="197">
        <f t="shared" si="563"/>
        <v>176.69400000000002</v>
      </c>
      <c r="Q786" s="198">
        <f t="shared" si="564"/>
        <v>330.32910169875004</v>
      </c>
      <c r="R786" s="199"/>
      <c r="X786" s="257"/>
    </row>
    <row r="787" spans="1:24" s="12" customFormat="1" x14ac:dyDescent="0.2">
      <c r="A787" s="204">
        <f>IF(J787&lt;&gt;"",1+MAX($A$18:A786),"")</f>
        <v>563</v>
      </c>
      <c r="B787" s="201" t="s">
        <v>471</v>
      </c>
      <c r="C787" s="201" t="s">
        <v>524</v>
      </c>
      <c r="D787" s="201" t="s">
        <v>39</v>
      </c>
      <c r="E787" s="255" t="s">
        <v>67</v>
      </c>
      <c r="F787" s="252" t="s">
        <v>776</v>
      </c>
      <c r="G787" s="310">
        <v>6.01</v>
      </c>
      <c r="H787" s="205">
        <f>IF(VLOOKUP(J787,'HOURLY RATES'!B$116:C$124,2,0)=0,$J$3,VLOOKUP(J787,'HOURLY RATES'!B$116:C$124,2,0))</f>
        <v>0</v>
      </c>
      <c r="I787" s="317">
        <f t="shared" ref="I787" si="567">(G787*(1+H787))</f>
        <v>6.01</v>
      </c>
      <c r="J787" s="192" t="s">
        <v>16</v>
      </c>
      <c r="K787" s="382">
        <v>0.32</v>
      </c>
      <c r="L787" s="228">
        <f t="shared" ref="L787" si="568">K787*I787</f>
        <v>1.9232</v>
      </c>
      <c r="M787" s="194">
        <f>IF(VLOOKUP(E787,'HOURLY RATES'!C$6:D$105,2,0)=0,$E$3,VLOOKUP(E787,'HOURLY RATES'!C$6:D$105,2,0))</f>
        <v>69.559850000000012</v>
      </c>
      <c r="N787" s="206">
        <f t="shared" ref="N787" si="569">M787*L787</f>
        <v>133.77750352000001</v>
      </c>
      <c r="O787" s="377">
        <v>16.3</v>
      </c>
      <c r="P787" s="197">
        <f t="shared" ref="P787" si="570">O787*I787</f>
        <v>97.962999999999994</v>
      </c>
      <c r="Q787" s="198">
        <f t="shared" ref="Q787" si="571">P787+N787</f>
        <v>231.74050352</v>
      </c>
      <c r="R787" s="199"/>
      <c r="X787" s="257"/>
    </row>
    <row r="788" spans="1:24" s="12" customFormat="1" x14ac:dyDescent="0.2">
      <c r="A788" s="204">
        <f>IF(J788&lt;&gt;"",1+MAX($A$18:A787),"")</f>
        <v>564</v>
      </c>
      <c r="B788" s="201" t="s">
        <v>471</v>
      </c>
      <c r="C788" s="201" t="s">
        <v>524</v>
      </c>
      <c r="D788" s="201" t="s">
        <v>39</v>
      </c>
      <c r="E788" s="255" t="s">
        <v>67</v>
      </c>
      <c r="F788" s="252" t="s">
        <v>485</v>
      </c>
      <c r="G788" s="310">
        <v>3.95</v>
      </c>
      <c r="H788" s="205">
        <f>IF(VLOOKUP(J788,'HOURLY RATES'!B$116:C$124,2,0)=0,$J$3,VLOOKUP(J788,'HOURLY RATES'!B$116:C$124,2,0))</f>
        <v>0.05</v>
      </c>
      <c r="I788" s="317">
        <f t="shared" si="560"/>
        <v>4.1475</v>
      </c>
      <c r="J788" s="192" t="s">
        <v>19</v>
      </c>
      <c r="K788" s="382">
        <f>0.35*0.83/1</f>
        <v>0.29049999999999998</v>
      </c>
      <c r="L788" s="228">
        <f t="shared" si="561"/>
        <v>1.2048487499999998</v>
      </c>
      <c r="M788" s="194">
        <f>IF(VLOOKUP(E788,'HOURLY RATES'!C$6:D$105,2,0)=0,$E$3,VLOOKUP(E788,'HOURLY RATES'!C$6:D$105,2,0))</f>
        <v>69.559850000000012</v>
      </c>
      <c r="N788" s="206">
        <f t="shared" si="562"/>
        <v>83.809098322687504</v>
      </c>
      <c r="O788" s="377">
        <v>24</v>
      </c>
      <c r="P788" s="197">
        <f t="shared" si="563"/>
        <v>99.539999999999992</v>
      </c>
      <c r="Q788" s="198">
        <f t="shared" si="564"/>
        <v>183.3490983226875</v>
      </c>
      <c r="R788" s="199"/>
      <c r="X788" s="257"/>
    </row>
    <row r="789" spans="1:24" s="12" customFormat="1" x14ac:dyDescent="0.2">
      <c r="A789" s="204">
        <f>IF(J789&lt;&gt;"",1+MAX($A$18:A788),"")</f>
        <v>565</v>
      </c>
      <c r="B789" s="201" t="s">
        <v>471</v>
      </c>
      <c r="C789" s="201" t="s">
        <v>524</v>
      </c>
      <c r="D789" s="201" t="s">
        <v>39</v>
      </c>
      <c r="E789" s="255" t="s">
        <v>67</v>
      </c>
      <c r="F789" s="252" t="s">
        <v>486</v>
      </c>
      <c r="G789" s="310">
        <v>7.66</v>
      </c>
      <c r="H789" s="205">
        <f>IF(VLOOKUP(J789,'HOURLY RATES'!B$116:C$124,2,0)=0,$J$3,VLOOKUP(J789,'HOURLY RATES'!B$116:C$124,2,0))</f>
        <v>0.05</v>
      </c>
      <c r="I789" s="317">
        <f t="shared" si="560"/>
        <v>8.043000000000001</v>
      </c>
      <c r="J789" s="192" t="s">
        <v>19</v>
      </c>
      <c r="K789" s="382">
        <f>0.35*0.83/1</f>
        <v>0.29049999999999998</v>
      </c>
      <c r="L789" s="228">
        <f t="shared" si="561"/>
        <v>2.3364915000000002</v>
      </c>
      <c r="M789" s="194">
        <f>IF(VLOOKUP(E789,'HOURLY RATES'!C$6:D$105,2,0)=0,$E$3,VLOOKUP(E789,'HOURLY RATES'!C$6:D$105,2,0))</f>
        <v>69.559850000000012</v>
      </c>
      <c r="N789" s="206">
        <f t="shared" si="562"/>
        <v>162.52599826627502</v>
      </c>
      <c r="O789" s="377">
        <f>18.5*0.83/1</f>
        <v>15.354999999999999</v>
      </c>
      <c r="P789" s="197">
        <f t="shared" si="563"/>
        <v>123.500265</v>
      </c>
      <c r="Q789" s="198">
        <f t="shared" si="564"/>
        <v>286.02626326627501</v>
      </c>
      <c r="R789" s="199"/>
      <c r="X789" s="257"/>
    </row>
    <row r="790" spans="1:24" s="12" customFormat="1" x14ac:dyDescent="0.2">
      <c r="A790" s="204">
        <f>IF(J790&lt;&gt;"",1+MAX($A$18:A789),"")</f>
        <v>566</v>
      </c>
      <c r="B790" s="201" t="s">
        <v>471</v>
      </c>
      <c r="C790" s="201" t="s">
        <v>524</v>
      </c>
      <c r="D790" s="201" t="s">
        <v>39</v>
      </c>
      <c r="E790" s="255" t="s">
        <v>67</v>
      </c>
      <c r="F790" s="252" t="s">
        <v>753</v>
      </c>
      <c r="G790" s="310">
        <v>2.99</v>
      </c>
      <c r="H790" s="205">
        <f>IF(VLOOKUP(J790,'HOURLY RATES'!B$116:C$124,2,0)=0,$J$3,VLOOKUP(J790,'HOURLY RATES'!B$116:C$124,2,0))</f>
        <v>0.05</v>
      </c>
      <c r="I790" s="317">
        <f t="shared" si="560"/>
        <v>3.1395000000000004</v>
      </c>
      <c r="J790" s="192" t="s">
        <v>19</v>
      </c>
      <c r="K790" s="382">
        <v>0.35</v>
      </c>
      <c r="L790" s="228">
        <f t="shared" si="561"/>
        <v>1.0988250000000002</v>
      </c>
      <c r="M790" s="194">
        <f>IF(VLOOKUP(E790,'HOURLY RATES'!C$6:D$105,2,0)=0,$E$3,VLOOKUP(E790,'HOURLY RATES'!C$6:D$105,2,0))</f>
        <v>69.559850000000012</v>
      </c>
      <c r="N790" s="206">
        <f t="shared" si="562"/>
        <v>76.434102176250022</v>
      </c>
      <c r="O790" s="377">
        <v>18.5</v>
      </c>
      <c r="P790" s="197">
        <f t="shared" si="563"/>
        <v>58.080750000000009</v>
      </c>
      <c r="Q790" s="198">
        <f t="shared" si="564"/>
        <v>134.51485217625003</v>
      </c>
      <c r="R790" s="199"/>
      <c r="X790" s="257"/>
    </row>
    <row r="791" spans="1:24" s="12" customFormat="1" x14ac:dyDescent="0.2">
      <c r="A791" s="204" t="str">
        <f>IF(J791&lt;&gt;"",1+MAX($A$18:A790),"")</f>
        <v/>
      </c>
      <c r="B791" s="201"/>
      <c r="C791" s="201"/>
      <c r="D791" s="201"/>
      <c r="E791" s="201"/>
      <c r="F791" s="252"/>
      <c r="G791" s="310"/>
      <c r="H791" s="205"/>
      <c r="I791" s="317"/>
      <c r="J791" s="192"/>
      <c r="K791" s="382"/>
      <c r="L791" s="228"/>
      <c r="M791" s="194"/>
      <c r="N791" s="206"/>
      <c r="O791" s="377"/>
      <c r="P791" s="197"/>
      <c r="Q791" s="198"/>
      <c r="R791" s="199"/>
      <c r="X791" s="257"/>
    </row>
    <row r="792" spans="1:24" s="12" customFormat="1" x14ac:dyDescent="0.2">
      <c r="A792" s="204" t="str">
        <f>IF(J792&lt;&gt;"",1+MAX($A$18:A791),"")</f>
        <v/>
      </c>
      <c r="B792" s="201"/>
      <c r="C792" s="201"/>
      <c r="D792" s="201"/>
      <c r="E792" s="201"/>
      <c r="F792" s="202" t="s">
        <v>111</v>
      </c>
      <c r="G792" s="310"/>
      <c r="H792" s="205"/>
      <c r="I792" s="317"/>
      <c r="J792" s="192"/>
      <c r="K792" s="382"/>
      <c r="L792" s="228"/>
      <c r="M792" s="194"/>
      <c r="N792" s="206"/>
      <c r="O792" s="377"/>
      <c r="P792" s="197"/>
      <c r="Q792" s="198"/>
      <c r="R792" s="199"/>
      <c r="X792" s="257"/>
    </row>
    <row r="793" spans="1:24" s="12" customFormat="1" x14ac:dyDescent="0.2">
      <c r="A793" s="204">
        <f>IF(J793&lt;&gt;"",1+MAX($A$18:A792),"")</f>
        <v>567</v>
      </c>
      <c r="B793" s="201" t="s">
        <v>471</v>
      </c>
      <c r="C793" s="201" t="s">
        <v>524</v>
      </c>
      <c r="D793" s="201" t="s">
        <v>39</v>
      </c>
      <c r="E793" s="201" t="s">
        <v>67</v>
      </c>
      <c r="F793" s="252" t="s">
        <v>778</v>
      </c>
      <c r="G793" s="310">
        <v>93.46</v>
      </c>
      <c r="H793" s="205">
        <f>IF(VLOOKUP(J793,'HOURLY RATES'!B$116:C$124,2,0)=0,$J$3,VLOOKUP(J793,'HOURLY RATES'!B$116:C$124,2,0))</f>
        <v>0.05</v>
      </c>
      <c r="I793" s="317">
        <f t="shared" si="560"/>
        <v>98.132999999999996</v>
      </c>
      <c r="J793" s="192" t="s">
        <v>19</v>
      </c>
      <c r="K793" s="382">
        <v>3.5000000000000003E-2</v>
      </c>
      <c r="L793" s="228">
        <f t="shared" si="561"/>
        <v>3.4346550000000002</v>
      </c>
      <c r="M793" s="194">
        <f>IF(VLOOKUP(E793,'HOURLY RATES'!C$6:D$105,2,0)=0,$E$3,VLOOKUP(E793,'HOURLY RATES'!C$6:D$105,2,0))</f>
        <v>69.559850000000012</v>
      </c>
      <c r="N793" s="206">
        <f t="shared" si="562"/>
        <v>238.91408660175006</v>
      </c>
      <c r="O793" s="377">
        <v>0.4</v>
      </c>
      <c r="P793" s="197">
        <f t="shared" si="563"/>
        <v>39.2532</v>
      </c>
      <c r="Q793" s="198">
        <f t="shared" si="564"/>
        <v>278.16728660175005</v>
      </c>
      <c r="R793" s="199"/>
      <c r="X793" s="257"/>
    </row>
    <row r="794" spans="1:24" s="12" customFormat="1" x14ac:dyDescent="0.2">
      <c r="A794" s="204">
        <f>IF(J794&lt;&gt;"",1+MAX($A$18:A793),"")</f>
        <v>568</v>
      </c>
      <c r="B794" s="201" t="s">
        <v>471</v>
      </c>
      <c r="C794" s="201" t="s">
        <v>524</v>
      </c>
      <c r="D794" s="201" t="s">
        <v>39</v>
      </c>
      <c r="E794" s="201" t="s">
        <v>67</v>
      </c>
      <c r="F794" s="252" t="s">
        <v>523</v>
      </c>
      <c r="G794" s="310">
        <f>263.69*2</f>
        <v>527.38</v>
      </c>
      <c r="H794" s="205">
        <f>IF(VLOOKUP(J794,'HOURLY RATES'!B$116:C$124,2,0)=0,$J$3,VLOOKUP(J794,'HOURLY RATES'!B$116:C$124,2,0))</f>
        <v>0.05</v>
      </c>
      <c r="I794" s="317">
        <f t="shared" si="560"/>
        <v>553.74900000000002</v>
      </c>
      <c r="J794" s="192" t="s">
        <v>19</v>
      </c>
      <c r="K794" s="382">
        <v>0.05</v>
      </c>
      <c r="L794" s="228">
        <f t="shared" si="561"/>
        <v>27.687450000000002</v>
      </c>
      <c r="M794" s="194">
        <f>IF(VLOOKUP(E794,'HOURLY RATES'!C$6:D$105,2,0)=0,$E$3,VLOOKUP(E794,'HOURLY RATES'!C$6:D$105,2,0))</f>
        <v>69.559850000000012</v>
      </c>
      <c r="N794" s="206">
        <f t="shared" si="562"/>
        <v>1925.9348688825005</v>
      </c>
      <c r="O794" s="377">
        <v>1.0920000000000001</v>
      </c>
      <c r="P794" s="197">
        <f t="shared" si="563"/>
        <v>604.69390800000008</v>
      </c>
      <c r="Q794" s="198">
        <f t="shared" si="564"/>
        <v>2530.6287768825005</v>
      </c>
      <c r="R794" s="199"/>
      <c r="X794" s="257"/>
    </row>
    <row r="795" spans="1:24" s="12" customFormat="1" x14ac:dyDescent="0.2">
      <c r="A795" s="204">
        <f>IF(J795&lt;&gt;"",1+MAX($A$18:A794),"")</f>
        <v>569</v>
      </c>
      <c r="B795" s="201" t="s">
        <v>471</v>
      </c>
      <c r="C795" s="201" t="s">
        <v>524</v>
      </c>
      <c r="D795" s="201" t="s">
        <v>39</v>
      </c>
      <c r="E795" s="201" t="s">
        <v>67</v>
      </c>
      <c r="F795" s="252" t="s">
        <v>487</v>
      </c>
      <c r="G795" s="310">
        <v>82.05</v>
      </c>
      <c r="H795" s="205">
        <f>IF(VLOOKUP(J795,'HOURLY RATES'!B$116:C$124,2,0)=0,$J$3,VLOOKUP(J795,'HOURLY RATES'!B$116:C$124,2,0))</f>
        <v>0.05</v>
      </c>
      <c r="I795" s="317">
        <f t="shared" si="560"/>
        <v>86.152500000000003</v>
      </c>
      <c r="J795" s="192" t="s">
        <v>19</v>
      </c>
      <c r="K795" s="382">
        <v>3.5000000000000003E-2</v>
      </c>
      <c r="L795" s="228">
        <f t="shared" si="561"/>
        <v>3.0153375000000002</v>
      </c>
      <c r="M795" s="194">
        <f>IF(VLOOKUP(E795,'HOURLY RATES'!C$6:D$105,2,0)=0,$E$3,VLOOKUP(E795,'HOURLY RATES'!C$6:D$105,2,0))</f>
        <v>69.559850000000012</v>
      </c>
      <c r="N795" s="206">
        <f t="shared" si="562"/>
        <v>209.74642419937504</v>
      </c>
      <c r="O795" s="377">
        <f>3.87/8</f>
        <v>0.48375000000000001</v>
      </c>
      <c r="P795" s="197">
        <f t="shared" si="563"/>
        <v>41.676271875000005</v>
      </c>
      <c r="Q795" s="198">
        <f t="shared" si="564"/>
        <v>251.42269607437504</v>
      </c>
      <c r="R795" s="199"/>
      <c r="X795" s="257"/>
    </row>
    <row r="796" spans="1:24" s="12" customFormat="1" x14ac:dyDescent="0.2">
      <c r="A796" s="204">
        <f>IF(J796&lt;&gt;"",1+MAX($A$18:A795),"")</f>
        <v>570</v>
      </c>
      <c r="B796" s="201" t="s">
        <v>471</v>
      </c>
      <c r="C796" s="201" t="s">
        <v>524</v>
      </c>
      <c r="D796" s="201" t="s">
        <v>39</v>
      </c>
      <c r="E796" s="201" t="s">
        <v>67</v>
      </c>
      <c r="F796" s="252" t="s">
        <v>488</v>
      </c>
      <c r="G796" s="310">
        <v>27</v>
      </c>
      <c r="H796" s="205">
        <f>IF(VLOOKUP(J796,'HOURLY RATES'!B$116:C$124,2,0)=0,$J$3,VLOOKUP(J796,'HOURLY RATES'!B$116:C$124,2,0))</f>
        <v>0</v>
      </c>
      <c r="I796" s="317">
        <f t="shared" si="560"/>
        <v>27</v>
      </c>
      <c r="J796" s="192" t="s">
        <v>16</v>
      </c>
      <c r="K796" s="382">
        <v>0.81399999999999995</v>
      </c>
      <c r="L796" s="228">
        <f t="shared" si="561"/>
        <v>21.977999999999998</v>
      </c>
      <c r="M796" s="194">
        <f>IF(VLOOKUP(E796,'HOURLY RATES'!C$6:D$105,2,0)=0,$E$3,VLOOKUP(E796,'HOURLY RATES'!C$6:D$105,2,0))</f>
        <v>69.559850000000012</v>
      </c>
      <c r="N796" s="206">
        <f t="shared" si="562"/>
        <v>1528.7863833000001</v>
      </c>
      <c r="O796" s="377">
        <v>42.95</v>
      </c>
      <c r="P796" s="197">
        <f t="shared" si="563"/>
        <v>1159.6500000000001</v>
      </c>
      <c r="Q796" s="198">
        <f t="shared" si="564"/>
        <v>2688.4363833000002</v>
      </c>
      <c r="R796" s="199"/>
      <c r="X796" s="257"/>
    </row>
    <row r="797" spans="1:24" s="12" customFormat="1" x14ac:dyDescent="0.2">
      <c r="A797" s="204">
        <f>IF(J797&lt;&gt;"",1+MAX($A$18:A796),"")</f>
        <v>571</v>
      </c>
      <c r="B797" s="201" t="s">
        <v>471</v>
      </c>
      <c r="C797" s="201" t="s">
        <v>524</v>
      </c>
      <c r="D797" s="201" t="s">
        <v>39</v>
      </c>
      <c r="E797" s="201" t="s">
        <v>67</v>
      </c>
      <c r="F797" s="252" t="s">
        <v>489</v>
      </c>
      <c r="G797" s="310">
        <v>21</v>
      </c>
      <c r="H797" s="205">
        <f>IF(VLOOKUP(J797,'HOURLY RATES'!B$116:C$124,2,0)=0,$J$3,VLOOKUP(J797,'HOURLY RATES'!B$116:C$124,2,0))</f>
        <v>0</v>
      </c>
      <c r="I797" s="317">
        <f t="shared" si="560"/>
        <v>21</v>
      </c>
      <c r="J797" s="192" t="s">
        <v>16</v>
      </c>
      <c r="K797" s="382">
        <v>0.125</v>
      </c>
      <c r="L797" s="228">
        <f t="shared" si="561"/>
        <v>2.625</v>
      </c>
      <c r="M797" s="194">
        <f>IF(VLOOKUP(E797,'HOURLY RATES'!C$6:D$105,2,0)=0,$E$3,VLOOKUP(E797,'HOURLY RATES'!C$6:D$105,2,0))</f>
        <v>69.559850000000012</v>
      </c>
      <c r="N797" s="206">
        <f t="shared" si="562"/>
        <v>182.59460625000003</v>
      </c>
      <c r="O797" s="377">
        <v>6.88</v>
      </c>
      <c r="P797" s="197">
        <f t="shared" si="563"/>
        <v>144.47999999999999</v>
      </c>
      <c r="Q797" s="198">
        <f t="shared" si="564"/>
        <v>327.07460624999999</v>
      </c>
      <c r="R797" s="199"/>
      <c r="X797" s="257"/>
    </row>
    <row r="798" spans="1:24" s="12" customFormat="1" x14ac:dyDescent="0.2">
      <c r="A798" s="204">
        <f>IF(J798&lt;&gt;"",1+MAX($A$18:A797),"")</f>
        <v>572</v>
      </c>
      <c r="B798" s="201" t="s">
        <v>471</v>
      </c>
      <c r="C798" s="201" t="s">
        <v>524</v>
      </c>
      <c r="D798" s="201" t="s">
        <v>39</v>
      </c>
      <c r="E798" s="201" t="s">
        <v>67</v>
      </c>
      <c r="F798" s="252" t="s">
        <v>490</v>
      </c>
      <c r="G798" s="310">
        <f>14.95*2</f>
        <v>29.9</v>
      </c>
      <c r="H798" s="205">
        <f>IF(VLOOKUP(J798,'HOURLY RATES'!B$116:C$124,2,0)=0,$J$3,VLOOKUP(J798,'HOURLY RATES'!B$116:C$124,2,0))</f>
        <v>0.05</v>
      </c>
      <c r="I798" s="317">
        <f t="shared" si="560"/>
        <v>31.395</v>
      </c>
      <c r="J798" s="192" t="s">
        <v>17</v>
      </c>
      <c r="K798" s="382">
        <v>1.2E-2</v>
      </c>
      <c r="L798" s="228">
        <f t="shared" si="561"/>
        <v>0.37674000000000002</v>
      </c>
      <c r="M798" s="194">
        <f>IF(VLOOKUP(E798,'HOURLY RATES'!C$6:D$105,2,0)=0,$E$3,VLOOKUP(E798,'HOURLY RATES'!C$6:D$105,2,0))</f>
        <v>69.559850000000012</v>
      </c>
      <c r="N798" s="206">
        <f t="shared" si="562"/>
        <v>26.205977889000007</v>
      </c>
      <c r="O798" s="377">
        <f>36.1/32</f>
        <v>1.128125</v>
      </c>
      <c r="P798" s="197">
        <f t="shared" si="563"/>
        <v>35.417484375000001</v>
      </c>
      <c r="Q798" s="198">
        <f t="shared" si="564"/>
        <v>61.623462264000011</v>
      </c>
      <c r="R798" s="199"/>
      <c r="X798" s="257"/>
    </row>
    <row r="799" spans="1:24" s="12" customFormat="1" x14ac:dyDescent="0.2">
      <c r="A799" s="204">
        <f>IF(J799&lt;&gt;"",1+MAX($A$18:A798),"")</f>
        <v>573</v>
      </c>
      <c r="B799" s="201" t="s">
        <v>471</v>
      </c>
      <c r="C799" s="201" t="s">
        <v>524</v>
      </c>
      <c r="D799" s="201" t="s">
        <v>39</v>
      </c>
      <c r="E799" s="201" t="s">
        <v>67</v>
      </c>
      <c r="F799" s="252" t="s">
        <v>491</v>
      </c>
      <c r="G799" s="310">
        <v>3</v>
      </c>
      <c r="H799" s="205">
        <f>IF(VLOOKUP(J799,'HOURLY RATES'!B$116:C$124,2,0)=0,$J$3,VLOOKUP(J799,'HOURLY RATES'!B$116:C$124,2,0))</f>
        <v>0</v>
      </c>
      <c r="I799" s="317">
        <f t="shared" si="560"/>
        <v>3</v>
      </c>
      <c r="J799" s="192" t="s">
        <v>16</v>
      </c>
      <c r="K799" s="382">
        <v>0.125</v>
      </c>
      <c r="L799" s="228">
        <f t="shared" si="561"/>
        <v>0.375</v>
      </c>
      <c r="M799" s="194">
        <f>IF(VLOOKUP(E799,'HOURLY RATES'!C$6:D$105,2,0)=0,$E$3,VLOOKUP(E799,'HOURLY RATES'!C$6:D$105,2,0))</f>
        <v>69.559850000000012</v>
      </c>
      <c r="N799" s="206">
        <f t="shared" si="562"/>
        <v>26.084943750000004</v>
      </c>
      <c r="O799" s="377">
        <v>8.57</v>
      </c>
      <c r="P799" s="197">
        <f t="shared" si="563"/>
        <v>25.71</v>
      </c>
      <c r="Q799" s="198">
        <f t="shared" si="564"/>
        <v>51.794943750000002</v>
      </c>
      <c r="R799" s="199"/>
      <c r="X799" s="257"/>
    </row>
    <row r="800" spans="1:24" s="12" customFormat="1" x14ac:dyDescent="0.2">
      <c r="A800" s="204" t="str">
        <f>IF(J800&lt;&gt;"",1+MAX($A$18:A799),"")</f>
        <v/>
      </c>
      <c r="B800" s="201"/>
      <c r="C800" s="201"/>
      <c r="D800" s="201"/>
      <c r="E800" s="201"/>
      <c r="F800" s="252"/>
      <c r="G800" s="310"/>
      <c r="H800" s="205"/>
      <c r="I800" s="317"/>
      <c r="J800" s="192"/>
      <c r="K800" s="243"/>
      <c r="L800" s="228"/>
      <c r="M800" s="194"/>
      <c r="N800" s="206"/>
      <c r="O800" s="234"/>
      <c r="P800" s="197"/>
      <c r="Q800" s="198"/>
      <c r="R800" s="199"/>
      <c r="X800" s="257"/>
    </row>
    <row r="801" spans="1:24" s="12" customFormat="1" x14ac:dyDescent="0.2">
      <c r="A801" s="204" t="str">
        <f>IF(J801&lt;&gt;"",1+MAX($A$18:A800),"")</f>
        <v/>
      </c>
      <c r="B801" s="201"/>
      <c r="C801" s="201"/>
      <c r="D801" s="201"/>
      <c r="E801" s="201"/>
      <c r="F801" s="258" t="s">
        <v>208</v>
      </c>
      <c r="G801" s="310"/>
      <c r="H801" s="205"/>
      <c r="I801" s="317"/>
      <c r="J801" s="192"/>
      <c r="K801" s="243"/>
      <c r="L801" s="228"/>
      <c r="M801" s="194"/>
      <c r="N801" s="206"/>
      <c r="O801" s="234"/>
      <c r="P801" s="197"/>
      <c r="Q801" s="198"/>
      <c r="R801" s="199"/>
      <c r="X801" s="257"/>
    </row>
    <row r="802" spans="1:24" s="12" customFormat="1" ht="16.5" thickBot="1" x14ac:dyDescent="0.25">
      <c r="A802" s="263" t="str">
        <f>IF(J802&lt;&gt;"",1+MAX($A$18:A801),"")</f>
        <v/>
      </c>
      <c r="B802" s="264"/>
      <c r="C802" s="264"/>
      <c r="D802" s="264"/>
      <c r="E802" s="264"/>
      <c r="F802" s="265"/>
      <c r="G802" s="313"/>
      <c r="H802" s="267"/>
      <c r="I802" s="319"/>
      <c r="J802" s="359"/>
      <c r="K802" s="291"/>
      <c r="L802" s="269"/>
      <c r="M802" s="272"/>
      <c r="N802" s="273"/>
      <c r="O802" s="292"/>
      <c r="P802" s="275"/>
      <c r="Q802" s="276"/>
      <c r="R802" s="277"/>
      <c r="X802" s="257"/>
    </row>
    <row r="803" spans="1:24" s="12" customFormat="1" ht="20.100000000000001" customHeight="1" x14ac:dyDescent="0.2">
      <c r="A803" s="475" t="str">
        <f>IF(J803&lt;&gt;"",1+MAX($A$18:A802),"")</f>
        <v/>
      </c>
      <c r="B803" s="476"/>
      <c r="C803" s="476"/>
      <c r="D803" s="476" t="s">
        <v>54</v>
      </c>
      <c r="E803" s="476"/>
      <c r="F803" s="477" t="s">
        <v>202</v>
      </c>
      <c r="G803" s="482"/>
      <c r="H803" s="479"/>
      <c r="I803" s="483"/>
      <c r="J803" s="483"/>
      <c r="K803" s="479"/>
      <c r="L803" s="479"/>
      <c r="M803" s="479"/>
      <c r="N803" s="479"/>
      <c r="O803" s="479"/>
      <c r="P803" s="479"/>
      <c r="Q803" s="479"/>
      <c r="R803" s="480">
        <f>SUM(Q804:Q812)</f>
        <v>12347.682716715804</v>
      </c>
      <c r="X803" s="257"/>
    </row>
    <row r="804" spans="1:24" s="12" customFormat="1" x14ac:dyDescent="0.2">
      <c r="A804" s="204" t="str">
        <f>IF(J804&lt;&gt;"",1+MAX($A$18:A803),"")</f>
        <v/>
      </c>
      <c r="B804" s="201"/>
      <c r="C804" s="201"/>
      <c r="D804" s="201"/>
      <c r="E804" s="201"/>
      <c r="F804" s="188"/>
      <c r="G804" s="310"/>
      <c r="H804" s="190"/>
      <c r="I804" s="317"/>
      <c r="J804" s="192"/>
      <c r="K804" s="28"/>
      <c r="L804" s="13"/>
      <c r="M804" s="194"/>
      <c r="N804" s="206"/>
      <c r="O804" s="234"/>
      <c r="P804" s="197"/>
      <c r="Q804" s="198"/>
      <c r="R804" s="199"/>
      <c r="X804" s="257"/>
    </row>
    <row r="805" spans="1:24" s="12" customFormat="1" x14ac:dyDescent="0.2">
      <c r="A805" s="204" t="str">
        <f>IF(J805&lt;&gt;"",1+MAX($A$18:A804),"")</f>
        <v/>
      </c>
      <c r="B805" s="201"/>
      <c r="C805" s="201"/>
      <c r="D805" s="201"/>
      <c r="E805" s="201"/>
      <c r="F805" s="202" t="s">
        <v>203</v>
      </c>
      <c r="G805" s="310"/>
      <c r="H805" s="190"/>
      <c r="I805" s="317"/>
      <c r="J805" s="192"/>
      <c r="K805" s="243"/>
      <c r="L805" s="228"/>
      <c r="M805" s="194"/>
      <c r="N805" s="206"/>
      <c r="O805" s="234"/>
      <c r="P805" s="197"/>
      <c r="Q805" s="198"/>
      <c r="R805" s="199"/>
      <c r="X805" s="257"/>
    </row>
    <row r="806" spans="1:24" s="12" customFormat="1" x14ac:dyDescent="0.2">
      <c r="A806" s="209">
        <f>IF(J806&lt;&gt;"",1+MAX($A$18:A805),"")</f>
        <v>574</v>
      </c>
      <c r="B806" s="210" t="s">
        <v>359</v>
      </c>
      <c r="C806" s="210" t="s">
        <v>359</v>
      </c>
      <c r="D806" s="210" t="s">
        <v>54</v>
      </c>
      <c r="E806" s="201" t="s">
        <v>134</v>
      </c>
      <c r="F806" s="216" t="s">
        <v>204</v>
      </c>
      <c r="G806" s="310">
        <v>20.25925925925926</v>
      </c>
      <c r="H806" s="205">
        <f>IF(VLOOKUP(J806,'HOURLY RATES'!B$116:C$124,2,0)=0,$J$3,VLOOKUP(J806,'HOURLY RATES'!B$116:C$124,2,0))</f>
        <v>0.05</v>
      </c>
      <c r="I806" s="317">
        <f t="shared" ref="I806:I810" si="572">(G806*(1+H806))</f>
        <v>21.272222222222222</v>
      </c>
      <c r="J806" s="192" t="s">
        <v>47</v>
      </c>
      <c r="K806" s="208">
        <v>0.22500000000000001</v>
      </c>
      <c r="L806" s="228">
        <f t="shared" ref="L806:L810" si="573">K806*I806</f>
        <v>4.7862499999999999</v>
      </c>
      <c r="M806" s="194">
        <f>IF(VLOOKUP(E806,'HOURLY RATES'!C$6:D$105,2,0)=0,$E$3,VLOOKUP(E806,'HOURLY RATES'!C$6:D$105,2,0))</f>
        <v>116.7734925</v>
      </c>
      <c r="N806" s="206">
        <f t="shared" ref="N806:N810" si="574">M806*L806</f>
        <v>558.90712847812506</v>
      </c>
      <c r="O806" s="234"/>
      <c r="P806" s="197">
        <f t="shared" ref="P806:P810" si="575">O806*I806</f>
        <v>0</v>
      </c>
      <c r="Q806" s="198">
        <f t="shared" ref="Q806:Q810" si="576">P806+N806</f>
        <v>558.90712847812506</v>
      </c>
      <c r="R806" s="199"/>
      <c r="X806" s="257"/>
    </row>
    <row r="807" spans="1:24" s="12" customFormat="1" x14ac:dyDescent="0.2">
      <c r="A807" s="209">
        <f>IF(J807&lt;&gt;"",1+MAX($A$18:A806),"")</f>
        <v>575</v>
      </c>
      <c r="B807" s="210" t="s">
        <v>359</v>
      </c>
      <c r="C807" s="210" t="s">
        <v>359</v>
      </c>
      <c r="D807" s="210" t="s">
        <v>54</v>
      </c>
      <c r="E807" s="201" t="s">
        <v>134</v>
      </c>
      <c r="F807" s="216" t="s">
        <v>225</v>
      </c>
      <c r="G807" s="310">
        <v>29.425185185185185</v>
      </c>
      <c r="H807" s="205">
        <f>IF(VLOOKUP(J807,'HOURLY RATES'!B$116:C$124,2,0)=0,$J$3,VLOOKUP(J807,'HOURLY RATES'!B$116:C$124,2,0))</f>
        <v>0.05</v>
      </c>
      <c r="I807" s="317">
        <f t="shared" si="572"/>
        <v>30.896444444444445</v>
      </c>
      <c r="J807" s="192" t="s">
        <v>47</v>
      </c>
      <c r="K807" s="208">
        <v>0.22500000000000001</v>
      </c>
      <c r="L807" s="228">
        <f t="shared" si="573"/>
        <v>6.9516999999999998</v>
      </c>
      <c r="M807" s="194">
        <f>IF(VLOOKUP(E807,'HOURLY RATES'!C$6:D$105,2,0)=0,$E$3,VLOOKUP(E807,'HOURLY RATES'!C$6:D$105,2,0))</f>
        <v>116.7734925</v>
      </c>
      <c r="N807" s="206">
        <f t="shared" si="574"/>
        <v>811.77428781225001</v>
      </c>
      <c r="O807" s="234"/>
      <c r="P807" s="197">
        <f t="shared" si="575"/>
        <v>0</v>
      </c>
      <c r="Q807" s="198">
        <f t="shared" si="576"/>
        <v>811.77428781225001</v>
      </c>
      <c r="R807" s="199"/>
      <c r="X807" s="257"/>
    </row>
    <row r="808" spans="1:24" s="12" customFormat="1" x14ac:dyDescent="0.2">
      <c r="A808" s="209">
        <f>IF(J808&lt;&gt;"",1+MAX($A$18:A807),"")</f>
        <v>576</v>
      </c>
      <c r="B808" s="210" t="s">
        <v>359</v>
      </c>
      <c r="C808" s="210" t="s">
        <v>359</v>
      </c>
      <c r="D808" s="210" t="s">
        <v>54</v>
      </c>
      <c r="E808" s="201" t="s">
        <v>134</v>
      </c>
      <c r="F808" s="216" t="s">
        <v>205</v>
      </c>
      <c r="G808" s="310">
        <v>29.685962962962964</v>
      </c>
      <c r="H808" s="205">
        <f>IF(VLOOKUP(J808,'HOURLY RATES'!B$116:C$124,2,0)=0,$J$3,VLOOKUP(J808,'HOURLY RATES'!B$116:C$124,2,0))</f>
        <v>0.05</v>
      </c>
      <c r="I808" s="317">
        <f t="shared" si="572"/>
        <v>31.170261111111113</v>
      </c>
      <c r="J808" s="192" t="s">
        <v>47</v>
      </c>
      <c r="K808" s="208">
        <v>0.22500000000000001</v>
      </c>
      <c r="L808" s="228">
        <f t="shared" si="573"/>
        <v>7.0133087500000002</v>
      </c>
      <c r="M808" s="194">
        <f>IF(VLOOKUP(E808,'HOURLY RATES'!C$6:D$105,2,0)=0,$E$3,VLOOKUP(E808,'HOURLY RATES'!C$6:D$105,2,0))</f>
        <v>116.7734925</v>
      </c>
      <c r="N808" s="206">
        <f t="shared" si="574"/>
        <v>818.9685567183094</v>
      </c>
      <c r="O808" s="234"/>
      <c r="P808" s="197">
        <f t="shared" si="575"/>
        <v>0</v>
      </c>
      <c r="Q808" s="198">
        <f t="shared" si="576"/>
        <v>818.9685567183094</v>
      </c>
      <c r="R808" s="199"/>
      <c r="X808" s="257"/>
    </row>
    <row r="809" spans="1:24" s="12" customFormat="1" x14ac:dyDescent="0.2">
      <c r="A809" s="204">
        <f>IF(J809&lt;&gt;"",1+MAX($A$18:A808),"")</f>
        <v>577</v>
      </c>
      <c r="B809" s="210" t="s">
        <v>359</v>
      </c>
      <c r="C809" s="210" t="s">
        <v>359</v>
      </c>
      <c r="D809" s="201" t="s">
        <v>54</v>
      </c>
      <c r="E809" s="201" t="s">
        <v>134</v>
      </c>
      <c r="F809" s="216" t="s">
        <v>711</v>
      </c>
      <c r="G809" s="310">
        <v>1.3296373333333336</v>
      </c>
      <c r="H809" s="205">
        <f>IF(VLOOKUP(J809,'HOURLY RATES'!B$116:C$124,2,0)=0,$J$3,VLOOKUP(J809,'HOURLY RATES'!B$116:C$124,2,0))</f>
        <v>0.05</v>
      </c>
      <c r="I809" s="317">
        <f t="shared" si="572"/>
        <v>1.3961192000000002</v>
      </c>
      <c r="J809" s="192" t="s">
        <v>47</v>
      </c>
      <c r="K809" s="208">
        <v>2.52</v>
      </c>
      <c r="L809" s="228">
        <f t="shared" si="573"/>
        <v>3.5182203840000006</v>
      </c>
      <c r="M809" s="194">
        <f>IF(VLOOKUP(E809,'HOURLY RATES'!C$6:D$105,2,0)=0,$E$3,VLOOKUP(E809,'HOURLY RATES'!C$6:D$105,2,0))</f>
        <v>116.7734925</v>
      </c>
      <c r="N809" s="206">
        <f t="shared" si="574"/>
        <v>410.83488162437118</v>
      </c>
      <c r="O809" s="234"/>
      <c r="P809" s="197">
        <f t="shared" si="575"/>
        <v>0</v>
      </c>
      <c r="Q809" s="198">
        <f t="shared" si="576"/>
        <v>410.83488162437118</v>
      </c>
      <c r="R809" s="199"/>
      <c r="X809" s="257"/>
    </row>
    <row r="810" spans="1:24" s="12" customFormat="1" x14ac:dyDescent="0.2">
      <c r="A810" s="204">
        <f>IF(J810&lt;&gt;"",1+MAX($A$18:A809),"")</f>
        <v>578</v>
      </c>
      <c r="B810" s="210" t="s">
        <v>359</v>
      </c>
      <c r="C810" s="210" t="s">
        <v>359</v>
      </c>
      <c r="D810" s="201" t="s">
        <v>54</v>
      </c>
      <c r="E810" s="201" t="s">
        <v>134</v>
      </c>
      <c r="F810" s="216" t="s">
        <v>206</v>
      </c>
      <c r="G810" s="310">
        <v>327.67877407407411</v>
      </c>
      <c r="H810" s="205">
        <f>IF(VLOOKUP(J810,'HOURLY RATES'!B$116:C$124,2,0)=0,$J$3,VLOOKUP(J810,'HOURLY RATES'!B$116:C$124,2,0))</f>
        <v>0.05</v>
      </c>
      <c r="I810" s="317">
        <f t="shared" si="572"/>
        <v>344.06271277777785</v>
      </c>
      <c r="J810" s="192" t="s">
        <v>47</v>
      </c>
      <c r="K810" s="208">
        <v>0.11</v>
      </c>
      <c r="L810" s="228">
        <f t="shared" si="573"/>
        <v>37.846898405555564</v>
      </c>
      <c r="M810" s="194">
        <f>IF(VLOOKUP(E810,'HOURLY RATES'!C$6:D$105,2,0)=0,$E$3,VLOOKUP(E810,'HOURLY RATES'!C$6:D$105,2,0))</f>
        <v>116.7734925</v>
      </c>
      <c r="N810" s="206">
        <f t="shared" si="574"/>
        <v>4419.5145071094048</v>
      </c>
      <c r="O810" s="234"/>
      <c r="P810" s="197">
        <f t="shared" si="575"/>
        <v>0</v>
      </c>
      <c r="Q810" s="198">
        <f t="shared" si="576"/>
        <v>4419.5145071094048</v>
      </c>
      <c r="R810" s="199"/>
      <c r="X810" s="257"/>
    </row>
    <row r="811" spans="1:24" s="12" customFormat="1" x14ac:dyDescent="0.2">
      <c r="A811" s="204" t="str">
        <f>IF(J811&lt;&gt;"",1+MAX($A$18:A810),"")</f>
        <v/>
      </c>
      <c r="B811" s="201"/>
      <c r="C811" s="201"/>
      <c r="D811" s="201"/>
      <c r="E811" s="201"/>
      <c r="F811" s="216"/>
      <c r="G811" s="310"/>
      <c r="H811" s="205"/>
      <c r="I811" s="317"/>
      <c r="J811" s="192"/>
      <c r="K811" s="208"/>
      <c r="L811" s="228"/>
      <c r="M811" s="194"/>
      <c r="N811" s="206"/>
      <c r="O811" s="234"/>
      <c r="P811" s="197"/>
      <c r="Q811" s="198"/>
      <c r="R811" s="199"/>
      <c r="X811" s="257"/>
    </row>
    <row r="812" spans="1:24" s="12" customFormat="1" x14ac:dyDescent="0.2">
      <c r="A812" s="204">
        <f>IF(J812&lt;&gt;"",1+MAX($A$18:A811),"")</f>
        <v>579</v>
      </c>
      <c r="B812" s="201"/>
      <c r="C812" s="201"/>
      <c r="D812" s="201" t="s">
        <v>54</v>
      </c>
      <c r="E812" s="201" t="s">
        <v>134</v>
      </c>
      <c r="F812" s="216" t="s">
        <v>712</v>
      </c>
      <c r="G812" s="310">
        <f>SUM(G806:G810)*1.33</f>
        <v>543.1438290237038</v>
      </c>
      <c r="H812" s="205">
        <f>IF(VLOOKUP(J812,'HOURLY RATES'!B$116:C$124,2,0)=0,$J$3,VLOOKUP(J812,'HOURLY RATES'!B$116:C$124,2,0))</f>
        <v>0.05</v>
      </c>
      <c r="I812" s="317">
        <f t="shared" ref="I812" si="577">(G812*(1+H812))</f>
        <v>570.30102047488901</v>
      </c>
      <c r="J812" s="192" t="s">
        <v>47</v>
      </c>
      <c r="K812" s="243">
        <v>0.08</v>
      </c>
      <c r="L812" s="228">
        <f t="shared" ref="L812" si="578">K812*I812</f>
        <v>45.624081637991125</v>
      </c>
      <c r="M812" s="194">
        <f>IF(VLOOKUP(E812,'HOURLY RATES'!C$6:D$105,2,0)=0,$E$3,VLOOKUP(E812,'HOURLY RATES'!C$6:D$105,2,0))</f>
        <v>116.7734925</v>
      </c>
      <c r="N812" s="206">
        <f t="shared" ref="N812" si="579">M812*L812</f>
        <v>5327.6833549733446</v>
      </c>
      <c r="O812" s="234"/>
      <c r="P812" s="197">
        <f t="shared" ref="P812" si="580">O812*I812</f>
        <v>0</v>
      </c>
      <c r="Q812" s="198">
        <f t="shared" ref="Q812" si="581">P812+N812</f>
        <v>5327.6833549733446</v>
      </c>
      <c r="R812" s="199"/>
      <c r="X812" s="257"/>
    </row>
    <row r="813" spans="1:24" s="12" customFormat="1" ht="16.5" thickBot="1" x14ac:dyDescent="0.25">
      <c r="A813" s="263" t="str">
        <f>IF(J813&lt;&gt;"",1+MAX($A$18:A812),"")</f>
        <v/>
      </c>
      <c r="B813" s="264"/>
      <c r="C813" s="264"/>
      <c r="D813" s="264"/>
      <c r="E813" s="264"/>
      <c r="F813" s="265"/>
      <c r="G813" s="266"/>
      <c r="H813" s="267"/>
      <c r="I813" s="268"/>
      <c r="J813" s="269"/>
      <c r="K813" s="270"/>
      <c r="L813" s="271"/>
      <c r="M813" s="272"/>
      <c r="N813" s="273"/>
      <c r="O813" s="274"/>
      <c r="P813" s="275"/>
      <c r="Q813" s="276"/>
      <c r="R813" s="277"/>
      <c r="X813" s="257"/>
    </row>
    <row r="814" spans="1:24" ht="16.5" thickBot="1" x14ac:dyDescent="0.25">
      <c r="A814" s="444" t="s">
        <v>4</v>
      </c>
      <c r="B814" s="445"/>
      <c r="C814" s="24"/>
      <c r="D814" s="24"/>
      <c r="E814" s="153"/>
      <c r="F814" s="26"/>
      <c r="G814" s="25"/>
      <c r="H814" s="25"/>
      <c r="I814" s="25"/>
      <c r="J814" s="26"/>
      <c r="K814" s="27" t="s">
        <v>136</v>
      </c>
      <c r="L814" s="342">
        <f>SUM(L18:L813)</f>
        <v>20039.899278709887</v>
      </c>
      <c r="M814" s="26" t="s">
        <v>25</v>
      </c>
      <c r="N814" s="309">
        <f>SUM(N18:N813)</f>
        <v>1091246.4791477267</v>
      </c>
      <c r="O814" s="26" t="s">
        <v>24</v>
      </c>
      <c r="P814" s="309">
        <f>SUM(P18:P813)</f>
        <v>1212391.6438376184</v>
      </c>
      <c r="Q814" s="278">
        <f>SUM(Q18:Q813)</f>
        <v>2303638.1229853467</v>
      </c>
      <c r="R814" s="278">
        <f>SUM(R18:R813)</f>
        <v>2303638.1229853453</v>
      </c>
    </row>
    <row r="815" spans="1:24" ht="17.25" thickTop="1" thickBot="1" x14ac:dyDescent="0.25">
      <c r="A815" s="446" t="s">
        <v>171</v>
      </c>
      <c r="B815" s="447"/>
      <c r="C815" s="279"/>
      <c r="D815" s="279"/>
      <c r="E815" s="280"/>
      <c r="F815" s="281"/>
      <c r="G815" s="282"/>
      <c r="H815" s="282"/>
      <c r="I815" s="282"/>
      <c r="J815" s="279"/>
      <c r="K815" s="279"/>
      <c r="L815" s="279"/>
      <c r="M815" s="330">
        <f>D5</f>
        <v>9.5000000000000001E-2</v>
      </c>
      <c r="N815" s="283"/>
      <c r="O815" s="283"/>
      <c r="P815" s="283">
        <f>P814*M815</f>
        <v>115177.20616457376</v>
      </c>
      <c r="Q815" s="283">
        <f>P815+N815</f>
        <v>115177.20616457376</v>
      </c>
      <c r="R815" s="284">
        <f>Q815</f>
        <v>115177.20616457376</v>
      </c>
    </row>
    <row r="816" spans="1:24" ht="17.25" thickTop="1" thickBot="1" x14ac:dyDescent="0.25">
      <c r="A816" s="328" t="s">
        <v>326</v>
      </c>
      <c r="B816" s="329"/>
      <c r="C816" s="279"/>
      <c r="D816" s="279"/>
      <c r="E816" s="280"/>
      <c r="F816" s="281"/>
      <c r="G816" s="282"/>
      <c r="H816" s="282"/>
      <c r="I816" s="282"/>
      <c r="J816" s="279"/>
      <c r="K816" s="279"/>
      <c r="L816" s="279"/>
      <c r="M816" s="331">
        <f>D6</f>
        <v>0.05</v>
      </c>
      <c r="N816" s="283"/>
      <c r="O816" s="283"/>
      <c r="P816" s="283">
        <f>P814*M816</f>
        <v>60619.582191880923</v>
      </c>
      <c r="Q816" s="283">
        <f>P816+N816</f>
        <v>60619.582191880923</v>
      </c>
      <c r="R816" s="284">
        <f>Q816</f>
        <v>60619.582191880923</v>
      </c>
    </row>
    <row r="817" spans="1:18" ht="17.25" thickTop="1" thickBot="1" x14ac:dyDescent="0.25">
      <c r="A817" s="328" t="s">
        <v>327</v>
      </c>
      <c r="B817" s="329"/>
      <c r="C817" s="279"/>
      <c r="D817" s="279"/>
      <c r="E817" s="280"/>
      <c r="F817" s="281"/>
      <c r="G817" s="282"/>
      <c r="H817" s="282"/>
      <c r="I817" s="282"/>
      <c r="J817" s="279"/>
      <c r="K817" s="279"/>
      <c r="L817" s="279"/>
      <c r="M817" s="331">
        <f>D7</f>
        <v>0.15</v>
      </c>
      <c r="N817" s="283">
        <f>N814*M817</f>
        <v>163686.97187215899</v>
      </c>
      <c r="O817" s="283"/>
      <c r="P817" s="283"/>
      <c r="Q817" s="283">
        <f>P817+N817</f>
        <v>163686.97187215899</v>
      </c>
      <c r="R817" s="284">
        <f>Q817</f>
        <v>163686.97187215899</v>
      </c>
    </row>
    <row r="818" spans="1:18" ht="17.25" thickTop="1" thickBot="1" x14ac:dyDescent="0.25">
      <c r="A818" s="446" t="s">
        <v>322</v>
      </c>
      <c r="B818" s="447"/>
      <c r="C818" s="279"/>
      <c r="D818" s="279"/>
      <c r="E818" s="280"/>
      <c r="F818" s="281"/>
      <c r="G818" s="282"/>
      <c r="H818" s="282"/>
      <c r="I818" s="282"/>
      <c r="J818" s="279"/>
      <c r="K818" s="279"/>
      <c r="L818" s="279"/>
      <c r="M818" s="330">
        <f>D8</f>
        <v>1.4999999999999999E-2</v>
      </c>
      <c r="N818" s="283">
        <f>(N814+N815+N816+N817)*M818</f>
        <v>18824.001765298286</v>
      </c>
      <c r="O818" s="283"/>
      <c r="P818" s="283">
        <f>(P814+P815+P816+P817)*M818</f>
        <v>20822.826482911096</v>
      </c>
      <c r="Q818" s="283">
        <f>P818+N818</f>
        <v>39646.828248209378</v>
      </c>
      <c r="R818" s="284">
        <f>Q818</f>
        <v>39646.828248209378</v>
      </c>
    </row>
    <row r="819" spans="1:18" ht="17.25" thickTop="1" thickBot="1" x14ac:dyDescent="0.25">
      <c r="A819" s="448" t="s">
        <v>96</v>
      </c>
      <c r="B819" s="449"/>
      <c r="C819" s="285"/>
      <c r="D819" s="285"/>
      <c r="E819" s="286"/>
      <c r="F819" s="287"/>
      <c r="G819" s="288"/>
      <c r="H819" s="288"/>
      <c r="I819" s="288"/>
      <c r="J819" s="285"/>
      <c r="K819" s="285"/>
      <c r="L819" s="285"/>
      <c r="M819" s="287"/>
      <c r="N819" s="289">
        <f>SUM(N814:N818)</f>
        <v>1273757.4527851839</v>
      </c>
      <c r="O819" s="287"/>
      <c r="P819" s="289">
        <f>SUM(P814:P818)</f>
        <v>1409011.2586769843</v>
      </c>
      <c r="Q819" s="289">
        <f>SUM(Q814:Q818)</f>
        <v>2682768.7114621694</v>
      </c>
      <c r="R819" s="290">
        <f>SUM(R814:R818)</f>
        <v>2682768.711462168</v>
      </c>
    </row>
    <row r="820" spans="1:18" x14ac:dyDescent="0.2">
      <c r="A820" s="11"/>
      <c r="F820" s="147"/>
      <c r="G820" s="6"/>
      <c r="H820" s="9"/>
      <c r="Q820" s="9"/>
    </row>
    <row r="821" spans="1:18" x14ac:dyDescent="0.2">
      <c r="A821" s="11"/>
      <c r="F821" s="147"/>
      <c r="G821" s="6"/>
      <c r="H821" s="9"/>
      <c r="Q821" s="9"/>
    </row>
    <row r="822" spans="1:18" x14ac:dyDescent="0.2">
      <c r="A822" s="11"/>
      <c r="E822" s="147"/>
      <c r="F822" s="147"/>
      <c r="G822" s="6"/>
      <c r="H822" s="9"/>
      <c r="Q822" s="9"/>
    </row>
    <row r="823" spans="1:18" x14ac:dyDescent="0.2">
      <c r="A823" s="11"/>
      <c r="E823" s="147"/>
      <c r="F823" s="147"/>
      <c r="G823" s="6"/>
      <c r="H823" s="9"/>
      <c r="Q823" s="9"/>
    </row>
    <row r="824" spans="1:18" x14ac:dyDescent="0.2">
      <c r="A824" s="11"/>
      <c r="F824" s="147"/>
      <c r="G824" s="6"/>
      <c r="H824" s="9"/>
      <c r="Q824" s="9"/>
    </row>
    <row r="825" spans="1:18" x14ac:dyDescent="0.2">
      <c r="A825" s="11"/>
      <c r="F825" s="147"/>
      <c r="G825" s="6"/>
      <c r="H825" s="9"/>
      <c r="Q825" s="9"/>
    </row>
    <row r="826" spans="1:18" x14ac:dyDescent="0.2">
      <c r="A826" s="11"/>
      <c r="F826" s="147"/>
      <c r="G826" s="6"/>
      <c r="H826" s="9"/>
      <c r="Q826" s="9"/>
    </row>
    <row r="827" spans="1:18" x14ac:dyDescent="0.2">
      <c r="A827" s="11"/>
      <c r="F827" s="147"/>
      <c r="G827" s="6"/>
      <c r="H827" s="9"/>
      <c r="Q827" s="9"/>
    </row>
    <row r="828" spans="1:18" x14ac:dyDescent="0.2">
      <c r="A828" s="11"/>
      <c r="E828" s="147"/>
      <c r="F828" s="147"/>
      <c r="G828" s="6"/>
      <c r="H828" s="9"/>
      <c r="Q828" s="9"/>
    </row>
    <row r="829" spans="1:18" x14ac:dyDescent="0.2">
      <c r="A829" s="11"/>
      <c r="E829" s="147"/>
      <c r="F829" s="147"/>
      <c r="G829" s="6"/>
      <c r="H829" s="9"/>
      <c r="Q829" s="9"/>
    </row>
    <row r="830" spans="1:18" x14ac:dyDescent="0.2">
      <c r="A830" s="11"/>
      <c r="F830" s="147"/>
      <c r="G830" s="6"/>
      <c r="H830" s="9"/>
      <c r="Q830" s="9"/>
    </row>
    <row r="831" spans="1:18" x14ac:dyDescent="0.2">
      <c r="A831" s="11"/>
      <c r="F831" s="147"/>
      <c r="G831" s="6"/>
      <c r="H831" s="9"/>
      <c r="Q831" s="9"/>
    </row>
    <row r="832" spans="1:18" x14ac:dyDescent="0.2">
      <c r="A832" s="11"/>
      <c r="F832" s="147"/>
      <c r="G832" s="6"/>
      <c r="H832" s="9"/>
      <c r="Q832" s="9"/>
    </row>
    <row r="833" spans="1:17" x14ac:dyDescent="0.2">
      <c r="A833" s="11"/>
      <c r="G833" s="6"/>
      <c r="Q833" s="9"/>
    </row>
    <row r="834" spans="1:17" x14ac:dyDescent="0.2">
      <c r="A834" s="11"/>
      <c r="G834" s="6"/>
      <c r="H834" s="9"/>
      <c r="M834" s="9"/>
      <c r="N834" s="9"/>
      <c r="O834" s="9"/>
      <c r="P834" s="9"/>
      <c r="Q834" s="9"/>
    </row>
    <row r="835" spans="1:17" x14ac:dyDescent="0.2">
      <c r="A835" s="11"/>
      <c r="G835" s="6"/>
      <c r="H835" s="9"/>
      <c r="M835" s="9"/>
      <c r="N835" s="9"/>
      <c r="O835" s="9"/>
      <c r="P835" s="9"/>
      <c r="Q835" s="9"/>
    </row>
    <row r="836" spans="1:17" x14ac:dyDescent="0.2">
      <c r="G836" s="6"/>
      <c r="H836" s="9"/>
      <c r="M836" s="9"/>
      <c r="N836" s="9"/>
      <c r="O836" s="9"/>
      <c r="P836" s="9"/>
      <c r="Q836" s="9"/>
    </row>
    <row r="837" spans="1:17" x14ac:dyDescent="0.2">
      <c r="G837" s="10"/>
      <c r="M837" s="9"/>
      <c r="N837" s="9"/>
      <c r="O837" s="9"/>
      <c r="P837" s="9"/>
      <c r="Q837" s="9"/>
    </row>
    <row r="838" spans="1:17" x14ac:dyDescent="0.2">
      <c r="G838" s="262"/>
    </row>
  </sheetData>
  <mergeCells count="7">
    <mergeCell ref="A2:R2"/>
    <mergeCell ref="A814:B814"/>
    <mergeCell ref="A815:B815"/>
    <mergeCell ref="A819:B819"/>
    <mergeCell ref="E16:F16"/>
    <mergeCell ref="B3:E3"/>
    <mergeCell ref="A818:B818"/>
  </mergeCells>
  <dataValidations count="2">
    <dataValidation type="list" allowBlank="1" showInputMessage="1" showErrorMessage="1" sqref="E63">
      <formula1>#REF!</formula1>
    </dataValidation>
    <dataValidation type="list" allowBlank="1" showInputMessage="1" showErrorMessage="1" sqref="E225 E125 E209">
      <formula1>$E$679:$E$723</formula1>
    </dataValidation>
  </dataValidations>
  <hyperlinks>
    <hyperlink ref="B3:E3" location="'COST SUMMARY'!A1" display="CLICK HERE TO GO BACK TO COST SUMMARY"/>
  </hyperlinks>
  <printOptions horizontalCentered="1"/>
  <pageMargins left="0.43307086614173201" right="0.43307086614173201" top="0.39370078740157499" bottom="0.39370078740157499" header="0.196850393700787" footer="0.196850393700787"/>
  <pageSetup paperSize="9" scale="29" orientation="portrait" r:id="rId1"/>
  <headerFooter>
    <oddFooter>&amp;C&amp;P of &amp;N</oddFooter>
  </headerFooter>
  <ignoredErrors>
    <ignoredError sqref="K286:O291 K294:O294 L292:O292 L293:O293 K655:O661 O609" formula="1"/>
  </ignoredError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'HOURLY RATES'!$C$6:$C$105</xm:f>
          </x14:formula1>
          <xm:sqref>E21:E32 E60:E62 E54:E57 E47:E51 E34:E36 E39:E44 E65:E66 E539:E679 E68:E124 E282 E804:E812 E740:E802 E126:E143 E689:E709 E226:E280 E712:E727 E729:E738 E681:E687 E284:E346 E348:E537 E210:E224 E146:E208</xm:sqref>
        </x14:dataValidation>
        <x14:dataValidation type="list" allowBlank="1" showInputMessage="1" showErrorMessage="1">
          <x14:formula1>
            <xm:f>'HOURLY RATES'!$B$116:$B$126</xm:f>
          </x14:formula1>
          <xm:sqref>J284:J299 J302:J321 J689:J709 J539:J687 J324:J537 J19:J282 J712:J812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0"/>
  </sheetPr>
  <dimension ref="B1:M126"/>
  <sheetViews>
    <sheetView zoomScale="70" zoomScaleNormal="70" workbookViewId="0">
      <selection activeCell="G16" sqref="G16"/>
    </sheetView>
  </sheetViews>
  <sheetFormatPr defaultRowHeight="15" x14ac:dyDescent="0.2"/>
  <cols>
    <col min="2" max="2" width="11.21875" customWidth="1"/>
    <col min="3" max="3" width="33.6640625" customWidth="1"/>
    <col min="4" max="4" width="12.33203125" customWidth="1"/>
  </cols>
  <sheetData>
    <row r="1" spans="2:13" ht="25.5" customHeight="1" x14ac:dyDescent="0.2">
      <c r="B1" s="84" t="s">
        <v>266</v>
      </c>
      <c r="C1" s="85"/>
      <c r="D1" s="85"/>
      <c r="E1" s="85"/>
      <c r="F1" s="85"/>
      <c r="G1" s="85"/>
      <c r="H1" s="85"/>
      <c r="I1" s="86"/>
      <c r="J1" s="87"/>
      <c r="K1" s="87"/>
      <c r="L1" s="87"/>
      <c r="M1" s="88"/>
    </row>
    <row r="2" spans="2:13" ht="16.5" customHeight="1" x14ac:dyDescent="0.2">
      <c r="B2" s="452" t="s">
        <v>261</v>
      </c>
      <c r="C2" s="453"/>
      <c r="D2" s="453"/>
      <c r="E2" s="453"/>
      <c r="F2" s="453"/>
      <c r="G2" s="453"/>
      <c r="H2" s="453"/>
      <c r="I2" s="453"/>
      <c r="J2" s="453"/>
      <c r="K2" s="453"/>
      <c r="L2" s="453"/>
      <c r="M2" s="454"/>
    </row>
    <row r="3" spans="2:13" ht="18" customHeight="1" thickBot="1" x14ac:dyDescent="0.25">
      <c r="B3" s="455"/>
      <c r="C3" s="456"/>
      <c r="D3" s="456"/>
      <c r="E3" s="456"/>
      <c r="F3" s="456"/>
      <c r="G3" s="456"/>
      <c r="H3" s="456"/>
      <c r="I3" s="456"/>
      <c r="J3" s="456"/>
      <c r="K3" s="456"/>
      <c r="L3" s="456"/>
      <c r="M3" s="457"/>
    </row>
    <row r="4" spans="2:13" ht="24.75" customHeight="1" thickBot="1" x14ac:dyDescent="0.25">
      <c r="B4" s="458" t="s">
        <v>336</v>
      </c>
      <c r="C4" s="459"/>
      <c r="D4" s="459"/>
      <c r="E4" s="459"/>
      <c r="F4" s="459"/>
      <c r="G4" s="459"/>
      <c r="H4" s="459"/>
      <c r="I4" s="459"/>
      <c r="J4" s="459"/>
      <c r="K4" s="459"/>
      <c r="L4" s="459"/>
      <c r="M4" s="460"/>
    </row>
    <row r="5" spans="2:13" ht="16.5" thickBot="1" x14ac:dyDescent="0.3">
      <c r="B5" s="89" t="s">
        <v>259</v>
      </c>
      <c r="C5" s="89" t="s">
        <v>264</v>
      </c>
      <c r="D5" s="89" t="s">
        <v>260</v>
      </c>
    </row>
    <row r="6" spans="2:13" ht="16.5" thickBot="1" x14ac:dyDescent="0.3">
      <c r="B6" s="117" t="s">
        <v>265</v>
      </c>
      <c r="C6" s="117" t="s">
        <v>238</v>
      </c>
      <c r="D6" s="152">
        <v>60</v>
      </c>
      <c r="F6" s="461" t="s">
        <v>308</v>
      </c>
      <c r="G6" s="462"/>
      <c r="H6" s="462"/>
      <c r="I6" s="462"/>
      <c r="J6" s="463"/>
    </row>
    <row r="7" spans="2:13" ht="15.75" x14ac:dyDescent="0.25">
      <c r="B7" s="23" t="s">
        <v>53</v>
      </c>
      <c r="C7" s="117" t="s">
        <v>299</v>
      </c>
      <c r="D7" s="152">
        <v>69.559850000000012</v>
      </c>
    </row>
    <row r="8" spans="2:13" ht="15.75" x14ac:dyDescent="0.25">
      <c r="B8" s="23" t="s">
        <v>21</v>
      </c>
      <c r="C8" s="117" t="s">
        <v>300</v>
      </c>
      <c r="D8" s="152">
        <v>38.508412499999999</v>
      </c>
    </row>
    <row r="9" spans="2:13" ht="15.75" x14ac:dyDescent="0.25">
      <c r="B9" s="23" t="s">
        <v>38</v>
      </c>
      <c r="C9" s="117" t="s">
        <v>135</v>
      </c>
      <c r="D9" s="152">
        <v>48.691895000000002</v>
      </c>
    </row>
    <row r="10" spans="2:13" ht="15.75" x14ac:dyDescent="0.25">
      <c r="B10" s="23" t="s">
        <v>44</v>
      </c>
      <c r="C10" s="117" t="s">
        <v>211</v>
      </c>
      <c r="D10" s="152">
        <v>54.818437500000002</v>
      </c>
    </row>
    <row r="11" spans="2:13" ht="15.75" x14ac:dyDescent="0.25">
      <c r="B11" s="23" t="s">
        <v>53</v>
      </c>
      <c r="C11" s="117" t="s">
        <v>150</v>
      </c>
      <c r="D11" s="152">
        <v>62.284425000000006</v>
      </c>
    </row>
    <row r="12" spans="2:13" ht="15.75" x14ac:dyDescent="0.25">
      <c r="B12" s="23" t="s">
        <v>39</v>
      </c>
      <c r="C12" s="117" t="s">
        <v>67</v>
      </c>
      <c r="D12" s="152">
        <v>69.559850000000012</v>
      </c>
    </row>
    <row r="13" spans="2:13" ht="15.75" x14ac:dyDescent="0.25">
      <c r="B13" s="23" t="s">
        <v>35</v>
      </c>
      <c r="C13" s="117" t="s">
        <v>137</v>
      </c>
      <c r="D13" s="152">
        <v>69.559850000000012</v>
      </c>
    </row>
    <row r="14" spans="2:13" ht="15.75" x14ac:dyDescent="0.25">
      <c r="B14" s="23" t="s">
        <v>21</v>
      </c>
      <c r="C14" s="117" t="s">
        <v>313</v>
      </c>
      <c r="D14" s="152">
        <v>38.508412499999999</v>
      </c>
    </row>
    <row r="15" spans="2:13" ht="15.75" x14ac:dyDescent="0.25">
      <c r="B15" s="23" t="s">
        <v>48</v>
      </c>
      <c r="C15" s="117" t="s">
        <v>295</v>
      </c>
      <c r="D15" s="152">
        <v>64.843563750000001</v>
      </c>
    </row>
    <row r="16" spans="2:13" ht="15.75" x14ac:dyDescent="0.25">
      <c r="B16" s="23" t="s">
        <v>35</v>
      </c>
      <c r="C16" s="117" t="s">
        <v>296</v>
      </c>
      <c r="D16" s="152">
        <v>66.081857499999998</v>
      </c>
    </row>
    <row r="17" spans="2:4" ht="15.75" x14ac:dyDescent="0.25">
      <c r="B17" s="23" t="s">
        <v>35</v>
      </c>
      <c r="C17" s="117" t="s">
        <v>297</v>
      </c>
      <c r="D17" s="152">
        <v>65.462710625</v>
      </c>
    </row>
    <row r="18" spans="2:4" ht="15.75" x14ac:dyDescent="0.25">
      <c r="B18" s="23" t="s">
        <v>21</v>
      </c>
      <c r="C18" s="117" t="s">
        <v>314</v>
      </c>
      <c r="D18" s="152">
        <v>33.882721875000001</v>
      </c>
    </row>
    <row r="19" spans="2:4" ht="15.75" x14ac:dyDescent="0.25">
      <c r="B19" s="23" t="s">
        <v>54</v>
      </c>
      <c r="C19" s="117" t="s">
        <v>315</v>
      </c>
      <c r="D19" s="152">
        <v>116.7734925</v>
      </c>
    </row>
    <row r="20" spans="2:4" ht="15.75" x14ac:dyDescent="0.25">
      <c r="B20" s="23" t="s">
        <v>129</v>
      </c>
      <c r="C20" s="117" t="s">
        <v>141</v>
      </c>
      <c r="D20" s="152">
        <v>78.174812537500003</v>
      </c>
    </row>
    <row r="21" spans="2:4" ht="15.75" x14ac:dyDescent="0.25">
      <c r="B21" s="23" t="s">
        <v>45</v>
      </c>
      <c r="C21" s="117" t="s">
        <v>273</v>
      </c>
      <c r="D21" s="152">
        <v>62.881706250000008</v>
      </c>
    </row>
    <row r="22" spans="2:4" ht="15.75" x14ac:dyDescent="0.25">
      <c r="B22" s="23" t="s">
        <v>39</v>
      </c>
      <c r="C22" s="117" t="s">
        <v>152</v>
      </c>
      <c r="D22" s="152">
        <v>73.757326499999991</v>
      </c>
    </row>
    <row r="23" spans="2:4" ht="15.75" x14ac:dyDescent="0.25">
      <c r="B23" s="23" t="s">
        <v>26</v>
      </c>
      <c r="C23" s="117" t="s">
        <v>82</v>
      </c>
      <c r="D23" s="152">
        <v>38.508412499999999</v>
      </c>
    </row>
    <row r="24" spans="2:4" ht="15.75" x14ac:dyDescent="0.25">
      <c r="B24" s="23" t="s">
        <v>44</v>
      </c>
      <c r="C24" s="117" t="s">
        <v>269</v>
      </c>
      <c r="D24" s="152">
        <v>37.037280000000003</v>
      </c>
    </row>
    <row r="25" spans="2:4" ht="15.75" x14ac:dyDescent="0.25">
      <c r="B25" s="23" t="s">
        <v>44</v>
      </c>
      <c r="C25" s="117" t="s">
        <v>256</v>
      </c>
      <c r="D25" s="152">
        <v>44.444735999999999</v>
      </c>
    </row>
    <row r="26" spans="2:4" ht="15.75" x14ac:dyDescent="0.25">
      <c r="B26" s="23" t="s">
        <v>54</v>
      </c>
      <c r="C26" s="117" t="s">
        <v>252</v>
      </c>
      <c r="D26" s="152">
        <v>116.7734925</v>
      </c>
    </row>
    <row r="27" spans="2:4" ht="15.75" x14ac:dyDescent="0.25">
      <c r="B27" s="23" t="s">
        <v>26</v>
      </c>
      <c r="C27" s="117" t="s">
        <v>148</v>
      </c>
      <c r="D27" s="152">
        <v>69.559850000000012</v>
      </c>
    </row>
    <row r="28" spans="2:4" ht="15.75" x14ac:dyDescent="0.25">
      <c r="B28" s="23" t="s">
        <v>21</v>
      </c>
      <c r="C28" s="117" t="s">
        <v>133</v>
      </c>
      <c r="D28" s="152">
        <v>38.508412499999999</v>
      </c>
    </row>
    <row r="29" spans="2:4" ht="15.75" x14ac:dyDescent="0.25">
      <c r="B29" s="23" t="s">
        <v>54</v>
      </c>
      <c r="C29" s="117" t="s">
        <v>134</v>
      </c>
      <c r="D29" s="152">
        <v>116.7734925</v>
      </c>
    </row>
    <row r="30" spans="2:4" ht="15.75" x14ac:dyDescent="0.25">
      <c r="B30" s="23" t="s">
        <v>52</v>
      </c>
      <c r="C30" s="117" t="s">
        <v>156</v>
      </c>
      <c r="D30" s="152">
        <v>78.174812537500003</v>
      </c>
    </row>
    <row r="31" spans="2:4" ht="15.75" x14ac:dyDescent="0.25">
      <c r="B31" s="23" t="s">
        <v>138</v>
      </c>
      <c r="C31" s="117" t="s">
        <v>139</v>
      </c>
      <c r="D31" s="152">
        <v>78.174812537500003</v>
      </c>
    </row>
    <row r="32" spans="2:4" ht="15.75" x14ac:dyDescent="0.25">
      <c r="B32" s="23" t="s">
        <v>126</v>
      </c>
      <c r="C32" s="117" t="s">
        <v>301</v>
      </c>
      <c r="D32" s="152">
        <v>140.15047528125001</v>
      </c>
    </row>
    <row r="33" spans="2:4" ht="15.75" x14ac:dyDescent="0.25">
      <c r="B33" s="23" t="s">
        <v>38</v>
      </c>
      <c r="C33" s="117" t="s">
        <v>217</v>
      </c>
      <c r="D33" s="152">
        <v>38.508412499999999</v>
      </c>
    </row>
    <row r="34" spans="2:4" ht="15.75" x14ac:dyDescent="0.25">
      <c r="B34" s="23" t="s">
        <v>54</v>
      </c>
      <c r="C34" s="117" t="s">
        <v>79</v>
      </c>
      <c r="D34" s="152">
        <v>31.74624</v>
      </c>
    </row>
    <row r="35" spans="2:4" ht="15.75" x14ac:dyDescent="0.25">
      <c r="B35" s="23" t="s">
        <v>85</v>
      </c>
      <c r="C35" s="117" t="s">
        <v>253</v>
      </c>
      <c r="D35" s="152">
        <v>62.881706250000008</v>
      </c>
    </row>
    <row r="36" spans="2:4" ht="15.75" x14ac:dyDescent="0.25">
      <c r="B36" s="23" t="s">
        <v>21</v>
      </c>
      <c r="C36" s="117" t="s">
        <v>65</v>
      </c>
      <c r="D36" s="152">
        <v>38.003343750000006</v>
      </c>
    </row>
    <row r="37" spans="2:4" ht="15.75" x14ac:dyDescent="0.25">
      <c r="B37" s="23" t="s">
        <v>53</v>
      </c>
      <c r="C37" s="117" t="s">
        <v>254</v>
      </c>
      <c r="D37" s="152">
        <v>76.51583500000001</v>
      </c>
    </row>
    <row r="38" spans="2:4" ht="15.75" x14ac:dyDescent="0.25">
      <c r="B38" s="23" t="s">
        <v>85</v>
      </c>
      <c r="C38" s="117" t="s">
        <v>275</v>
      </c>
      <c r="D38" s="152">
        <v>61.074646874999992</v>
      </c>
    </row>
    <row r="39" spans="2:4" ht="15.75" x14ac:dyDescent="0.25">
      <c r="B39" s="23" t="s">
        <v>85</v>
      </c>
      <c r="C39" s="117" t="s">
        <v>274</v>
      </c>
      <c r="D39" s="152">
        <v>69.559850000000012</v>
      </c>
    </row>
    <row r="40" spans="2:4" ht="15.75" x14ac:dyDescent="0.25">
      <c r="B40" s="23" t="s">
        <v>85</v>
      </c>
      <c r="C40" s="117" t="s">
        <v>286</v>
      </c>
      <c r="D40" s="152">
        <v>65.317248437499998</v>
      </c>
    </row>
    <row r="41" spans="2:4" ht="15.75" x14ac:dyDescent="0.25">
      <c r="B41" s="23" t="s">
        <v>35</v>
      </c>
      <c r="C41" s="117" t="s">
        <v>76</v>
      </c>
      <c r="D41" s="152">
        <v>69.559850000000012</v>
      </c>
    </row>
    <row r="42" spans="2:4" ht="15.75" x14ac:dyDescent="0.25">
      <c r="B42" s="23" t="s">
        <v>84</v>
      </c>
      <c r="C42" s="117" t="s">
        <v>316</v>
      </c>
      <c r="D42" s="152">
        <v>67.84509374999999</v>
      </c>
    </row>
    <row r="43" spans="2:4" ht="15.75" x14ac:dyDescent="0.25">
      <c r="B43" s="23" t="s">
        <v>127</v>
      </c>
      <c r="C43" s="117" t="s">
        <v>128</v>
      </c>
      <c r="D43" s="152">
        <v>104.726259855</v>
      </c>
    </row>
    <row r="44" spans="2:4" ht="15.75" x14ac:dyDescent="0.25">
      <c r="B44" s="23" t="s">
        <v>53</v>
      </c>
      <c r="C44" s="117" t="s">
        <v>55</v>
      </c>
      <c r="D44" s="152">
        <v>67.84509374999999</v>
      </c>
    </row>
    <row r="45" spans="2:4" ht="15.75" x14ac:dyDescent="0.25">
      <c r="B45" s="23" t="s">
        <v>21</v>
      </c>
      <c r="C45" s="117" t="s">
        <v>66</v>
      </c>
      <c r="D45" s="152">
        <v>62.836482000000011</v>
      </c>
    </row>
    <row r="46" spans="2:4" ht="15.75" x14ac:dyDescent="0.25">
      <c r="B46" s="23" t="s">
        <v>53</v>
      </c>
      <c r="C46" s="117" t="s">
        <v>317</v>
      </c>
      <c r="D46" s="152">
        <v>59.125872500000007</v>
      </c>
    </row>
    <row r="47" spans="2:4" ht="15.75" x14ac:dyDescent="0.25">
      <c r="B47" s="23" t="s">
        <v>84</v>
      </c>
      <c r="C47" s="117" t="s">
        <v>147</v>
      </c>
      <c r="D47" s="152">
        <v>41.7260043</v>
      </c>
    </row>
    <row r="48" spans="2:4" ht="15.75" x14ac:dyDescent="0.25">
      <c r="B48" s="23" t="s">
        <v>21</v>
      </c>
      <c r="C48" s="117" t="s">
        <v>146</v>
      </c>
      <c r="D48" s="152">
        <v>38.508412499999999</v>
      </c>
    </row>
    <row r="49" spans="2:4" ht="15.75" x14ac:dyDescent="0.25">
      <c r="B49" s="23" t="s">
        <v>35</v>
      </c>
      <c r="C49" s="117" t="s">
        <v>72</v>
      </c>
      <c r="D49" s="152">
        <v>38.508412499999999</v>
      </c>
    </row>
    <row r="50" spans="2:4" ht="15.75" x14ac:dyDescent="0.25">
      <c r="B50" s="23" t="s">
        <v>35</v>
      </c>
      <c r="C50" s="117" t="s">
        <v>73</v>
      </c>
      <c r="D50" s="152">
        <v>38.508412499999999</v>
      </c>
    </row>
    <row r="51" spans="2:4" ht="15.75" x14ac:dyDescent="0.25">
      <c r="B51" s="23" t="s">
        <v>39</v>
      </c>
      <c r="C51" s="117" t="s">
        <v>41</v>
      </c>
      <c r="D51" s="152">
        <v>37.701889199999997</v>
      </c>
    </row>
    <row r="52" spans="2:4" ht="15.75" x14ac:dyDescent="0.25">
      <c r="B52" s="23" t="s">
        <v>26</v>
      </c>
      <c r="C52" s="117" t="s">
        <v>212</v>
      </c>
      <c r="D52" s="152">
        <v>53.167499999999997</v>
      </c>
    </row>
    <row r="53" spans="2:4" ht="15.75" x14ac:dyDescent="0.25">
      <c r="B53" s="23" t="s">
        <v>44</v>
      </c>
      <c r="C53" s="117" t="s">
        <v>226</v>
      </c>
      <c r="D53" s="152">
        <v>54.818437500000002</v>
      </c>
    </row>
    <row r="54" spans="2:4" ht="15.75" x14ac:dyDescent="0.25">
      <c r="B54" s="23" t="s">
        <v>48</v>
      </c>
      <c r="C54" s="117" t="s">
        <v>63</v>
      </c>
      <c r="D54" s="152">
        <v>38.508412499999999</v>
      </c>
    </row>
    <row r="55" spans="2:4" ht="15.75" x14ac:dyDescent="0.25">
      <c r="B55" s="23" t="s">
        <v>21</v>
      </c>
      <c r="C55" s="117" t="s">
        <v>64</v>
      </c>
      <c r="D55" s="152">
        <v>38.003343750000006</v>
      </c>
    </row>
    <row r="56" spans="2:4" ht="15.75" x14ac:dyDescent="0.25">
      <c r="B56" s="23" t="s">
        <v>53</v>
      </c>
      <c r="C56" s="117" t="s">
        <v>155</v>
      </c>
      <c r="D56" s="152">
        <v>69.559850000000012</v>
      </c>
    </row>
    <row r="57" spans="2:4" ht="15.75" x14ac:dyDescent="0.25">
      <c r="B57" s="23" t="s">
        <v>85</v>
      </c>
      <c r="C57" s="117" t="s">
        <v>78</v>
      </c>
      <c r="D57" s="152">
        <v>56.608875000000005</v>
      </c>
    </row>
    <row r="58" spans="2:4" ht="15.75" x14ac:dyDescent="0.25">
      <c r="B58" s="23" t="s">
        <v>48</v>
      </c>
      <c r="C58" s="117" t="s">
        <v>270</v>
      </c>
      <c r="D58" s="152">
        <v>66.337424999999996</v>
      </c>
    </row>
    <row r="59" spans="2:4" ht="15.75" x14ac:dyDescent="0.25">
      <c r="B59" s="23" t="s">
        <v>85</v>
      </c>
      <c r="C59" s="117" t="s">
        <v>165</v>
      </c>
      <c r="D59" s="152">
        <v>26.455200000000001</v>
      </c>
    </row>
    <row r="60" spans="2:4" ht="15.75" x14ac:dyDescent="0.25">
      <c r="B60" s="23" t="s">
        <v>39</v>
      </c>
      <c r="C60" s="117" t="s">
        <v>272</v>
      </c>
      <c r="D60" s="152">
        <v>69.559850000000012</v>
      </c>
    </row>
    <row r="61" spans="2:4" ht="15.75" x14ac:dyDescent="0.25">
      <c r="B61" s="23" t="s">
        <v>83</v>
      </c>
      <c r="C61" s="117" t="s">
        <v>290</v>
      </c>
      <c r="D61" s="152">
        <v>69.352762499999983</v>
      </c>
    </row>
    <row r="62" spans="2:4" ht="15.75" x14ac:dyDescent="0.25">
      <c r="B62" s="23" t="s">
        <v>83</v>
      </c>
      <c r="C62" s="117" t="s">
        <v>289</v>
      </c>
      <c r="D62" s="152">
        <v>69.352762499999983</v>
      </c>
    </row>
    <row r="63" spans="2:4" ht="15.75" x14ac:dyDescent="0.25">
      <c r="B63" s="23" t="s">
        <v>83</v>
      </c>
      <c r="C63" s="117" t="s">
        <v>277</v>
      </c>
      <c r="D63" s="152">
        <v>69.352762499999983</v>
      </c>
    </row>
    <row r="64" spans="2:4" ht="15.75" x14ac:dyDescent="0.25">
      <c r="B64" s="23" t="s">
        <v>51</v>
      </c>
      <c r="C64" s="117" t="s">
        <v>288</v>
      </c>
      <c r="D64" s="152">
        <v>77.646414230000005</v>
      </c>
    </row>
    <row r="65" spans="2:4" ht="15.75" x14ac:dyDescent="0.25">
      <c r="B65" s="23" t="s">
        <v>35</v>
      </c>
      <c r="C65" s="117" t="s">
        <v>151</v>
      </c>
      <c r="D65" s="152">
        <v>69.559850000000012</v>
      </c>
    </row>
    <row r="66" spans="2:4" ht="15.75" x14ac:dyDescent="0.25">
      <c r="B66" s="23" t="s">
        <v>84</v>
      </c>
      <c r="C66" s="117" t="s">
        <v>213</v>
      </c>
      <c r="D66" s="152">
        <v>67.402702500000004</v>
      </c>
    </row>
    <row r="67" spans="2:4" ht="15.75" x14ac:dyDescent="0.25">
      <c r="B67" s="23" t="s">
        <v>84</v>
      </c>
      <c r="C67" s="117" t="s">
        <v>291</v>
      </c>
      <c r="D67" s="152">
        <v>64.843563750000001</v>
      </c>
    </row>
    <row r="68" spans="2:4" ht="15.75" x14ac:dyDescent="0.25">
      <c r="B68" s="23" t="s">
        <v>35</v>
      </c>
      <c r="C68" s="117" t="s">
        <v>292</v>
      </c>
      <c r="D68" s="152">
        <v>66.081857499999998</v>
      </c>
    </row>
    <row r="69" spans="2:4" ht="15.75" x14ac:dyDescent="0.25">
      <c r="B69" s="23" t="s">
        <v>35</v>
      </c>
      <c r="C69" s="117" t="s">
        <v>293</v>
      </c>
      <c r="D69" s="152">
        <v>65.462710625</v>
      </c>
    </row>
    <row r="70" spans="2:4" ht="15.75" x14ac:dyDescent="0.25">
      <c r="B70" s="23" t="s">
        <v>85</v>
      </c>
      <c r="C70" s="117" t="s">
        <v>74</v>
      </c>
      <c r="D70" s="152">
        <v>62.881706250000008</v>
      </c>
    </row>
    <row r="71" spans="2:4" ht="15.75" x14ac:dyDescent="0.25">
      <c r="B71" s="23" t="s">
        <v>35</v>
      </c>
      <c r="C71" s="117" t="s">
        <v>91</v>
      </c>
      <c r="D71" s="152">
        <v>45.354352500000005</v>
      </c>
    </row>
    <row r="72" spans="2:4" ht="15.75" x14ac:dyDescent="0.25">
      <c r="B72" s="23" t="s">
        <v>54</v>
      </c>
      <c r="C72" s="117" t="s">
        <v>321</v>
      </c>
      <c r="D72" s="152">
        <v>116.7734925</v>
      </c>
    </row>
    <row r="73" spans="2:4" ht="15.75" x14ac:dyDescent="0.25">
      <c r="B73" s="23" t="s">
        <v>38</v>
      </c>
      <c r="C73" s="117" t="s">
        <v>268</v>
      </c>
      <c r="D73" s="152">
        <v>48.982700700000002</v>
      </c>
    </row>
    <row r="74" spans="2:4" ht="15.75" x14ac:dyDescent="0.25">
      <c r="B74" s="23" t="s">
        <v>42</v>
      </c>
      <c r="C74" s="117" t="s">
        <v>132</v>
      </c>
      <c r="D74" s="152">
        <v>76.784400000000005</v>
      </c>
    </row>
    <row r="75" spans="2:4" ht="15.75" x14ac:dyDescent="0.25">
      <c r="B75" s="23" t="s">
        <v>124</v>
      </c>
      <c r="C75" s="117" t="s">
        <v>149</v>
      </c>
      <c r="D75" s="152">
        <v>78.602132812500017</v>
      </c>
    </row>
    <row r="76" spans="2:4" ht="15.75" x14ac:dyDescent="0.25">
      <c r="B76" s="23" t="s">
        <v>45</v>
      </c>
      <c r="C76" s="117" t="s">
        <v>267</v>
      </c>
      <c r="D76" s="152">
        <v>62.881706250000008</v>
      </c>
    </row>
    <row r="77" spans="2:4" ht="15.75" x14ac:dyDescent="0.25">
      <c r="B77" s="23" t="s">
        <v>124</v>
      </c>
      <c r="C77" s="117" t="s">
        <v>169</v>
      </c>
      <c r="D77" s="152">
        <v>120.11996250000001</v>
      </c>
    </row>
    <row r="78" spans="2:4" ht="15.75" x14ac:dyDescent="0.25">
      <c r="B78" s="23" t="s">
        <v>35</v>
      </c>
      <c r="C78" s="117" t="s">
        <v>59</v>
      </c>
      <c r="D78" s="152">
        <v>38.508412499999999</v>
      </c>
    </row>
    <row r="79" spans="2:4" ht="15.75" x14ac:dyDescent="0.25">
      <c r="B79" s="23" t="s">
        <v>48</v>
      </c>
      <c r="C79" s="117" t="s">
        <v>62</v>
      </c>
      <c r="D79" s="152">
        <v>55.8166875</v>
      </c>
    </row>
    <row r="80" spans="2:4" ht="15.75" x14ac:dyDescent="0.25">
      <c r="B80" s="23" t="s">
        <v>35</v>
      </c>
      <c r="C80" s="117" t="s">
        <v>43</v>
      </c>
      <c r="D80" s="152">
        <v>38.508412499999999</v>
      </c>
    </row>
    <row r="81" spans="2:4" ht="15.75" x14ac:dyDescent="0.25">
      <c r="B81" s="23" t="s">
        <v>54</v>
      </c>
      <c r="C81" s="117" t="s">
        <v>166</v>
      </c>
      <c r="D81" s="152">
        <v>62.836482000000011</v>
      </c>
    </row>
    <row r="82" spans="2:4" ht="15.75" x14ac:dyDescent="0.25">
      <c r="B82" s="23" t="s">
        <v>48</v>
      </c>
      <c r="C82" s="117" t="s">
        <v>61</v>
      </c>
      <c r="D82" s="152">
        <v>77.172637500000008</v>
      </c>
    </row>
    <row r="83" spans="2:4" ht="15.75" x14ac:dyDescent="0.25">
      <c r="B83" s="23" t="s">
        <v>45</v>
      </c>
      <c r="C83" s="117" t="s">
        <v>154</v>
      </c>
      <c r="D83" s="152">
        <v>62.881706250000008</v>
      </c>
    </row>
    <row r="84" spans="2:4" ht="15.75" x14ac:dyDescent="0.25">
      <c r="B84" s="23" t="s">
        <v>52</v>
      </c>
      <c r="C84" s="117" t="s">
        <v>255</v>
      </c>
      <c r="D84" s="152">
        <v>78.174812537500003</v>
      </c>
    </row>
    <row r="85" spans="2:4" ht="15.75" x14ac:dyDescent="0.25">
      <c r="B85" s="23" t="s">
        <v>39</v>
      </c>
      <c r="C85" s="117" t="s">
        <v>257</v>
      </c>
      <c r="D85" s="152">
        <v>69.559850000000012</v>
      </c>
    </row>
    <row r="86" spans="2:4" ht="15.75" x14ac:dyDescent="0.25">
      <c r="B86" s="23" t="s">
        <v>21</v>
      </c>
      <c r="C86" s="117" t="s">
        <v>75</v>
      </c>
      <c r="D86" s="152">
        <v>38.003343750000006</v>
      </c>
    </row>
    <row r="87" spans="2:4" ht="15.75" x14ac:dyDescent="0.25">
      <c r="B87" s="23" t="s">
        <v>53</v>
      </c>
      <c r="C87" s="117" t="s">
        <v>153</v>
      </c>
      <c r="D87" s="152">
        <v>69.559850000000012</v>
      </c>
    </row>
    <row r="88" spans="2:4" ht="15.75" x14ac:dyDescent="0.25">
      <c r="B88" s="23" t="s">
        <v>26</v>
      </c>
      <c r="C88" s="117" t="s">
        <v>318</v>
      </c>
      <c r="D88" s="152">
        <v>69.559850000000012</v>
      </c>
    </row>
    <row r="89" spans="2:4" ht="15.75" x14ac:dyDescent="0.25">
      <c r="B89" s="23" t="s">
        <v>124</v>
      </c>
      <c r="C89" s="117" t="s">
        <v>125</v>
      </c>
      <c r="D89" s="152">
        <v>62.284425000000006</v>
      </c>
    </row>
    <row r="90" spans="2:4" ht="15.75" x14ac:dyDescent="0.25">
      <c r="B90" s="23" t="s">
        <v>84</v>
      </c>
      <c r="C90" s="117" t="s">
        <v>251</v>
      </c>
      <c r="D90" s="152">
        <v>67.402702500000004</v>
      </c>
    </row>
    <row r="91" spans="2:4" ht="15.75" x14ac:dyDescent="0.25">
      <c r="B91" s="23" t="s">
        <v>35</v>
      </c>
      <c r="C91" s="117" t="s">
        <v>250</v>
      </c>
      <c r="D91" s="152">
        <v>69.559850000000012</v>
      </c>
    </row>
    <row r="92" spans="2:4" ht="15.75" x14ac:dyDescent="0.25">
      <c r="B92" s="23" t="s">
        <v>26</v>
      </c>
      <c r="C92" s="117" t="s">
        <v>69</v>
      </c>
      <c r="D92" s="152">
        <v>53.167499999999997</v>
      </c>
    </row>
    <row r="93" spans="2:4" ht="15.75" x14ac:dyDescent="0.25">
      <c r="B93" s="23" t="s">
        <v>84</v>
      </c>
      <c r="C93" s="117" t="s">
        <v>58</v>
      </c>
      <c r="D93" s="152">
        <v>62.284425000000006</v>
      </c>
    </row>
    <row r="94" spans="2:4" ht="15.75" x14ac:dyDescent="0.25">
      <c r="B94" s="23" t="s">
        <v>48</v>
      </c>
      <c r="C94" s="117" t="s">
        <v>276</v>
      </c>
      <c r="D94" s="152">
        <v>59.935162500000004</v>
      </c>
    </row>
    <row r="95" spans="2:4" ht="15.75" x14ac:dyDescent="0.25">
      <c r="B95" s="23" t="s">
        <v>21</v>
      </c>
      <c r="C95" s="117" t="s">
        <v>68</v>
      </c>
      <c r="D95" s="152">
        <v>63.829754999999992</v>
      </c>
    </row>
    <row r="96" spans="2:4" ht="15.75" x14ac:dyDescent="0.25">
      <c r="B96" s="23" t="s">
        <v>53</v>
      </c>
      <c r="C96" s="117" t="s">
        <v>306</v>
      </c>
      <c r="D96" s="152">
        <v>69.559850000000012</v>
      </c>
    </row>
    <row r="97" spans="2:4" ht="15.75" x14ac:dyDescent="0.25">
      <c r="B97" s="23" t="s">
        <v>307</v>
      </c>
      <c r="C97" s="117" t="s">
        <v>319</v>
      </c>
      <c r="D97" s="152">
        <v>38.508412499999999</v>
      </c>
    </row>
    <row r="98" spans="2:4" ht="15.75" x14ac:dyDescent="0.25">
      <c r="B98" s="23" t="s">
        <v>35</v>
      </c>
      <c r="C98" s="117" t="s">
        <v>92</v>
      </c>
      <c r="D98" s="152">
        <v>45.354352500000005</v>
      </c>
    </row>
    <row r="99" spans="2:4" ht="15.75" x14ac:dyDescent="0.25">
      <c r="B99" s="23" t="s">
        <v>35</v>
      </c>
      <c r="C99" s="117" t="s">
        <v>81</v>
      </c>
      <c r="D99" s="152">
        <v>38.508412499999999</v>
      </c>
    </row>
    <row r="100" spans="2:4" ht="15.75" x14ac:dyDescent="0.25">
      <c r="B100" s="23" t="s">
        <v>123</v>
      </c>
      <c r="C100" s="117" t="s">
        <v>130</v>
      </c>
      <c r="D100" s="152">
        <v>77.848995000000016</v>
      </c>
    </row>
    <row r="101" spans="2:4" ht="15.75" x14ac:dyDescent="0.25">
      <c r="B101" s="23" t="s">
        <v>21</v>
      </c>
      <c r="C101" s="117" t="s">
        <v>77</v>
      </c>
      <c r="D101" s="152">
        <v>58.028343750000012</v>
      </c>
    </row>
    <row r="102" spans="2:4" ht="15.75" x14ac:dyDescent="0.25">
      <c r="B102" s="23" t="s">
        <v>48</v>
      </c>
      <c r="C102" s="117" t="s">
        <v>294</v>
      </c>
      <c r="D102" s="152">
        <v>69.352762499999983</v>
      </c>
    </row>
    <row r="103" spans="2:4" ht="15.75" x14ac:dyDescent="0.25">
      <c r="B103" s="23" t="s">
        <v>26</v>
      </c>
      <c r="C103" s="117" t="s">
        <v>60</v>
      </c>
      <c r="D103" s="152">
        <v>69.559850000000012</v>
      </c>
    </row>
    <row r="104" spans="2:4" ht="15.75" x14ac:dyDescent="0.25">
      <c r="B104" s="23" t="s">
        <v>53</v>
      </c>
      <c r="C104" s="117" t="s">
        <v>298</v>
      </c>
      <c r="D104" s="152">
        <v>69.559850000000012</v>
      </c>
    </row>
    <row r="105" spans="2:4" ht="15.75" x14ac:dyDescent="0.25">
      <c r="B105" s="23" t="s">
        <v>262</v>
      </c>
      <c r="C105" s="117" t="s">
        <v>258</v>
      </c>
      <c r="D105" s="152"/>
    </row>
    <row r="106" spans="2:4" ht="15.75" x14ac:dyDescent="0.25">
      <c r="B106" s="23" t="s">
        <v>20</v>
      </c>
      <c r="C106" s="117" t="s">
        <v>258</v>
      </c>
      <c r="D106" s="152"/>
    </row>
    <row r="115" spans="2:3" ht="21" x14ac:dyDescent="0.2">
      <c r="B115" s="20" t="s">
        <v>120</v>
      </c>
      <c r="C115" s="20" t="s">
        <v>119</v>
      </c>
    </row>
    <row r="116" spans="2:3" ht="15.75" x14ac:dyDescent="0.2">
      <c r="B116" s="21" t="s">
        <v>16</v>
      </c>
      <c r="C116" s="22">
        <f>'BASE BID'!D$11</f>
        <v>0</v>
      </c>
    </row>
    <row r="117" spans="2:3" ht="15.75" x14ac:dyDescent="0.2">
      <c r="B117" s="21" t="s">
        <v>19</v>
      </c>
      <c r="C117" s="22">
        <f>'BASE BID'!D$12</f>
        <v>0.05</v>
      </c>
    </row>
    <row r="118" spans="2:3" ht="15.75" x14ac:dyDescent="0.2">
      <c r="B118" s="21" t="s">
        <v>17</v>
      </c>
      <c r="C118" s="22">
        <f>'BASE BID'!D$12</f>
        <v>0.05</v>
      </c>
    </row>
    <row r="119" spans="2:3" ht="15.75" x14ac:dyDescent="0.2">
      <c r="B119" s="21" t="s">
        <v>282</v>
      </c>
      <c r="C119" s="22">
        <f>'BASE BID'!D$12</f>
        <v>0.05</v>
      </c>
    </row>
    <row r="120" spans="2:3" ht="15.75" x14ac:dyDescent="0.2">
      <c r="B120" s="21" t="s">
        <v>121</v>
      </c>
      <c r="C120" s="22">
        <f>'BASE BID'!D$12</f>
        <v>0.05</v>
      </c>
    </row>
    <row r="121" spans="2:3" ht="15.75" x14ac:dyDescent="0.2">
      <c r="B121" s="21" t="s">
        <v>167</v>
      </c>
      <c r="C121" s="22">
        <f>'BASE BID'!D$12</f>
        <v>0.05</v>
      </c>
    </row>
    <row r="122" spans="2:3" ht="15.75" x14ac:dyDescent="0.2">
      <c r="B122" s="21" t="s">
        <v>47</v>
      </c>
      <c r="C122" s="22">
        <f>'BASE BID'!D$12</f>
        <v>0.05</v>
      </c>
    </row>
    <row r="123" spans="2:3" ht="15.75" x14ac:dyDescent="0.2">
      <c r="B123" s="21" t="s">
        <v>18</v>
      </c>
      <c r="C123" s="22">
        <f>'BASE BID'!D$11</f>
        <v>0</v>
      </c>
    </row>
    <row r="124" spans="2:3" ht="15.75" x14ac:dyDescent="0.2">
      <c r="B124" s="21"/>
      <c r="C124" s="21"/>
    </row>
    <row r="125" spans="2:3" ht="15.75" x14ac:dyDescent="0.2">
      <c r="B125" s="21"/>
      <c r="C125" s="21"/>
    </row>
    <row r="126" spans="2:3" ht="15.75" x14ac:dyDescent="0.2">
      <c r="B126" s="21"/>
      <c r="C126" s="21"/>
    </row>
  </sheetData>
  <sortState ref="B8:D104">
    <sortCondition ref="C8:C97"/>
  </sortState>
  <mergeCells count="3">
    <mergeCell ref="B2:M3"/>
    <mergeCell ref="B4:M4"/>
    <mergeCell ref="F6:J6"/>
  </mergeCells>
  <hyperlinks>
    <hyperlink ref="F6:I6" location="'COST SUMMARY'!A1" display="CLICK HERE TO GO BACK TO COST SUMMARY"/>
  </hyperlink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S w i f t T o k e n s   x m l n s : x s d = " h t t p : / / w w w . w 3 . o r g / 2 0 0 1 / X M L S c h e m a "   x m l n s : x s i = " h t t p : / / w w w . w 3 . o r g / 2 0 0 1 / X M L S c h e m a - i n s t a n c e " > < T o k e n s / > < / S w i f t T o k e n s > 
</file>

<file path=customXml/itemProps1.xml><?xml version="1.0" encoding="utf-8"?>
<ds:datastoreItem xmlns:ds="http://schemas.openxmlformats.org/officeDocument/2006/customXml" ds:itemID="{76174A6A-2643-463D-9CF9-AED5769B40E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COST SUMMARY</vt:lpstr>
      <vt:lpstr>BASE BID</vt:lpstr>
      <vt:lpstr>HOURLY RATES</vt:lpstr>
      <vt:lpstr>'BASE BID'!Print_Area</vt:lpstr>
      <vt:lpstr>'COST SUMMARY'!Print_Area</vt:lpstr>
      <vt:lpstr>'BASE BID'!Print_Titles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2013-07-08T09:36:48Z</dcterms:created>
  <dcterms:modified xsi:type="dcterms:W3CDTF">2023-10-03T14:44:02Z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S9Connected">
    <vt:bool>true</vt:bool>
  </property>
  <property fmtid="{D5CDD505-2E9C-101B-9397-08002B2CF9AE}" pid="3" name="PlanSwiftJobName">
    <vt:lpwstr/>
  </property>
  <property fmtid="{D5CDD505-2E9C-101B-9397-08002B2CF9AE}" pid="4" name="PlanSwiftJobGuid">
    <vt:lpwstr/>
  </property>
  <property fmtid="{D5CDD505-2E9C-101B-9397-08002B2CF9AE}" pid="5" name="LinkedDataId">
    <vt:lpwstr>{76174A6A-2643-463D-9CF9-AED5769B40EF}</vt:lpwstr>
  </property>
</Properties>
</file>